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3-09 Pmt\"/>
    </mc:Choice>
  </mc:AlternateContent>
  <xr:revisionPtr revIDLastSave="0" documentId="13_ncr:1_{4FA94E4F-74AF-438A-A572-73700031B871}" xr6:coauthVersionLast="47" xr6:coauthVersionMax="47" xr10:uidLastSave="{00000000-0000-0000-0000-000000000000}"/>
  <bookViews>
    <workbookView xWindow="28680" yWindow="-120" windowWidth="29040" windowHeight="15840" tabRatio="759" xr2:uid="{00000000-000D-0000-FFFF-FFFF00000000}"/>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Payment'!$A$5:$G$510</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3" i="60" l="1"/>
  <c r="I137" i="60"/>
  <c r="I125" i="7"/>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4" i="16"/>
  <c r="E63" i="16"/>
  <c r="E62" i="16"/>
  <c r="E61" i="16"/>
  <c r="E60" i="16"/>
  <c r="E59" i="16"/>
  <c r="I59" i="16" s="1"/>
  <c r="E58" i="16"/>
  <c r="I58" i="16" s="1"/>
  <c r="E57" i="16"/>
  <c r="D66" i="17"/>
  <c r="C66" i="17"/>
  <c r="E65" i="17"/>
  <c r="E64" i="17"/>
  <c r="E63" i="17"/>
  <c r="E62" i="17"/>
  <c r="E61" i="17"/>
  <c r="E60" i="17"/>
  <c r="E59" i="17"/>
  <c r="I59" i="17" s="1"/>
  <c r="E58" i="17"/>
  <c r="I58" i="17" s="1"/>
  <c r="E57" i="17"/>
  <c r="D66" i="18"/>
  <c r="C66" i="18"/>
  <c r="E65" i="18"/>
  <c r="I65" i="18" s="1"/>
  <c r="E64" i="18"/>
  <c r="I64" i="18" s="1"/>
  <c r="E63" i="18"/>
  <c r="E62" i="18"/>
  <c r="E61" i="18"/>
  <c r="E60" i="18"/>
  <c r="E59" i="18"/>
  <c r="E58" i="18"/>
  <c r="E57" i="18"/>
  <c r="D66" i="20"/>
  <c r="C66" i="20"/>
  <c r="E65" i="20"/>
  <c r="I65" i="20" s="1"/>
  <c r="E64" i="20"/>
  <c r="E63" i="20"/>
  <c r="E62" i="20"/>
  <c r="E61" i="20"/>
  <c r="I61" i="20" s="1"/>
  <c r="E60" i="20"/>
  <c r="E59" i="20"/>
  <c r="E58" i="20"/>
  <c r="I58" i="20" s="1"/>
  <c r="E57" i="20"/>
  <c r="I57" i="20" s="1"/>
  <c r="D66" i="21"/>
  <c r="C66" i="21"/>
  <c r="E65" i="21"/>
  <c r="E64" i="21"/>
  <c r="E63" i="21"/>
  <c r="E62" i="21"/>
  <c r="E61" i="21"/>
  <c r="E60" i="21"/>
  <c r="E59" i="21"/>
  <c r="E58" i="21"/>
  <c r="E57" i="21"/>
  <c r="D66" i="25"/>
  <c r="C66" i="25"/>
  <c r="E65" i="25"/>
  <c r="I65" i="25" s="1"/>
  <c r="E64" i="25"/>
  <c r="E63" i="25"/>
  <c r="E62" i="25"/>
  <c r="E61" i="25"/>
  <c r="E60" i="25"/>
  <c r="E59" i="25"/>
  <c r="E58" i="25"/>
  <c r="E57" i="25"/>
  <c r="D66" i="24"/>
  <c r="C66" i="24"/>
  <c r="E65" i="24"/>
  <c r="E64" i="24"/>
  <c r="E63" i="24"/>
  <c r="I63" i="24" s="1"/>
  <c r="E62" i="24"/>
  <c r="E61" i="24"/>
  <c r="I61" i="24" s="1"/>
  <c r="E60" i="24"/>
  <c r="I60" i="24" s="1"/>
  <c r="E59" i="24"/>
  <c r="E58" i="24"/>
  <c r="I58" i="24" s="1"/>
  <c r="E57" i="24"/>
  <c r="D66" i="22"/>
  <c r="C66" i="22"/>
  <c r="E65" i="22"/>
  <c r="E64" i="22"/>
  <c r="E63" i="22"/>
  <c r="E62" i="22"/>
  <c r="E61" i="22"/>
  <c r="I61" i="22" s="1"/>
  <c r="E60" i="22"/>
  <c r="E59" i="22"/>
  <c r="E58" i="22"/>
  <c r="E57" i="22"/>
  <c r="D66" i="26"/>
  <c r="C66" i="26"/>
  <c r="E65" i="26"/>
  <c r="I65" i="26" s="1"/>
  <c r="E64" i="26"/>
  <c r="E63" i="26"/>
  <c r="I63" i="26" s="1"/>
  <c r="E62" i="26"/>
  <c r="E61" i="26"/>
  <c r="E60" i="26"/>
  <c r="E59" i="26"/>
  <c r="E58" i="26"/>
  <c r="E57" i="26"/>
  <c r="D66" i="27"/>
  <c r="C66" i="27"/>
  <c r="E65" i="27"/>
  <c r="E64" i="27"/>
  <c r="E63" i="27"/>
  <c r="E62" i="27"/>
  <c r="I62" i="27" s="1"/>
  <c r="E61" i="27"/>
  <c r="I61" i="27" s="1"/>
  <c r="E60" i="27"/>
  <c r="I60" i="27" s="1"/>
  <c r="E59" i="27"/>
  <c r="E58" i="27"/>
  <c r="E57" i="27"/>
  <c r="D66" i="28"/>
  <c r="C66" i="28"/>
  <c r="E65" i="28"/>
  <c r="E64" i="28"/>
  <c r="E63" i="28"/>
  <c r="E62" i="28"/>
  <c r="E61" i="28"/>
  <c r="I61" i="28" s="1"/>
  <c r="E60" i="28"/>
  <c r="E59" i="28"/>
  <c r="I59" i="28" s="1"/>
  <c r="E58" i="28"/>
  <c r="E57" i="28"/>
  <c r="D66" i="31"/>
  <c r="C66" i="31"/>
  <c r="E65" i="31"/>
  <c r="E64" i="31"/>
  <c r="E63" i="31"/>
  <c r="E62" i="31"/>
  <c r="I62" i="31" s="1"/>
  <c r="E61" i="31"/>
  <c r="E60" i="31"/>
  <c r="E59" i="31"/>
  <c r="E58" i="31"/>
  <c r="E57" i="31"/>
  <c r="D66" i="32"/>
  <c r="C66" i="32"/>
  <c r="E65" i="32"/>
  <c r="I65" i="32" s="1"/>
  <c r="E64" i="32"/>
  <c r="E63" i="32"/>
  <c r="I63" i="32" s="1"/>
  <c r="E62" i="32"/>
  <c r="E61" i="32"/>
  <c r="E60" i="32"/>
  <c r="I60" i="32" s="1"/>
  <c r="E59" i="32"/>
  <c r="I59" i="32" s="1"/>
  <c r="E58" i="32"/>
  <c r="I58" i="32" s="1"/>
  <c r="E57" i="32"/>
  <c r="D66" i="33"/>
  <c r="C66" i="33"/>
  <c r="E65" i="33"/>
  <c r="E64" i="33"/>
  <c r="E63" i="33"/>
  <c r="E62" i="33"/>
  <c r="E61" i="33"/>
  <c r="I61" i="33" s="1"/>
  <c r="E60" i="33"/>
  <c r="E59" i="33"/>
  <c r="E58" i="33"/>
  <c r="I58" i="33" s="1"/>
  <c r="E57" i="33"/>
  <c r="D66" i="34"/>
  <c r="C66" i="34"/>
  <c r="E65" i="34"/>
  <c r="E64" i="34"/>
  <c r="E63" i="34"/>
  <c r="E62" i="34"/>
  <c r="I62" i="34" s="1"/>
  <c r="E61" i="34"/>
  <c r="E60" i="34"/>
  <c r="E59" i="34"/>
  <c r="E58" i="34"/>
  <c r="E57" i="34"/>
  <c r="D66" i="35"/>
  <c r="C66" i="35"/>
  <c r="E65" i="35"/>
  <c r="I65" i="35" s="1"/>
  <c r="E64" i="35"/>
  <c r="E63" i="35"/>
  <c r="I63" i="35" s="1"/>
  <c r="E62" i="35"/>
  <c r="E61" i="35"/>
  <c r="E60" i="35"/>
  <c r="I60" i="35" s="1"/>
  <c r="E59" i="35"/>
  <c r="E58" i="35"/>
  <c r="I58" i="35" s="1"/>
  <c r="E57" i="35"/>
  <c r="I57" i="35" s="1"/>
  <c r="D66" i="23"/>
  <c r="C66" i="23"/>
  <c r="E65" i="23"/>
  <c r="E64" i="23"/>
  <c r="E63" i="23"/>
  <c r="E62" i="23"/>
  <c r="E61" i="23"/>
  <c r="I61" i="23" s="1"/>
  <c r="E60" i="23"/>
  <c r="E59" i="23"/>
  <c r="I59" i="23" s="1"/>
  <c r="E58" i="23"/>
  <c r="E57" i="23"/>
  <c r="I57" i="23" s="1"/>
  <c r="D66" i="36"/>
  <c r="C66" i="36"/>
  <c r="E65" i="36"/>
  <c r="E64" i="36"/>
  <c r="I64" i="36" s="1"/>
  <c r="E63" i="36"/>
  <c r="I63" i="36" s="1"/>
  <c r="E62" i="36"/>
  <c r="I62" i="36" s="1"/>
  <c r="E61" i="36"/>
  <c r="E60" i="36"/>
  <c r="E59" i="36"/>
  <c r="E58" i="36"/>
  <c r="E57" i="36"/>
  <c r="D66" i="37"/>
  <c r="C66" i="37"/>
  <c r="E65" i="37"/>
  <c r="I65" i="37" s="1"/>
  <c r="E64" i="37"/>
  <c r="E63" i="37"/>
  <c r="E62" i="37"/>
  <c r="E61" i="37"/>
  <c r="E60" i="37"/>
  <c r="I60" i="37" s="1"/>
  <c r="E59" i="37"/>
  <c r="E58" i="37"/>
  <c r="E57" i="37"/>
  <c r="D66" i="38"/>
  <c r="C66" i="38"/>
  <c r="E65" i="38"/>
  <c r="E64" i="38"/>
  <c r="I64" i="38" s="1"/>
  <c r="E63" i="38"/>
  <c r="E62" i="38"/>
  <c r="E61" i="38"/>
  <c r="I61" i="38" s="1"/>
  <c r="E60" i="38"/>
  <c r="E59" i="38"/>
  <c r="E58" i="38"/>
  <c r="E57" i="38"/>
  <c r="D66" i="39"/>
  <c r="C66" i="39"/>
  <c r="E65" i="39"/>
  <c r="E64" i="39"/>
  <c r="I64" i="39" s="1"/>
  <c r="E63" i="39"/>
  <c r="E62" i="39"/>
  <c r="I62" i="39" s="1"/>
  <c r="E61" i="39"/>
  <c r="E60" i="39"/>
  <c r="E59" i="39"/>
  <c r="E58" i="39"/>
  <c r="E57" i="39"/>
  <c r="D66" i="40"/>
  <c r="C66" i="40"/>
  <c r="E65" i="40"/>
  <c r="I65" i="40" s="1"/>
  <c r="E64" i="40"/>
  <c r="E63" i="40"/>
  <c r="I63" i="40" s="1"/>
  <c r="E62" i="40"/>
  <c r="E61" i="40"/>
  <c r="E60" i="40"/>
  <c r="I60" i="40" s="1"/>
  <c r="E59" i="40"/>
  <c r="E58" i="40"/>
  <c r="E57" i="40"/>
  <c r="D66" i="42"/>
  <c r="C66" i="42"/>
  <c r="E65" i="42"/>
  <c r="E64" i="42"/>
  <c r="E63" i="42"/>
  <c r="E62" i="42"/>
  <c r="E61" i="42"/>
  <c r="E60" i="42"/>
  <c r="E59" i="42"/>
  <c r="E58" i="42"/>
  <c r="E57" i="42"/>
  <c r="I57" i="42" s="1"/>
  <c r="D66" i="43"/>
  <c r="C66" i="43"/>
  <c r="E65" i="43"/>
  <c r="E64" i="43"/>
  <c r="I64" i="43" s="1"/>
  <c r="E63" i="43"/>
  <c r="E62" i="43"/>
  <c r="E61" i="43"/>
  <c r="E60" i="43"/>
  <c r="E59" i="43"/>
  <c r="E58" i="43"/>
  <c r="E57" i="43"/>
  <c r="D66" i="44"/>
  <c r="C66" i="44"/>
  <c r="E65" i="44"/>
  <c r="I65" i="44" s="1"/>
  <c r="E64" i="44"/>
  <c r="I64" i="44" s="1"/>
  <c r="E63" i="44"/>
  <c r="E62" i="44"/>
  <c r="E61" i="44"/>
  <c r="E60" i="44"/>
  <c r="I60" i="44" s="1"/>
  <c r="E59" i="44"/>
  <c r="I59" i="44" s="1"/>
  <c r="E58" i="44"/>
  <c r="I58" i="44" s="1"/>
  <c r="E57" i="44"/>
  <c r="D66" i="45"/>
  <c r="C66" i="45"/>
  <c r="E65" i="45"/>
  <c r="I65" i="45" s="1"/>
  <c r="E64" i="45"/>
  <c r="E63" i="45"/>
  <c r="E62" i="45"/>
  <c r="E61" i="45"/>
  <c r="I61" i="45" s="1"/>
  <c r="E60" i="45"/>
  <c r="I60" i="45" s="1"/>
  <c r="E59" i="45"/>
  <c r="I59" i="45" s="1"/>
  <c r="E58" i="45"/>
  <c r="E57" i="45"/>
  <c r="I57" i="45" s="1"/>
  <c r="D66" i="47"/>
  <c r="C66" i="47"/>
  <c r="E65" i="47"/>
  <c r="E64" i="47"/>
  <c r="I64" i="47" s="1"/>
  <c r="E63" i="47"/>
  <c r="E62" i="47"/>
  <c r="E61" i="47"/>
  <c r="I61" i="47" s="1"/>
  <c r="E60" i="47"/>
  <c r="E59" i="47"/>
  <c r="E58" i="47"/>
  <c r="E57" i="47"/>
  <c r="D66" i="48"/>
  <c r="C66" i="48"/>
  <c r="E65" i="48"/>
  <c r="I65" i="48" s="1"/>
  <c r="E64" i="48"/>
  <c r="E63" i="48"/>
  <c r="E62" i="48"/>
  <c r="E61" i="48"/>
  <c r="E60" i="48"/>
  <c r="I60" i="48" s="1"/>
  <c r="E59" i="48"/>
  <c r="E58" i="48"/>
  <c r="E57" i="48"/>
  <c r="I57" i="48" s="1"/>
  <c r="D66" i="50"/>
  <c r="C66" i="50"/>
  <c r="E65" i="50"/>
  <c r="E64" i="50"/>
  <c r="E63" i="50"/>
  <c r="E62" i="50"/>
  <c r="E61" i="50"/>
  <c r="I61" i="50" s="1"/>
  <c r="E60" i="50"/>
  <c r="I60" i="50" s="1"/>
  <c r="E59" i="50"/>
  <c r="I59" i="50" s="1"/>
  <c r="E58" i="50"/>
  <c r="E57" i="50"/>
  <c r="D66" i="51"/>
  <c r="C66" i="51"/>
  <c r="E65" i="51"/>
  <c r="E64" i="51"/>
  <c r="E63" i="51"/>
  <c r="I63" i="51" s="1"/>
  <c r="E62" i="51"/>
  <c r="I62" i="51" s="1"/>
  <c r="E61" i="51"/>
  <c r="I61" i="51" s="1"/>
  <c r="E60" i="51"/>
  <c r="E59" i="51"/>
  <c r="E58" i="51"/>
  <c r="E57" i="51"/>
  <c r="D66" i="52"/>
  <c r="C66" i="52"/>
  <c r="E65" i="52"/>
  <c r="I65" i="52" s="1"/>
  <c r="E64" i="52"/>
  <c r="E63" i="52"/>
  <c r="E62" i="52"/>
  <c r="E61" i="52"/>
  <c r="E60" i="52"/>
  <c r="E59" i="52"/>
  <c r="E58" i="52"/>
  <c r="E57" i="52"/>
  <c r="D66" i="75"/>
  <c r="C66" i="75"/>
  <c r="E65" i="75"/>
  <c r="E64" i="75"/>
  <c r="I64" i="75" s="1"/>
  <c r="E63" i="75"/>
  <c r="E62" i="75"/>
  <c r="E61" i="75"/>
  <c r="I61" i="75" s="1"/>
  <c r="E60" i="75"/>
  <c r="E59" i="75"/>
  <c r="I59" i="75" s="1"/>
  <c r="E58" i="75"/>
  <c r="E57" i="75"/>
  <c r="D66" i="76"/>
  <c r="C66" i="76"/>
  <c r="E65" i="76"/>
  <c r="E64" i="76"/>
  <c r="I64" i="76" s="1"/>
  <c r="E63" i="76"/>
  <c r="I63" i="76" s="1"/>
  <c r="E62" i="76"/>
  <c r="I62" i="76" s="1"/>
  <c r="E61" i="76"/>
  <c r="E60" i="76"/>
  <c r="E59" i="76"/>
  <c r="E58" i="76"/>
  <c r="E57" i="76"/>
  <c r="D66" i="55"/>
  <c r="C66" i="55"/>
  <c r="E65" i="55"/>
  <c r="I65" i="55" s="1"/>
  <c r="E64" i="55"/>
  <c r="E63" i="55"/>
  <c r="I63" i="55" s="1"/>
  <c r="E62" i="55"/>
  <c r="E61" i="55"/>
  <c r="E60" i="55"/>
  <c r="E59" i="55"/>
  <c r="I59" i="55" s="1"/>
  <c r="E58" i="55"/>
  <c r="I58" i="55" s="1"/>
  <c r="E57" i="55"/>
  <c r="D66" i="56"/>
  <c r="C66" i="56"/>
  <c r="E65" i="56"/>
  <c r="I65" i="56" s="1"/>
  <c r="E64" i="56"/>
  <c r="E63" i="56"/>
  <c r="E62" i="56"/>
  <c r="E61" i="56"/>
  <c r="I61" i="56" s="1"/>
  <c r="E60" i="56"/>
  <c r="E59" i="56"/>
  <c r="E58" i="56"/>
  <c r="E57" i="56"/>
  <c r="I57" i="56" s="1"/>
  <c r="D66" i="57"/>
  <c r="C66" i="57"/>
  <c r="E65" i="57"/>
  <c r="E64" i="57"/>
  <c r="I64" i="57" s="1"/>
  <c r="E63" i="57"/>
  <c r="E62" i="57"/>
  <c r="E61" i="57"/>
  <c r="E60" i="57"/>
  <c r="E59" i="57"/>
  <c r="E58" i="57"/>
  <c r="E57" i="57"/>
  <c r="D66" i="58"/>
  <c r="C66" i="58"/>
  <c r="E65" i="58"/>
  <c r="I65" i="58" s="1"/>
  <c r="E64" i="58"/>
  <c r="I64" i="58" s="1"/>
  <c r="E63" i="58"/>
  <c r="I63" i="58" s="1"/>
  <c r="E62" i="58"/>
  <c r="E61" i="58"/>
  <c r="E60" i="58"/>
  <c r="I60" i="58" s="1"/>
  <c r="E59" i="58"/>
  <c r="I59" i="58" s="1"/>
  <c r="E58" i="58"/>
  <c r="E57" i="58"/>
  <c r="D66" i="66"/>
  <c r="C66" i="66"/>
  <c r="E65" i="66"/>
  <c r="I65" i="66" s="1"/>
  <c r="E64" i="66"/>
  <c r="E63" i="66"/>
  <c r="E62" i="66"/>
  <c r="E61" i="66"/>
  <c r="I61" i="66" s="1"/>
  <c r="E60" i="66"/>
  <c r="I60" i="66" s="1"/>
  <c r="E59" i="66"/>
  <c r="I59" i="66" s="1"/>
  <c r="E58" i="66"/>
  <c r="E57" i="66"/>
  <c r="D66" i="67"/>
  <c r="C66" i="67"/>
  <c r="E65" i="67"/>
  <c r="E64" i="67"/>
  <c r="I64" i="67" s="1"/>
  <c r="E63" i="67"/>
  <c r="E62" i="67"/>
  <c r="E61" i="67"/>
  <c r="I61" i="67" s="1"/>
  <c r="E60" i="67"/>
  <c r="E59" i="67"/>
  <c r="E58" i="67"/>
  <c r="E57" i="67"/>
  <c r="D66" i="69"/>
  <c r="C66" i="69"/>
  <c r="E65" i="69"/>
  <c r="I65" i="69" s="1"/>
  <c r="E64" i="69"/>
  <c r="E63" i="69"/>
  <c r="E62" i="69"/>
  <c r="E61" i="69"/>
  <c r="E60" i="69"/>
  <c r="I60" i="69" s="1"/>
  <c r="E59" i="69"/>
  <c r="E58" i="69"/>
  <c r="E57" i="69"/>
  <c r="I57" i="69" s="1"/>
  <c r="D66" i="70"/>
  <c r="C66" i="70"/>
  <c r="E65" i="70"/>
  <c r="E64" i="70"/>
  <c r="E63" i="70"/>
  <c r="E62" i="70"/>
  <c r="E61" i="70"/>
  <c r="I61" i="70" s="1"/>
  <c r="E60" i="70"/>
  <c r="E59" i="70"/>
  <c r="E58" i="70"/>
  <c r="E57" i="70"/>
  <c r="D66" i="71"/>
  <c r="C66" i="71"/>
  <c r="E65" i="71"/>
  <c r="E64" i="71"/>
  <c r="I64" i="71" s="1"/>
  <c r="E63" i="71"/>
  <c r="I63" i="71" s="1"/>
  <c r="E62" i="71"/>
  <c r="I62" i="71" s="1"/>
  <c r="E61" i="71"/>
  <c r="E60" i="71"/>
  <c r="E59" i="71"/>
  <c r="E58" i="71"/>
  <c r="E57" i="71"/>
  <c r="D66" i="68"/>
  <c r="C66" i="68"/>
  <c r="E65" i="68"/>
  <c r="I65" i="68" s="1"/>
  <c r="E64" i="68"/>
  <c r="E63" i="68"/>
  <c r="I63" i="68" s="1"/>
  <c r="E62" i="68"/>
  <c r="E61" i="68"/>
  <c r="E60" i="68"/>
  <c r="I60" i="68" s="1"/>
  <c r="E59" i="68"/>
  <c r="E58" i="68"/>
  <c r="I58" i="68" s="1"/>
  <c r="E57" i="68"/>
  <c r="D66" i="77"/>
  <c r="C66" i="77"/>
  <c r="E65" i="77"/>
  <c r="E64" i="77"/>
  <c r="I64" i="77" s="1"/>
  <c r="E63" i="77"/>
  <c r="E62" i="77"/>
  <c r="E61" i="77"/>
  <c r="I61" i="77" s="1"/>
  <c r="E60" i="77"/>
  <c r="E59" i="77"/>
  <c r="E58" i="77"/>
  <c r="E57" i="77"/>
  <c r="D66" i="78"/>
  <c r="C66" i="78"/>
  <c r="E65" i="78"/>
  <c r="E64" i="78"/>
  <c r="E63" i="78"/>
  <c r="I63" i="78" s="1"/>
  <c r="E62" i="78"/>
  <c r="I62" i="78" s="1"/>
  <c r="E61" i="78"/>
  <c r="E60" i="78"/>
  <c r="E59" i="78"/>
  <c r="E58" i="78"/>
  <c r="E57" i="78"/>
  <c r="D66" i="30"/>
  <c r="C66" i="30"/>
  <c r="E65" i="30"/>
  <c r="I65" i="30" s="1"/>
  <c r="E64" i="30"/>
  <c r="I64" i="30" s="1"/>
  <c r="E63" i="30"/>
  <c r="I63" i="30" s="1"/>
  <c r="E62" i="30"/>
  <c r="E61" i="30"/>
  <c r="E60" i="30"/>
  <c r="I60" i="30" s="1"/>
  <c r="E59" i="30"/>
  <c r="I59" i="30" s="1"/>
  <c r="E58" i="30"/>
  <c r="I58" i="30" s="1"/>
  <c r="E57" i="30"/>
  <c r="I57" i="30" s="1"/>
  <c r="D66" i="7"/>
  <c r="C66" i="7"/>
  <c r="E65" i="7"/>
  <c r="E64" i="7"/>
  <c r="E63"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1"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1"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47" l="1"/>
  <c r="I60" i="7"/>
  <c r="E62" i="60"/>
  <c r="I60" i="56"/>
  <c r="I64" i="52"/>
  <c r="I60" i="42"/>
  <c r="I64" i="37"/>
  <c r="I59" i="31"/>
  <c r="I63" i="22"/>
  <c r="U57" i="38"/>
  <c r="U66" i="38" s="1"/>
  <c r="U66" i="22"/>
  <c r="U57" i="22"/>
  <c r="I62" i="7"/>
  <c r="E64" i="60"/>
  <c r="I65" i="77"/>
  <c r="I61" i="57"/>
  <c r="I61" i="43"/>
  <c r="I65" i="38"/>
  <c r="I63" i="7"/>
  <c r="E65" i="60"/>
  <c r="I64" i="7"/>
  <c r="E66" i="60"/>
  <c r="I59" i="69"/>
  <c r="I59" i="48"/>
  <c r="I58" i="23"/>
  <c r="I59" i="35"/>
  <c r="I65" i="7"/>
  <c r="E67" i="60"/>
  <c r="I61" i="7"/>
  <c r="E63" i="60"/>
  <c r="I59" i="68"/>
  <c r="I63" i="67"/>
  <c r="I59" i="52"/>
  <c r="I63" i="47"/>
  <c r="I62" i="35"/>
  <c r="I63" i="34"/>
  <c r="I63" i="18"/>
  <c r="I57" i="7"/>
  <c r="E59" i="60"/>
  <c r="I60" i="77"/>
  <c r="I64" i="69"/>
  <c r="I60" i="38"/>
  <c r="I58" i="7"/>
  <c r="E60" i="60"/>
  <c r="U57" i="27"/>
  <c r="U66" i="27" s="1"/>
  <c r="I59" i="7"/>
  <c r="E61" i="60"/>
  <c r="I65" i="70"/>
  <c r="I61" i="76"/>
  <c r="I65" i="50"/>
  <c r="I64" i="22"/>
  <c r="U66" i="37"/>
  <c r="U66" i="24"/>
  <c r="I57" i="71"/>
  <c r="I60" i="67"/>
  <c r="I64" i="56"/>
  <c r="I57" i="51"/>
  <c r="I64" i="42"/>
  <c r="I60" i="33"/>
  <c r="I64" i="27"/>
  <c r="I62" i="32"/>
  <c r="I64" i="28"/>
  <c r="I58" i="21"/>
  <c r="I60" i="18"/>
  <c r="I59" i="21"/>
  <c r="I63" i="16"/>
  <c r="I64" i="66"/>
  <c r="I64" i="45"/>
  <c r="I57" i="39"/>
  <c r="I64" i="33"/>
  <c r="I57" i="26"/>
  <c r="I58" i="22"/>
  <c r="I61" i="21"/>
  <c r="I64" i="17"/>
  <c r="I65" i="16"/>
  <c r="I60" i="78"/>
  <c r="I64" i="70"/>
  <c r="I60" i="76"/>
  <c r="I60" i="39"/>
  <c r="I64" i="23"/>
  <c r="I60" i="26"/>
  <c r="I64" i="21"/>
  <c r="I57" i="70"/>
  <c r="I59" i="67"/>
  <c r="I63" i="56"/>
  <c r="I57" i="50"/>
  <c r="I59" i="47"/>
  <c r="I63" i="42"/>
  <c r="I59" i="34"/>
  <c r="I63" i="28"/>
  <c r="I59" i="18"/>
  <c r="I57" i="68"/>
  <c r="I57" i="37"/>
  <c r="U66" i="35"/>
  <c r="U66" i="20"/>
  <c r="I59" i="71"/>
  <c r="I63" i="66"/>
  <c r="I59" i="51"/>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57"/>
  <c r="I63" i="75"/>
  <c r="I59" i="43"/>
  <c r="I63" i="38"/>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58" i="57"/>
  <c r="I62" i="75"/>
  <c r="I58" i="43"/>
  <c r="I62" i="38"/>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5" i="76"/>
  <c r="I61" i="44"/>
  <c r="I65" i="39"/>
  <c r="I61" i="32"/>
  <c r="I61" i="69"/>
  <c r="I65" i="57"/>
  <c r="I61" i="48"/>
  <c r="I65" i="43"/>
  <c r="I61" i="35"/>
  <c r="I65" i="31"/>
  <c r="I61" i="68"/>
  <c r="I65" i="67"/>
  <c r="I61" i="52"/>
  <c r="I65" i="47"/>
  <c r="I61" i="37"/>
  <c r="I65" i="34"/>
  <c r="I57" i="58"/>
  <c r="I57" i="44"/>
  <c r="I61" i="30"/>
  <c r="I65" i="71"/>
  <c r="I61" i="55"/>
  <c r="I65" i="51"/>
  <c r="I61" i="40"/>
  <c r="I60" i="47"/>
  <c r="I59" i="20"/>
  <c r="I63" i="43"/>
  <c r="I65" i="42"/>
  <c r="I59" i="40"/>
  <c r="I63" i="25"/>
  <c r="I64" i="50"/>
  <c r="I60" i="34"/>
  <c r="I62" i="58"/>
  <c r="I58" i="50"/>
  <c r="I62" i="44"/>
  <c r="E66" i="71"/>
  <c r="E66" i="70"/>
  <c r="E66" i="57"/>
  <c r="I63" i="57"/>
  <c r="E66" i="51"/>
  <c r="E66" i="43"/>
  <c r="I62" i="37"/>
  <c r="I57" i="36"/>
  <c r="E66" i="36"/>
  <c r="I57" i="31"/>
  <c r="I63" i="31"/>
  <c r="E66" i="31"/>
  <c r="E66" i="28"/>
  <c r="I58" i="28"/>
  <c r="I59" i="27"/>
  <c r="I65" i="27"/>
  <c r="I62" i="24"/>
  <c r="I57" i="25"/>
  <c r="E66" i="25"/>
  <c r="E66" i="21"/>
  <c r="I61" i="17"/>
  <c r="E66" i="16"/>
  <c r="I62" i="16"/>
  <c r="I59" i="70"/>
  <c r="I58" i="69"/>
  <c r="I65" i="75"/>
  <c r="I64" i="51"/>
  <c r="I63" i="48"/>
  <c r="I62" i="47"/>
  <c r="I62" i="45"/>
  <c r="I62" i="43"/>
  <c r="I61" i="42"/>
  <c r="I58" i="39"/>
  <c r="I58" i="38"/>
  <c r="I58" i="37"/>
  <c r="I65" i="28"/>
  <c r="I64" i="26"/>
  <c r="I64" i="24"/>
  <c r="I62" i="20"/>
  <c r="I61" i="18"/>
  <c r="I62" i="30"/>
  <c r="I61" i="78"/>
  <c r="I61" i="71"/>
  <c r="I60" i="70"/>
  <c r="I58" i="67"/>
  <c r="I58" i="66"/>
  <c r="I58" i="58"/>
  <c r="I64" i="48"/>
  <c r="I63" i="44"/>
  <c r="I62" i="42"/>
  <c r="I59" i="38"/>
  <c r="I59" i="37"/>
  <c r="I58" i="36"/>
  <c r="I65" i="22"/>
  <c r="I65" i="24"/>
  <c r="I64" i="25"/>
  <c r="I63" i="20"/>
  <c r="I62" i="18"/>
  <c r="I62" i="17"/>
  <c r="I64" i="78"/>
  <c r="I64" i="68"/>
  <c r="I59" i="56"/>
  <c r="I58" i="76"/>
  <c r="I58" i="75"/>
  <c r="I58" i="52"/>
  <c r="I62" i="40"/>
  <c r="I61" i="39"/>
  <c r="I61" i="36"/>
  <c r="I60" i="23"/>
  <c r="I59" i="33"/>
  <c r="I58" i="27"/>
  <c r="I65" i="17"/>
  <c r="I63" i="69"/>
  <c r="I62" i="67"/>
  <c r="I62" i="66"/>
  <c r="I62" i="57"/>
  <c r="I60" i="55"/>
  <c r="I60" i="75"/>
  <c r="I60" i="52"/>
  <c r="I58" i="48"/>
  <c r="I64" i="40"/>
  <c r="I63" i="39"/>
  <c r="I63" i="37"/>
  <c r="I62" i="23"/>
  <c r="I61" i="31"/>
  <c r="I60" i="28"/>
  <c r="I59" i="22"/>
  <c r="I59" i="24"/>
  <c r="I58" i="25"/>
  <c r="I59" i="77"/>
  <c r="I58" i="71"/>
  <c r="I64" i="55"/>
  <c r="I63" i="52"/>
  <c r="I62" i="50"/>
  <c r="I59" i="42"/>
  <c r="I58" i="40"/>
  <c r="I65" i="23"/>
  <c r="I64" i="34"/>
  <c r="I64" i="32"/>
  <c r="I64" i="31"/>
  <c r="I63" i="27"/>
  <c r="I62" i="26"/>
  <c r="I62" i="22"/>
  <c r="I62" i="25"/>
  <c r="I60" i="20"/>
  <c r="I60" i="17"/>
  <c r="I60" i="16"/>
  <c r="I57" i="18"/>
  <c r="I57" i="16"/>
  <c r="I57" i="78"/>
  <c r="I57" i="77"/>
  <c r="I57" i="17"/>
  <c r="I57" i="34"/>
  <c r="I57" i="33"/>
  <c r="I57" i="32"/>
  <c r="I57" i="67"/>
  <c r="I57" i="76"/>
  <c r="I57" i="75"/>
  <c r="I57" i="52"/>
  <c r="I57" i="66"/>
  <c r="I57" i="27"/>
  <c r="E66" i="7"/>
  <c r="E66" i="58"/>
  <c r="E66" i="44"/>
  <c r="E66" i="37"/>
  <c r="E66" i="24"/>
  <c r="I57" i="28"/>
  <c r="I57" i="21"/>
  <c r="I61" i="16"/>
  <c r="E66" i="68"/>
  <c r="E66" i="52"/>
  <c r="E66" i="32"/>
  <c r="E66" i="77"/>
  <c r="E66" i="66"/>
  <c r="E66" i="75"/>
  <c r="E66" i="45"/>
  <c r="E66" i="38"/>
  <c r="E66" i="33"/>
  <c r="E66" i="22"/>
  <c r="E66" i="17"/>
  <c r="E66" i="67"/>
  <c r="E66" i="76"/>
  <c r="E66" i="47"/>
  <c r="E66" i="39"/>
  <c r="E66" i="34"/>
  <c r="E66" i="26"/>
  <c r="E66" i="18"/>
  <c r="E66" i="78"/>
  <c r="E66" i="69"/>
  <c r="E66" i="55"/>
  <c r="E66" i="48"/>
  <c r="E66" i="40"/>
  <c r="E66" i="35"/>
  <c r="E66" i="27"/>
  <c r="E66" i="20"/>
  <c r="E66" i="30"/>
  <c r="E66" i="56"/>
  <c r="E66" i="50"/>
  <c r="E66" i="42"/>
  <c r="E66" i="23"/>
  <c r="I60" i="71"/>
  <c r="I60" i="57"/>
  <c r="I60" i="51"/>
  <c r="I60" i="43"/>
  <c r="I60" i="36"/>
  <c r="I60" i="31"/>
  <c r="I60" i="25"/>
  <c r="I66" i="7" l="1"/>
  <c r="I64" i="60"/>
  <c r="I62" i="60"/>
  <c r="I61" i="60"/>
  <c r="I66" i="60"/>
  <c r="I65" i="60"/>
  <c r="I60" i="60"/>
  <c r="I63" i="60"/>
  <c r="E68" i="60"/>
  <c r="I67" i="60"/>
  <c r="I59" i="60"/>
  <c r="I66" i="35"/>
  <c r="I66" i="30"/>
  <c r="I66" i="47"/>
  <c r="I66" i="68"/>
  <c r="I66" i="45"/>
  <c r="I66" i="18"/>
  <c r="I66" i="21"/>
  <c r="I66" i="78"/>
  <c r="I66" i="51"/>
  <c r="I66" i="56"/>
  <c r="I66" i="43"/>
  <c r="I66" i="50"/>
  <c r="I66" i="20"/>
  <c r="I66" i="24"/>
  <c r="I66" i="52"/>
  <c r="I66" i="44"/>
  <c r="I66" i="48"/>
  <c r="I66" i="70"/>
  <c r="I66" i="17"/>
  <c r="I66" i="40"/>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I68" i="60" l="1"/>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C30"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E118" i="22" s="1"/>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F451" i="64"/>
  <c r="E101" i="32" l="1"/>
  <c r="E102" i="32"/>
  <c r="P103" i="32"/>
  <c r="E16" i="18"/>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E118" i="39"/>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I118"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H16" i="18"/>
  <c r="I16" i="18" s="1"/>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G469" i="64" s="1"/>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H26" i="39"/>
  <c r="I26" i="39" s="1"/>
  <c r="E102" i="51"/>
  <c r="I111" i="34"/>
  <c r="T8" i="68"/>
  <c r="P102" i="68" s="1"/>
  <c r="T111" i="26"/>
  <c r="U111" i="26" s="1"/>
  <c r="H19" i="35"/>
  <c r="I19" i="35"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H25" i="28"/>
  <c r="I25" i="28" s="1"/>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E19" i="22"/>
  <c r="J19" i="22" s="1"/>
  <c r="E24" i="22"/>
  <c r="H24" i="22" s="1"/>
  <c r="I24" i="22" s="1"/>
  <c r="E21" i="22"/>
  <c r="H21" i="22" s="1"/>
  <c r="I21" i="22" s="1"/>
  <c r="E15" i="22"/>
  <c r="J15" i="22" s="1"/>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59" i="64"/>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I118"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I118"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20" i="69" l="1"/>
  <c r="H19" i="75"/>
  <c r="I19" i="75" s="1"/>
  <c r="J19" i="75"/>
  <c r="H19" i="76"/>
  <c r="I19" i="76" s="1"/>
  <c r="J19" i="76"/>
  <c r="H17" i="56"/>
  <c r="I17" i="56" s="1"/>
  <c r="J17" i="56"/>
  <c r="H19" i="55"/>
  <c r="I19" i="55" s="1"/>
  <c r="J19" i="55"/>
  <c r="H19" i="33"/>
  <c r="I19" i="33" s="1"/>
  <c r="J19" i="33"/>
  <c r="H17" i="23"/>
  <c r="I17" i="23" s="1"/>
  <c r="J17" i="23"/>
  <c r="H19" i="7"/>
  <c r="I19" i="7" s="1"/>
  <c r="J19" i="7"/>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C102" i="52"/>
  <c r="H102" i="52"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C103" i="33"/>
  <c r="H103" i="33" s="1"/>
  <c r="C103" i="42"/>
  <c r="H103" i="42" s="1"/>
  <c r="I44" i="33"/>
  <c r="I44" i="34"/>
  <c r="I44" i="20"/>
  <c r="P102" i="69"/>
  <c r="P103" i="69"/>
  <c r="P101" i="69"/>
  <c r="P102" i="36"/>
  <c r="P101" i="36"/>
  <c r="P103" i="36"/>
  <c r="P101" i="75"/>
  <c r="P102" i="75"/>
  <c r="P103" i="75"/>
  <c r="I44" i="47"/>
  <c r="I44" i="23"/>
  <c r="I44" i="39"/>
  <c r="P103" i="22"/>
  <c r="P102" i="22"/>
  <c r="I44" i="43"/>
  <c r="I44" i="27"/>
  <c r="I121" i="56"/>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30" i="33"/>
  <c r="H14" i="31"/>
  <c r="I14" i="31" s="1"/>
  <c r="E30" i="31"/>
  <c r="H21" i="18"/>
  <c r="I21" i="18" s="1"/>
  <c r="E21" i="60"/>
  <c r="E27" i="60"/>
  <c r="C102" i="16"/>
  <c r="H102" i="16" s="1"/>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C101" i="33"/>
  <c r="E44" i="27"/>
  <c r="H15" i="31"/>
  <c r="I15" i="31" s="1"/>
  <c r="H17" i="28"/>
  <c r="I17" i="28" s="1"/>
  <c r="H14" i="28"/>
  <c r="I14" i="28" s="1"/>
  <c r="E30" i="28"/>
  <c r="E30" i="17"/>
  <c r="H14" i="17"/>
  <c r="I14" i="17" s="1"/>
  <c r="E44" i="20"/>
  <c r="H20" i="60"/>
  <c r="E20" i="60"/>
  <c r="E30" i="16"/>
  <c r="H14" i="16"/>
  <c r="I14" i="16" s="1"/>
  <c r="E30" i="25"/>
  <c r="H14" i="25"/>
  <c r="I14" i="25" s="1"/>
  <c r="C103" i="7"/>
  <c r="E40" i="60"/>
  <c r="E30" i="77"/>
  <c r="H14" i="77"/>
  <c r="I14" i="77" s="1"/>
  <c r="H17" i="45"/>
  <c r="I17" i="45" s="1"/>
  <c r="C102" i="34"/>
  <c r="H102" i="34"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C103" i="51"/>
  <c r="H103" i="51" s="1"/>
  <c r="P102" i="39"/>
  <c r="P101" i="39"/>
  <c r="P103" i="39"/>
  <c r="E44" i="34"/>
  <c r="H15" i="18"/>
  <c r="I15" i="18" s="1"/>
  <c r="H15" i="28"/>
  <c r="I15" i="28" s="1"/>
  <c r="H15" i="24"/>
  <c r="I15" i="24" s="1"/>
  <c r="I44" i="7"/>
  <c r="G459" i="64"/>
  <c r="F480" i="64"/>
  <c r="F481" i="64" s="1"/>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C103" i="68"/>
  <c r="H103" i="68" s="1"/>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C103" i="55"/>
  <c r="H103" i="55"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I30" i="33" l="1"/>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101" i="71"/>
  <c r="H101" i="71" s="1"/>
  <c r="C101" i="76"/>
  <c r="H101" i="76" s="1"/>
  <c r="H30" i="56"/>
  <c r="C72" i="56" s="1"/>
  <c r="H22" i="60"/>
  <c r="H19" i="60"/>
  <c r="I17" i="7"/>
  <c r="H17" i="60"/>
  <c r="I16" i="7"/>
  <c r="H16" i="60"/>
  <c r="H103" i="7"/>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E46" i="33"/>
  <c r="C72" i="33"/>
  <c r="E46" i="43"/>
  <c r="C72" i="43"/>
  <c r="I29" i="17"/>
  <c r="I29" i="60" s="1"/>
  <c r="I20" i="60"/>
  <c r="C101" i="52"/>
  <c r="H101" i="52" s="1"/>
  <c r="I14" i="52"/>
  <c r="I30" i="52" s="1"/>
  <c r="I28" i="60"/>
  <c r="I23" i="16"/>
  <c r="I25" i="16"/>
  <c r="I25" i="60" s="1"/>
  <c r="I40" i="60"/>
  <c r="C103" i="70"/>
  <c r="H103" i="70" s="1"/>
  <c r="C69" i="34"/>
  <c r="H70" i="34" s="1"/>
  <c r="H88" i="34" s="1"/>
  <c r="I88" i="34" s="1"/>
  <c r="I30" i="76"/>
  <c r="I30" i="71"/>
  <c r="I27" i="60"/>
  <c r="I42" i="60"/>
  <c r="I46" i="33"/>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C104" i="33"/>
  <c r="H101" i="33"/>
  <c r="I104" i="33" s="1"/>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I104" i="34" l="1"/>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T14" i="34"/>
  <c r="U14" i="34" s="1"/>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I53"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I53"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I53"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3" i="45"/>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8" l="1"/>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I125"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I125"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I125"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I125"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I125"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70" l="1"/>
  <c r="I125" i="26"/>
  <c r="I125" i="69"/>
  <c r="I125" i="47"/>
  <c r="I125" i="66"/>
  <c r="I125" i="30"/>
  <c r="I125" i="77"/>
  <c r="I125" i="34"/>
  <c r="I125" i="27"/>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I127" i="66" s="1"/>
  <c r="H132" i="66" s="1"/>
  <c r="R46" i="28"/>
  <c r="T73" i="28" s="1"/>
  <c r="T94" i="28" s="1"/>
  <c r="U94" i="28" s="1"/>
  <c r="R46" i="52"/>
  <c r="I127" i="58"/>
  <c r="H132" i="58" s="1"/>
  <c r="I127" i="77"/>
  <c r="H132" i="77" s="1"/>
  <c r="I53" i="60"/>
  <c r="I127" i="50"/>
  <c r="H132" i="50" s="1"/>
  <c r="I127" i="27"/>
  <c r="H132" i="27" s="1"/>
  <c r="I53" i="7"/>
  <c r="I95" i="60"/>
  <c r="F53" i="60"/>
  <c r="F54" i="60"/>
  <c r="I54" i="60"/>
  <c r="I127" i="48"/>
  <c r="H132" i="48" s="1"/>
  <c r="I127" i="47"/>
  <c r="H132" i="47" s="1"/>
  <c r="I132" i="47" s="1"/>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28" l="1"/>
  <c r="H132" i="28" s="1"/>
  <c r="T96" i="28"/>
  <c r="U96" i="28" s="1"/>
  <c r="U125" i="28" s="1"/>
  <c r="I132" i="45"/>
  <c r="I144" i="45" s="1"/>
  <c r="I132" i="28"/>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I134" i="76"/>
  <c r="I138" i="76" s="1"/>
  <c r="I142" i="76" s="1"/>
  <c r="E323" i="64" s="1"/>
  <c r="G323" i="64" s="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I134" i="75"/>
  <c r="I138" i="75" s="1"/>
  <c r="I142" i="75" s="1"/>
  <c r="E151" i="64"/>
  <c r="G151" i="64" s="1"/>
  <c r="I134" i="47"/>
  <c r="I138" i="47" s="1"/>
  <c r="I142" i="47" s="1"/>
  <c r="I144" i="47"/>
  <c r="I134" i="55"/>
  <c r="I138" i="55" s="1"/>
  <c r="I142" i="55" s="1"/>
  <c r="I134" i="56"/>
  <c r="I138" i="56" s="1"/>
  <c r="I142" i="56" s="1"/>
  <c r="I144" i="56"/>
  <c r="I144" i="55"/>
  <c r="I134" i="32"/>
  <c r="I138" i="32" s="1"/>
  <c r="I142" i="32" s="1"/>
  <c r="I134" i="27"/>
  <c r="I138" i="27" s="1"/>
  <c r="I142" i="27" s="1"/>
  <c r="I144" i="32"/>
  <c r="I134" i="42" l="1"/>
  <c r="I138" i="42" s="1"/>
  <c r="I142" i="42"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13" i="64"/>
  <c r="G313" i="64" s="1"/>
  <c r="E333" i="64"/>
  <c r="G333" i="64" s="1"/>
  <c r="E232" i="64"/>
  <c r="G232" i="64" s="1"/>
  <c r="E114" i="64"/>
  <c r="G114"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G50" i="64" s="1"/>
  <c r="I144" i="7"/>
  <c r="I142" i="7" l="1"/>
  <c r="E5" i="64" l="1"/>
  <c r="G5" i="64" s="1"/>
  <c r="I118" i="16" l="1"/>
  <c r="I119" i="16"/>
  <c r="I120" i="16"/>
  <c r="I121" i="16" l="1"/>
  <c r="I125" i="16" s="1"/>
  <c r="I127" i="16" l="1"/>
  <c r="I126" i="60"/>
  <c r="I128" i="60" l="1"/>
  <c r="H132" i="16"/>
  <c r="I132" i="16" s="1"/>
  <c r="H133" i="60" l="1"/>
  <c r="I144" i="16" l="1"/>
  <c r="I133" i="60"/>
  <c r="I134" i="16"/>
  <c r="I135" i="60" s="1"/>
  <c r="I138" i="16" l="1"/>
  <c r="I142" i="16" l="1"/>
  <c r="I139" i="60"/>
  <c r="E27" i="64" l="1"/>
  <c r="E458" i="64"/>
  <c r="G27" i="64"/>
  <c r="G451" i="64" s="1"/>
  <c r="E451" i="64"/>
  <c r="G458" i="64" l="1"/>
  <c r="G480" i="64" s="1"/>
  <c r="G481" i="64" s="1"/>
  <c r="E480" i="64"/>
  <c r="E481" i="64" s="1"/>
  <c r="G452" i="64"/>
</calcChain>
</file>

<file path=xl/sharedStrings.xml><?xml version="1.0" encoding="utf-8"?>
<sst xmlns="http://schemas.openxmlformats.org/spreadsheetml/2006/main" count="17338" uniqueCount="487">
  <si>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</si>
  <si>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</si>
  <si>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</si>
  <si>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</si>
  <si>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</si>
  <si>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</si>
  <si>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</si>
  <si>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</si>
  <si>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</si>
  <si>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</si>
  <si>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</si>
  <si>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</si>
  <si>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</si>
  <si>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</si>
  <si>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</si>
  <si>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</si>
  <si>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</si>
  <si>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</si>
  <si>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</si>
  <si>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</si>
  <si>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</si>
  <si>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</si>
  <si>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</si>
  <si>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</si>
  <si>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</si>
  <si>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</si>
  <si>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</si>
  <si>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</si>
  <si>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</si>
  <si>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</si>
  <si>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</si>
  <si>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</si>
  <si>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</si>
  <si>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</si>
  <si>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</si>
  <si>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</si>
  <si>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</si>
  <si>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</si>
  <si>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</si>
  <si>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</si>
  <si>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</si>
  <si>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</si>
  <si>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</si>
  <si>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</si>
  <si>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</si>
  <si>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</si>
  <si>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</si>
  <si>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</si>
  <si>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</si>
  <si>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</si>
  <si>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</si>
  <si>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</si>
  <si>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</si>
  <si>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</si>
  <si>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</si>
  <si>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</si>
  <si>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</si>
  <si>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</si>
  <si>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</si>
  <si>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</si>
  <si>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</si>
  <si>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</si>
  <si>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</si>
  <si>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</si>
  <si>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</si>
  <si>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</si>
  <si>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</si>
  <si>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</si>
  <si>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</si>
  <si>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</si>
  <si>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</si>
  <si>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</si>
  <si>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</si>
  <si>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</si>
  <si>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</si>
  <si>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</si>
  <si>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</si>
  <si>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</si>
  <si>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</si>
  <si>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</si>
  <si>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</si>
  <si>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</si>
  <si>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</si>
  <si>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</si>
  <si>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</si>
  <si>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</si>
  <si>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</si>
  <si>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</si>
  <si>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</si>
  <si>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</si>
  <si>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</si>
  <si>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</si>
  <si>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</si>
  <si>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</si>
  <si>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</si>
  <si>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</si>
  <si>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</si>
  <si>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</si>
  <si>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</si>
  <si>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</si>
  <si>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</si>
  <si>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</si>
  <si>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</si>
  <si>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</si>
  <si>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</si>
  <si>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</si>
  <si>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</si>
  <si>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</si>
  <si>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</si>
  <si>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</si>
  <si>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</si>
  <si>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</si>
  <si>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</si>
  <si>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</si>
  <si>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</si>
  <si>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</si>
  <si>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</si>
  <si>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</si>
  <si>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</si>
  <si>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</si>
  <si>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</si>
  <si>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</si>
  <si>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</si>
  <si>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</si>
  <si>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</si>
  <si>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</si>
  <si>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</si>
  <si>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</si>
  <si>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</si>
  <si>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</si>
  <si>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</si>
  <si>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</si>
  <si>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</si>
  <si>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</si>
  <si>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</si>
  <si>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</si>
  <si>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</si>
  <si>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</si>
  <si>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</si>
  <si>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</si>
  <si>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</si>
  <si>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</si>
  <si>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</si>
  <si>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</si>
  <si>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</si>
  <si>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</si>
  <si>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</si>
  <si>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</si>
  <si>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</si>
  <si>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</si>
  <si>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</si>
  <si>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</si>
  <si>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</si>
  <si>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</si>
  <si>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</si>
  <si>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</si>
  <si>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</si>
  <si>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</si>
  <si>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</si>
  <si>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</si>
  <si>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</si>
  <si>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</si>
  <si>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</si>
  <si>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</si>
  <si>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</si>
  <si>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</si>
  <si>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</si>
  <si>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</si>
  <si>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</si>
  <si>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</si>
  <si>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</si>
  <si>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</si>
  <si>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</si>
  <si>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</si>
  <si>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</si>
  <si>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</si>
  <si>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</si>
  <si>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</si>
  <si>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</si>
  <si>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</si>
  <si>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</si>
  <si>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</si>
  <si>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</si>
  <si>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</si>
  <si>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</si>
  <si>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</si>
  <si>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</si>
  <si>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</si>
  <si>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</si>
  <si>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</si>
  <si>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</si>
  <si>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</si>
  <si>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</si>
  <si>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</si>
  <si>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</si>
  <si>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</si>
  <si>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</si>
  <si>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</si>
  <si>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</si>
  <si>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</si>
  <si>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</si>
  <si>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</si>
  <si>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</si>
  <si>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</si>
  <si>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</si>
  <si>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</si>
  <si>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</si>
  <si>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</si>
  <si>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</si>
  <si>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</si>
  <si>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</si>
  <si>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</si>
  <si>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</si>
  <si>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</si>
  <si>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</si>
  <si>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</si>
  <si>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</si>
  <si>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</si>
  <si>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</si>
  <si>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</si>
  <si>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</si>
  <si>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</si>
  <si>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</si>
  <si>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</si>
  <si>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</si>
  <si>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</si>
  <si>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</si>
  <si>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</si>
  <si>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</si>
  <si>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</si>
  <si>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</si>
  <si>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</si>
  <si>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</si>
  <si>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</si>
  <si>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</si>
  <si>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</si>
  <si>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</si>
  <si>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</si>
  <si>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</si>
  <si>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</si>
  <si>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</si>
  <si>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</si>
  <si>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</si>
  <si>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</si>
  <si>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</si>
  <si>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</si>
  <si>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</si>
  <si>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</si>
  <si>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</si>
  <si>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</si>
  <si>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</si>
  <si>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</si>
  <si>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</si>
  <si>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</si>
  <si>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</si>
  <si>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</si>
  <si>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</si>
  <si>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</si>
  <si>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</si>
  <si>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</si>
  <si>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</si>
  <si>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</si>
  <si>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</si>
  <si>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</si>
  <si>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</si>
  <si>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</si>
  <si>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</si>
  <si>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</si>
  <si>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</si>
  <si>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</si>
  <si>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</si>
  <si>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</si>
  <si>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</si>
  <si>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</si>
  <si>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</si>
  <si>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</si>
  <si>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</si>
  <si>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</si>
  <si>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</si>
  <si>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</si>
  <si>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</si>
  <si>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</si>
  <si>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</si>
  <si>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</si>
  <si>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</si>
  <si>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</si>
  <si>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</si>
  <si>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</si>
  <si>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</si>
  <si>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</si>
  <si>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</si>
  <si>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</si>
  <si>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</si>
  <si>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</si>
  <si>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</si>
  <si>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</si>
  <si>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</si>
  <si>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</si>
  <si>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</si>
  <si>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</si>
  <si>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</si>
  <si>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</si>
  <si>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</si>
  <si>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</si>
  <si>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</si>
  <si>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</si>
  <si>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</si>
  <si>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</si>
  <si>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</si>
  <si>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</si>
  <si>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</si>
  <si>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</si>
  <si>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</si>
  <si>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</si>
  <si>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</si>
  <si>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</si>
  <si>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</si>
  <si>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</si>
  <si>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</si>
  <si>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</si>
  <si>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</si>
  <si>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</si>
  <si>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</si>
  <si>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</si>
  <si>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</si>
  <si>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</si>
  <si>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</si>
  <si>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</si>
  <si>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</si>
  <si>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</si>
  <si>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</si>
  <si>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</si>
  <si>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</si>
  <si>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</si>
  <si>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</si>
  <si>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</si>
  <si>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WPB-242548</t>
  </si>
  <si>
    <t>WPB-242343</t>
  </si>
  <si>
    <t>FY21 CSTAG Training</t>
  </si>
  <si>
    <t>TSIA deducted 07/21</t>
  </si>
  <si>
    <t>Unused FY21 TSIA Funds</t>
  </si>
  <si>
    <t>Unused FY21 TSIA add'l adj</t>
  </si>
  <si>
    <t>WPB-245543</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</si>
  <si>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</si>
  <si>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</si>
  <si>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</si>
  <si>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</si>
  <si>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</si>
  <si>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</si>
  <si>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</si>
  <si>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</si>
  <si>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</si>
  <si>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</si>
  <si>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</si>
  <si>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</si>
  <si>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</si>
  <si>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</si>
  <si>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</si>
  <si>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WPB-255860</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</si>
  <si>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</si>
  <si>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</si>
  <si>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</si>
  <si>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</si>
  <si>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</si>
  <si>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</si>
  <si>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</si>
  <si>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</si>
  <si>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</si>
  <si>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</si>
  <si>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</si>
  <si>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</si>
  <si>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</si>
  <si>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</si>
  <si>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</si>
  <si>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</si>
  <si>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</si>
  <si>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</si>
  <si>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</si>
  <si>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</si>
  <si>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</si>
  <si>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</si>
  <si>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</si>
  <si>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</si>
  <si>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</si>
  <si>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</si>
  <si>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</si>
  <si>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</si>
  <si>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</si>
  <si>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</si>
  <si>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</si>
  <si>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</si>
  <si>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</si>
  <si>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</si>
  <si>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</si>
  <si>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</si>
  <si>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</si>
  <si>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</si>
  <si>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</si>
  <si>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</si>
  <si>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</si>
  <si>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</si>
  <si>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</si>
  <si>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</si>
  <si>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</si>
  <si>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</si>
  <si>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</si>
  <si>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</si>
  <si>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</si>
  <si>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</si>
  <si>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</si>
  <si>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</si>
  <si>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</si>
  <si>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</si>
  <si>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</si>
  <si>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</si>
  <si>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</si>
  <si>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</si>
  <si>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</si>
  <si>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</si>
  <si>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</si>
  <si>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</si>
  <si>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</si>
  <si>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</si>
  <si>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</si>
  <si>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</si>
  <si>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</si>
  <si>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</si>
  <si>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</si>
  <si>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</si>
  <si>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</si>
  <si>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</si>
  <si>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</si>
  <si>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</si>
  <si>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</si>
  <si>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</si>
  <si>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</si>
  <si>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</si>
  <si>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</si>
  <si>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WPB-267569</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</si>
  <si>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</si>
  <si>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</si>
  <si>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</si>
  <si>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</si>
  <si>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</si>
  <si>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</si>
  <si>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</si>
  <si>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</si>
  <si>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</si>
  <si>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</si>
  <si>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</si>
  <si>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</si>
  <si>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</si>
  <si>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</si>
  <si>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</si>
  <si>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</si>
  <si>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</si>
  <si>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</si>
  <si>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</si>
  <si>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</si>
  <si>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</si>
  <si>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</si>
  <si>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</si>
  <si>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</si>
  <si>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</si>
  <si>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</si>
  <si>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</si>
  <si>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</si>
  <si>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</si>
  <si>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</si>
  <si>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</si>
  <si>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</si>
  <si>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</si>
  <si>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</si>
  <si>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</si>
  <si>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</si>
  <si>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July payments had been made.</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</si>
  <si>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</si>
  <si>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</si>
  <si>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</si>
  <si>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WPB-270698</t>
  </si>
  <si>
    <t>WPB-270202</t>
  </si>
  <si>
    <t>Sep 2023</t>
  </si>
  <si>
    <t>WPB-271562</t>
  </si>
  <si>
    <t>FTE SEP 23</t>
  </si>
  <si>
    <r>
      <t>SEP</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</si>
  <si>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t>1. The Sep 2023 FEFP payments are calculated based on the FLDOE's 2023-24 FEFP Second Calculation which was issued after the</t>
  </si>
  <si>
    <t>3. Charter School FEFP September payments only changed for one school due to an incorrect school rating used in the August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</si>
</sst>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49"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2">
    <xf numFmtId="0" fontId="0" fillId="0" borderId="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0" fillId="0" borderId="0"/>
    <xf numFmtId="9" fontId="1" fillId="0" borderId="0" applyFont="0" applyFill="0" applyBorder="0" applyAlignment="0" applyProtection="0"/>
    <xf numFmtId="9" fontId="10" fillId="0" borderId="0" applyFont="0" applyFill="0" applyBorder="0" applyAlignment="0" applyProtection="0"/>
  </cellStyleXfs>
  <cellXfs count="632">
    <xf numFmtId="0" fontId="0" fillId="0" borderId="0" xfId="0"/>
    <xf numFmtId="0" fontId="11" fillId="0" borderId="0" xfId="0" quotePrefix="1" applyFont="1" applyAlignment="1">
      <alignment horizontal="left"/>
    </xf>
    <xf numFmtId="0" fontId="11" fillId="0" borderId="0" xfId="0" applyFont="1"/>
    <xf numFmtId="0" fontId="12" fillId="0" borderId="0" xfId="0" applyFont="1"/>
    <xf numFmtId="4" fontId="13" fillId="0" borderId="0" xfId="0" applyNumberFormat="1" applyFont="1"/>
    <xf numFmtId="4" fontId="13" fillId="2" borderId="0" xfId="0" applyNumberFormat="1" applyFont="1" applyFill="1"/>
    <xf numFmtId="4" fontId="13" fillId="2" borderId="0" xfId="0" applyNumberFormat="1" applyFont="1" applyFill="1" applyAlignment="1">
      <alignment horizontal="left"/>
    </xf>
    <xf numFmtId="0" fontId="14" fillId="0" borderId="0" xfId="0" applyFont="1" applyAlignment="1">
      <alignment horizontal="center"/>
    </xf>
    <xf numFmtId="7" fontId="15" fillId="0" borderId="0" xfId="0" applyNumberFormat="1" applyFont="1" applyAlignment="1">
      <alignment horizontal="center"/>
    </xf>
    <xf numFmtId="168" fontId="12" fillId="0" borderId="0" xfId="0" applyNumberFormat="1" applyFont="1" applyAlignment="1">
      <alignment wrapText="1"/>
    </xf>
    <xf numFmtId="4" fontId="12" fillId="0" borderId="0" xfId="0" applyNumberFormat="1" applyFont="1" applyAlignment="1">
      <alignment horizontal="center" wrapText="1"/>
    </xf>
    <xf numFmtId="164" fontId="12" fillId="0" borderId="0" xfId="6" applyFont="1" applyBorder="1" applyAlignment="1">
      <alignment horizontal="center" wrapText="1"/>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2" borderId="0" xfId="0" applyNumberFormat="1" applyFont="1" applyFill="1" applyAlignment="1">
      <alignment wrapText="1"/>
    </xf>
    <xf numFmtId="4" fontId="12" fillId="2" borderId="0" xfId="0" applyNumberFormat="1" applyFont="1" applyFill="1" applyAlignment="1">
      <alignment horizontal="center" wrapText="1"/>
    </xf>
    <xf numFmtId="164" fontId="12" fillId="2" borderId="0" xfId="6" applyFont="1" applyFill="1" applyBorder="1" applyAlignment="1">
      <alignment horizontal="center" wrapText="1"/>
    </xf>
    <xf numFmtId="4" fontId="12" fillId="0" borderId="1" xfId="0" applyNumberFormat="1" applyFont="1" applyBorder="1" applyAlignment="1">
      <alignment horizontal="center" wrapText="1"/>
    </xf>
    <xf numFmtId="4" fontId="12" fillId="2" borderId="1" xfId="0" applyNumberFormat="1" applyFont="1" applyFill="1" applyBorder="1" applyAlignment="1">
      <alignment horizontal="center" wrapText="1"/>
    </xf>
    <xf numFmtId="164" fontId="16" fillId="2" borderId="1" xfId="6" applyFont="1" applyFill="1" applyBorder="1" applyAlignment="1">
      <alignment horizontal="center" wrapText="1"/>
    </xf>
    <xf numFmtId="4" fontId="12" fillId="0" borderId="1" xfId="0" quotePrefix="1" applyNumberFormat="1" applyFont="1" applyBorder="1" applyAlignment="1">
      <alignment horizontal="center"/>
    </xf>
    <xf numFmtId="164" fontId="12" fillId="0" borderId="1" xfId="6" quotePrefix="1" applyFont="1" applyBorder="1" applyAlignment="1">
      <alignment horizontal="center"/>
    </xf>
    <xf numFmtId="4" fontId="12" fillId="2" borderId="1" xfId="0" quotePrefix="1" applyNumberFormat="1" applyFont="1" applyFill="1" applyBorder="1" applyAlignment="1">
      <alignment horizontal="center"/>
    </xf>
    <xf numFmtId="164" fontId="12" fillId="2" borderId="1" xfId="6" quotePrefix="1" applyFont="1" applyFill="1" applyBorder="1" applyAlignment="1">
      <alignment horizontal="center"/>
    </xf>
    <xf numFmtId="170" fontId="12" fillId="0" borderId="0" xfId="6" applyNumberFormat="1" applyFont="1" applyBorder="1" applyAlignment="1">
      <alignment horizontal="center"/>
    </xf>
    <xf numFmtId="170" fontId="12" fillId="2" borderId="0" xfId="6" applyNumberFormat="1" applyFont="1" applyFill="1" applyBorder="1" applyAlignment="1">
      <alignment horizontal="center"/>
    </xf>
    <xf numFmtId="0" fontId="12" fillId="0" borderId="0" xfId="0" applyFont="1" applyAlignment="1">
      <alignment horizontal="right"/>
    </xf>
    <xf numFmtId="2" fontId="12" fillId="0" borderId="0" xfId="0" applyNumberFormat="1" applyFont="1" applyAlignment="1">
      <alignment horizontal="center"/>
    </xf>
    <xf numFmtId="0" fontId="12" fillId="2" borderId="0" xfId="0" applyFont="1" applyFill="1" applyAlignment="1">
      <alignment horizontal="right"/>
    </xf>
    <xf numFmtId="2" fontId="17" fillId="2" borderId="0" xfId="0" applyNumberFormat="1" applyFont="1" applyFill="1" applyAlignment="1">
      <alignment horizontal="center"/>
    </xf>
    <xf numFmtId="2" fontId="12" fillId="2" borderId="0" xfId="0" applyNumberFormat="1" applyFont="1" applyFill="1" applyAlignment="1">
      <alignment horizontal="center"/>
    </xf>
    <xf numFmtId="164" fontId="16" fillId="0" borderId="1" xfId="6" applyFont="1" applyBorder="1" applyAlignment="1">
      <alignment horizontal="center" wrapText="1"/>
    </xf>
    <xf numFmtId="169" fontId="12" fillId="0" borderId="0" xfId="0" applyNumberFormat="1" applyFont="1" applyAlignment="1">
      <alignment horizontal="right"/>
    </xf>
    <xf numFmtId="169" fontId="12" fillId="2" borderId="0" xfId="0" applyNumberFormat="1" applyFont="1" applyFill="1" applyAlignment="1">
      <alignment horizontal="right"/>
    </xf>
    <xf numFmtId="169" fontId="17" fillId="0" borderId="0" xfId="0" applyNumberFormat="1" applyFont="1" applyAlignment="1">
      <alignment horizontal="right"/>
    </xf>
    <xf numFmtId="169" fontId="17" fillId="2" borderId="0" xfId="0" applyNumberFormat="1" applyFont="1" applyFill="1" applyAlignment="1">
      <alignment horizontal="right"/>
    </xf>
    <xf numFmtId="0" fontId="12" fillId="0" borderId="1" xfId="0" applyFont="1" applyBorder="1"/>
    <xf numFmtId="0" fontId="12" fillId="0" borderId="0" xfId="0" applyFont="1" applyAlignment="1">
      <alignment horizontal="center"/>
    </xf>
    <xf numFmtId="0" fontId="12" fillId="2" borderId="0" xfId="0" applyFont="1" applyFill="1" applyAlignment="1">
      <alignment horizontal="center"/>
    </xf>
    <xf numFmtId="0" fontId="12" fillId="0" borderId="0" xfId="0" quotePrefix="1" applyFont="1" applyAlignment="1">
      <alignment horizontal="center"/>
    </xf>
    <xf numFmtId="0" fontId="12" fillId="2" borderId="0" xfId="0" quotePrefix="1" applyFont="1" applyFill="1" applyAlignment="1">
      <alignment horizontal="center"/>
    </xf>
    <xf numFmtId="4" fontId="17" fillId="2" borderId="1" xfId="0" applyNumberFormat="1" applyFont="1" applyFill="1" applyBorder="1" applyAlignment="1">
      <alignment horizontal="center"/>
    </xf>
    <xf numFmtId="0" fontId="14" fillId="0" borderId="0" xfId="0" quotePrefix="1" applyFont="1" applyAlignment="1">
      <alignment horizontal="center"/>
    </xf>
    <xf numFmtId="4" fontId="12" fillId="0" borderId="0" xfId="0" quotePrefix="1" applyNumberFormat="1" applyFont="1" applyAlignment="1">
      <alignment horizontal="center"/>
    </xf>
    <xf numFmtId="4" fontId="12" fillId="2" borderId="0" xfId="0" quotePrefix="1" applyNumberFormat="1" applyFont="1" applyFill="1" applyAlignment="1">
      <alignment horizontal="center"/>
    </xf>
    <xf numFmtId="0" fontId="12" fillId="2" borderId="0" xfId="0" applyFont="1" applyFill="1" applyAlignment="1">
      <alignment horizontal="left"/>
    </xf>
    <xf numFmtId="169" fontId="12" fillId="0" borderId="0" xfId="0" applyNumberFormat="1" applyFont="1" applyAlignment="1">
      <alignment horizontal="center"/>
    </xf>
    <xf numFmtId="169" fontId="12" fillId="2" borderId="0" xfId="0" applyNumberFormat="1" applyFont="1" applyFill="1" applyAlignment="1">
      <alignment horizontal="center"/>
    </xf>
    <xf numFmtId="4" fontId="12" fillId="2" borderId="0" xfId="0" applyNumberFormat="1" applyFont="1" applyFill="1" applyAlignment="1">
      <alignment horizontal="center"/>
    </xf>
    <xf numFmtId="16" fontId="12" fillId="0" borderId="0" xfId="0" quotePrefix="1" applyNumberFormat="1" applyFont="1" applyAlignment="1">
      <alignment horizontal="right"/>
    </xf>
    <xf numFmtId="16" fontId="12" fillId="2" borderId="0" xfId="0" quotePrefix="1" applyNumberFormat="1" applyFont="1" applyFill="1" applyAlignment="1">
      <alignment horizontal="right"/>
    </xf>
    <xf numFmtId="0" fontId="12" fillId="2" borderId="0" xfId="0" applyFont="1" applyFill="1"/>
    <xf numFmtId="0" fontId="12" fillId="0" borderId="0" xfId="0" quotePrefix="1" applyFont="1" applyAlignment="1">
      <alignment horizontal="right"/>
    </xf>
    <xf numFmtId="0" fontId="12" fillId="2" borderId="0" xfId="0" quotePrefix="1" applyFont="1" applyFill="1" applyAlignment="1">
      <alignment horizontal="right"/>
    </xf>
    <xf numFmtId="169" fontId="12" fillId="2" borderId="2" xfId="0" applyNumberFormat="1" applyFont="1" applyFill="1" applyBorder="1" applyAlignment="1">
      <alignment horizontal="center"/>
    </xf>
    <xf numFmtId="165" fontId="12" fillId="0" borderId="0" xfId="4" applyFont="1" applyBorder="1" applyAlignment="1">
      <alignment horizontal="right"/>
    </xf>
    <xf numFmtId="165" fontId="12" fillId="2" borderId="0" xfId="4" applyFont="1" applyFill="1" applyBorder="1" applyAlignment="1">
      <alignment horizontal="right"/>
    </xf>
    <xf numFmtId="169" fontId="12" fillId="2" borderId="3" xfId="0" applyNumberFormat="1" applyFont="1" applyFill="1" applyBorder="1" applyAlignment="1">
      <alignment horizontal="center"/>
    </xf>
    <xf numFmtId="38" fontId="12" fillId="2" borderId="0" xfId="0" quotePrefix="1" applyNumberFormat="1" applyFont="1" applyFill="1"/>
    <xf numFmtId="0" fontId="12" fillId="0" borderId="1" xfId="0" applyFont="1" applyBorder="1" applyAlignment="1">
      <alignment horizontal="center"/>
    </xf>
    <xf numFmtId="0" fontId="12" fillId="2" borderId="1" xfId="0" applyFont="1" applyFill="1" applyBorder="1" applyAlignment="1">
      <alignment horizontal="center"/>
    </xf>
    <xf numFmtId="7" fontId="12" fillId="3" borderId="0" xfId="0" applyNumberFormat="1" applyFont="1" applyFill="1"/>
    <xf numFmtId="7" fontId="12" fillId="2" borderId="0" xfId="0" applyNumberFormat="1" applyFont="1" applyFill="1"/>
    <xf numFmtId="7" fontId="12" fillId="3" borderId="1" xfId="0" applyNumberFormat="1" applyFont="1" applyFill="1" applyBorder="1"/>
    <xf numFmtId="7" fontId="12" fillId="2" borderId="1" xfId="0" applyNumberFormat="1" applyFont="1" applyFill="1" applyBorder="1"/>
    <xf numFmtId="0" fontId="18" fillId="0" borderId="0" xfId="0" applyFont="1"/>
    <xf numFmtId="0" fontId="18" fillId="2" borderId="0" xfId="0" applyFont="1" applyFill="1"/>
    <xf numFmtId="170" fontId="12" fillId="2" borderId="3" xfId="0" applyNumberFormat="1" applyFont="1" applyFill="1" applyBorder="1"/>
    <xf numFmtId="3" fontId="12" fillId="0" borderId="0" xfId="0" quotePrefix="1" applyNumberFormat="1" applyFont="1" applyAlignment="1">
      <alignment horizontal="center"/>
    </xf>
    <xf numFmtId="0" fontId="12" fillId="0" borderId="0" xfId="0" applyFont="1" applyAlignment="1">
      <alignment horizontal="left"/>
    </xf>
    <xf numFmtId="0" fontId="18" fillId="4" borderId="4" xfId="0" applyFont="1" applyFill="1" applyBorder="1" applyAlignment="1">
      <alignment horizontal="center"/>
    </xf>
    <xf numFmtId="0" fontId="16" fillId="2" borderId="0" xfId="0" applyFont="1" applyFill="1"/>
    <xf numFmtId="0" fontId="16" fillId="2" borderId="0" xfId="0" quotePrefix="1" applyFont="1" applyFill="1" applyAlignment="1">
      <alignment horizontal="left"/>
    </xf>
    <xf numFmtId="0" fontId="16" fillId="0" borderId="0" xfId="0" applyFont="1" applyAlignment="1">
      <alignment horizontal="left"/>
    </xf>
    <xf numFmtId="171" fontId="12" fillId="0" borderId="0" xfId="0" applyNumberFormat="1" applyFont="1" applyAlignment="1">
      <alignment horizontal="left"/>
    </xf>
    <xf numFmtId="169" fontId="14" fillId="0" borderId="0" xfId="0" applyNumberFormat="1" applyFont="1"/>
    <xf numFmtId="0" fontId="12" fillId="0" borderId="0" xfId="0" applyFont="1" applyAlignment="1">
      <alignment vertical="center"/>
    </xf>
    <xf numFmtId="170" fontId="12" fillId="0" borderId="0" xfId="0" applyNumberFormat="1" applyFont="1" applyAlignment="1">
      <alignment vertical="center"/>
    </xf>
    <xf numFmtId="171" fontId="12" fillId="0" borderId="0" xfId="0" applyNumberFormat="1" applyFont="1" applyAlignment="1">
      <alignment horizontal="left" vertical="center"/>
    </xf>
    <xf numFmtId="0" fontId="14" fillId="0" borderId="0" xfId="0" applyFont="1" applyAlignment="1">
      <alignment vertical="center"/>
    </xf>
    <xf numFmtId="172" fontId="12" fillId="0" borderId="0" xfId="0" applyNumberFormat="1" applyFont="1"/>
    <xf numFmtId="0" fontId="12" fillId="0" borderId="0" xfId="0" quotePrefix="1" applyFont="1" applyAlignment="1">
      <alignment horizontal="left"/>
    </xf>
    <xf numFmtId="0" fontId="19" fillId="0" borderId="3" xfId="0" applyFont="1" applyBorder="1"/>
    <xf numFmtId="4" fontId="12" fillId="2" borderId="0" xfId="0" applyNumberFormat="1" applyFont="1" applyFill="1" applyAlignment="1">
      <alignment horizontal="left"/>
    </xf>
    <xf numFmtId="0" fontId="14" fillId="0" borderId="0" xfId="0" quotePrefix="1" applyFont="1"/>
    <xf numFmtId="0" fontId="14" fillId="0" borderId="0" xfId="0" quotePrefix="1" applyFont="1" applyAlignment="1">
      <alignment horizontal="right"/>
    </xf>
    <xf numFmtId="49" fontId="14" fillId="0" borderId="0" xfId="0" applyNumberFormat="1" applyFont="1"/>
    <xf numFmtId="49" fontId="14" fillId="0" borderId="0" xfId="0" applyNumberFormat="1" applyFont="1" applyProtection="1">
      <protection locked="0"/>
    </xf>
    <xf numFmtId="7" fontId="18" fillId="0" borderId="0" xfId="0" quotePrefix="1" applyNumberFormat="1" applyFont="1" applyAlignment="1">
      <alignment horizontal="center"/>
    </xf>
    <xf numFmtId="7" fontId="18" fillId="0" borderId="0" xfId="0" applyNumberFormat="1" applyFont="1" applyAlignment="1">
      <alignment horizontal="center"/>
    </xf>
    <xf numFmtId="0" fontId="18" fillId="0" borderId="1" xfId="0" applyFont="1" applyBorder="1" applyAlignment="1">
      <alignment horizontal="center"/>
    </xf>
    <xf numFmtId="0" fontId="19" fillId="0" borderId="1" xfId="0" quotePrefix="1" applyFont="1" applyBorder="1"/>
    <xf numFmtId="0" fontId="12" fillId="0" borderId="1" xfId="0" quotePrefix="1" applyFont="1" applyBorder="1" applyAlignment="1">
      <alignment horizontal="center"/>
    </xf>
    <xf numFmtId="172" fontId="12" fillId="0" borderId="1" xfId="0" applyNumberFormat="1" applyFont="1" applyBorder="1"/>
    <xf numFmtId="43" fontId="12" fillId="0" borderId="1" xfId="1" applyFont="1" applyBorder="1" applyAlignment="1"/>
    <xf numFmtId="167" fontId="12" fillId="2" borderId="1" xfId="0" applyNumberFormat="1" applyFont="1" applyFill="1" applyBorder="1"/>
    <xf numFmtId="170" fontId="12" fillId="2" borderId="1" xfId="6" applyNumberFormat="1" applyFont="1" applyFill="1" applyBorder="1" applyAlignment="1"/>
    <xf numFmtId="43" fontId="12" fillId="0" borderId="5" xfId="1" applyFont="1" applyBorder="1" applyAlignment="1"/>
    <xf numFmtId="170" fontId="12" fillId="2" borderId="5" xfId="6" applyNumberFormat="1" applyFont="1" applyFill="1" applyBorder="1" applyAlignment="1"/>
    <xf numFmtId="172" fontId="12" fillId="0" borderId="5" xfId="0" applyNumberFormat="1" applyFont="1" applyBorder="1"/>
    <xf numFmtId="169" fontId="12" fillId="2" borderId="5" xfId="0" applyNumberFormat="1" applyFont="1" applyFill="1" applyBorder="1"/>
    <xf numFmtId="43" fontId="12" fillId="0" borderId="0" xfId="1" applyFont="1" applyBorder="1" applyAlignment="1"/>
    <xf numFmtId="169" fontId="12" fillId="2" borderId="0" xfId="0" applyNumberFormat="1" applyFont="1" applyFill="1"/>
    <xf numFmtId="170" fontId="12" fillId="2" borderId="0" xfId="6" applyNumberFormat="1" applyFont="1" applyFill="1" applyBorder="1" applyAlignment="1"/>
    <xf numFmtId="169" fontId="12" fillId="0" borderId="0" xfId="0" applyNumberFormat="1" applyFont="1"/>
    <xf numFmtId="2" fontId="18" fillId="0" borderId="1" xfId="0" applyNumberFormat="1" applyFont="1" applyBorder="1"/>
    <xf numFmtId="2" fontId="12" fillId="0" borderId="0" xfId="0" applyNumberFormat="1" applyFont="1"/>
    <xf numFmtId="2" fontId="12" fillId="0" borderId="0" xfId="0" quotePrefix="1" applyNumberFormat="1" applyFont="1" applyAlignment="1">
      <alignment horizontal="right"/>
    </xf>
    <xf numFmtId="170" fontId="12" fillId="2" borderId="3" xfId="6" applyNumberFormat="1" applyFont="1" applyFill="1" applyBorder="1" applyAlignment="1"/>
    <xf numFmtId="2" fontId="12" fillId="0" borderId="0" xfId="0" quotePrefix="1" applyNumberFormat="1" applyFont="1" applyAlignment="1">
      <alignment horizontal="center"/>
    </xf>
    <xf numFmtId="43" fontId="20" fillId="4" borderId="1" xfId="1" applyFont="1" applyFill="1" applyBorder="1" applyAlignment="1"/>
    <xf numFmtId="43" fontId="12" fillId="0" borderId="6" xfId="1" applyFont="1" applyBorder="1" applyAlignment="1"/>
    <xf numFmtId="43" fontId="17" fillId="0" borderId="1" xfId="1" applyFont="1" applyBorder="1" applyAlignment="1">
      <alignment horizontal="center"/>
    </xf>
    <xf numFmtId="4" fontId="21" fillId="0" borderId="0" xfId="0" applyNumberFormat="1" applyFont="1"/>
    <xf numFmtId="166" fontId="17" fillId="0" borderId="0" xfId="0" applyNumberFormat="1" applyFont="1" applyAlignment="1">
      <alignment horizontal="center"/>
    </xf>
    <xf numFmtId="166" fontId="17" fillId="0" borderId="0" xfId="0" applyNumberFormat="1" applyFont="1"/>
    <xf numFmtId="43" fontId="12" fillId="0" borderId="0" xfId="1" applyFont="1" applyFill="1" applyBorder="1" applyAlignment="1"/>
    <xf numFmtId="41" fontId="12" fillId="0" borderId="0" xfId="1" applyNumberFormat="1" applyFont="1" applyFill="1" applyBorder="1" applyAlignment="1"/>
    <xf numFmtId="0" fontId="21" fillId="0" borderId="0" xfId="0" applyFont="1"/>
    <xf numFmtId="0" fontId="21" fillId="0" borderId="0" xfId="0" quotePrefix="1" applyFont="1" applyAlignment="1">
      <alignment horizontal="left"/>
    </xf>
    <xf numFmtId="4" fontId="12" fillId="0" borderId="1" xfId="0" applyNumberFormat="1" applyFont="1" applyBorder="1" applyAlignment="1">
      <alignment horizontal="center"/>
    </xf>
    <xf numFmtId="4" fontId="12" fillId="0" borderId="0" xfId="0" applyNumberFormat="1" applyFont="1"/>
    <xf numFmtId="165" fontId="12" fillId="0" borderId="0" xfId="4" quotePrefix="1" applyFont="1" applyBorder="1" applyAlignment="1">
      <alignment horizontal="right"/>
    </xf>
    <xf numFmtId="165" fontId="12" fillId="0" borderId="0" xfId="4" applyFont="1" applyBorder="1" applyAlignment="1"/>
    <xf numFmtId="165" fontId="12" fillId="0" borderId="7" xfId="4" quotePrefix="1" applyFont="1" applyBorder="1" applyAlignment="1">
      <alignment horizontal="right"/>
    </xf>
    <xf numFmtId="4" fontId="12" fillId="2" borderId="0" xfId="0" quotePrefix="1" applyNumberFormat="1" applyFont="1" applyFill="1" applyAlignment="1">
      <alignment horizontal="left"/>
    </xf>
    <xf numFmtId="4" fontId="12" fillId="0" borderId="0" xfId="0" applyNumberFormat="1" applyFont="1" applyAlignment="1">
      <alignment horizontal="center"/>
    </xf>
    <xf numFmtId="0" fontId="18" fillId="0" borderId="0" xfId="0" applyFont="1" applyAlignment="1">
      <alignment horizontal="right"/>
    </xf>
    <xf numFmtId="4" fontId="12" fillId="0" borderId="0" xfId="0" applyNumberFormat="1" applyFont="1" applyAlignment="1">
      <alignment horizontal="left"/>
    </xf>
    <xf numFmtId="38" fontId="12" fillId="0" borderId="0" xfId="0" quotePrefix="1" applyNumberFormat="1" applyFont="1"/>
    <xf numFmtId="0" fontId="18" fillId="2" borderId="0" xfId="0" applyFont="1" applyFill="1" applyAlignment="1">
      <alignment horizontal="right"/>
    </xf>
    <xf numFmtId="0" fontId="18" fillId="2" borderId="0" xfId="0" applyFont="1" applyFill="1" applyAlignment="1">
      <alignment horizontal="center"/>
    </xf>
    <xf numFmtId="170" fontId="12" fillId="2" borderId="8" xfId="0" applyNumberFormat="1" applyFont="1" applyFill="1" applyBorder="1"/>
    <xf numFmtId="43" fontId="12" fillId="0" borderId="8" xfId="1" applyFont="1" applyBorder="1" applyAlignment="1"/>
    <xf numFmtId="170" fontId="12" fillId="0" borderId="0" xfId="0" applyNumberFormat="1" applyFont="1"/>
    <xf numFmtId="0" fontId="14" fillId="0" borderId="0" xfId="0" applyFont="1"/>
    <xf numFmtId="43" fontId="12" fillId="4" borderId="1" xfId="1" applyFont="1" applyFill="1" applyBorder="1" applyAlignment="1"/>
    <xf numFmtId="7" fontId="12" fillId="0" borderId="0" xfId="0" applyNumberFormat="1" applyFont="1" applyAlignment="1">
      <alignment horizontal="center"/>
    </xf>
    <xf numFmtId="170" fontId="12" fillId="2" borderId="0" xfId="0" applyNumberFormat="1" applyFont="1" applyFill="1"/>
    <xf numFmtId="0" fontId="23" fillId="0" borderId="0" xfId="0" applyFont="1"/>
    <xf numFmtId="0" fontId="20" fillId="0" borderId="0" xfId="0" applyFont="1" applyAlignment="1">
      <alignment horizontal="center"/>
    </xf>
    <xf numFmtId="43" fontId="20" fillId="4" borderId="6" xfId="1" applyFont="1" applyFill="1" applyBorder="1" applyAlignment="1"/>
    <xf numFmtId="43" fontId="12" fillId="4" borderId="6" xfId="1" applyFont="1" applyFill="1" applyBorder="1" applyAlignment="1"/>
    <xf numFmtId="43" fontId="20" fillId="4" borderId="0" xfId="1" applyFont="1" applyFill="1" applyBorder="1" applyAlignment="1"/>
    <xf numFmtId="43" fontId="12" fillId="4" borderId="0" xfId="1" applyFont="1" applyFill="1" applyBorder="1" applyAlignment="1"/>
    <xf numFmtId="172" fontId="12" fillId="0" borderId="6" xfId="0" applyNumberFormat="1" applyFont="1" applyBorder="1"/>
    <xf numFmtId="0" fontId="12" fillId="0" borderId="0" xfId="0" applyFont="1" applyAlignment="1">
      <alignment horizontal="left" indent="1"/>
    </xf>
    <xf numFmtId="43" fontId="24" fillId="4" borderId="6" xfId="1" applyFont="1" applyFill="1" applyBorder="1" applyAlignment="1"/>
    <xf numFmtId="4" fontId="18" fillId="0" borderId="6" xfId="0" applyNumberFormat="1" applyFont="1" applyBorder="1"/>
    <xf numFmtId="43" fontId="24" fillId="4" borderId="1" xfId="1" applyFont="1" applyFill="1" applyBorder="1" applyAlignment="1"/>
    <xf numFmtId="43" fontId="24" fillId="4" borderId="0" xfId="1" applyFont="1" applyFill="1" applyBorder="1" applyAlignment="1"/>
    <xf numFmtId="4" fontId="18" fillId="0" borderId="0" xfId="0" applyNumberFormat="1" applyFont="1"/>
    <xf numFmtId="173" fontId="12" fillId="0" borderId="9" xfId="1" applyNumberFormat="1" applyFont="1" applyBorder="1" applyAlignment="1"/>
    <xf numFmtId="41" fontId="12" fillId="0" borderId="0" xfId="1" applyNumberFormat="1" applyFont="1" applyBorder="1" applyAlignment="1"/>
    <xf numFmtId="43" fontId="12" fillId="0" borderId="1" xfId="1" applyFont="1" applyFill="1" applyBorder="1" applyAlignment="1"/>
    <xf numFmtId="43" fontId="12" fillId="5" borderId="8" xfId="1" applyFont="1" applyFill="1" applyBorder="1" applyAlignment="1"/>
    <xf numFmtId="0" fontId="12" fillId="0" borderId="0" xfId="0" applyFont="1" applyAlignment="1">
      <alignment horizontal="left" indent="2"/>
    </xf>
    <xf numFmtId="0" fontId="12" fillId="0" borderId="0" xfId="7" applyFont="1"/>
    <xf numFmtId="0" fontId="25" fillId="0" borderId="0" xfId="9" applyFont="1"/>
    <xf numFmtId="0" fontId="20" fillId="0" borderId="10" xfId="9" applyFont="1" applyBorder="1" applyAlignment="1">
      <alignment horizontal="right"/>
    </xf>
    <xf numFmtId="0" fontId="18" fillId="0" borderId="11" xfId="9" applyFont="1" applyBorder="1"/>
    <xf numFmtId="0" fontId="12" fillId="0" borderId="0" xfId="9" applyFont="1"/>
    <xf numFmtId="0" fontId="26" fillId="0" borderId="0" xfId="9" applyFont="1"/>
    <xf numFmtId="0" fontId="18" fillId="0" borderId="1" xfId="9" applyFont="1" applyBorder="1" applyAlignment="1">
      <alignment horizontal="center"/>
    </xf>
    <xf numFmtId="0" fontId="26" fillId="0" borderId="10" xfId="9" applyFont="1" applyBorder="1"/>
    <xf numFmtId="0" fontId="26" fillId="0" borderId="11" xfId="9" applyFont="1" applyBorder="1" applyAlignment="1">
      <alignment horizontal="center"/>
    </xf>
    <xf numFmtId="44" fontId="25" fillId="0" borderId="0" xfId="9" applyNumberFormat="1" applyFont="1"/>
    <xf numFmtId="0" fontId="26" fillId="0" borderId="0" xfId="9" applyFont="1" applyAlignment="1">
      <alignment horizontal="right"/>
    </xf>
    <xf numFmtId="43" fontId="18" fillId="0" borderId="1" xfId="3" applyFont="1" applyBorder="1"/>
    <xf numFmtId="9" fontId="14" fillId="0" borderId="1" xfId="11" applyFont="1" applyBorder="1"/>
    <xf numFmtId="43" fontId="14" fillId="0" borderId="1" xfId="3" applyFont="1" applyBorder="1"/>
    <xf numFmtId="49" fontId="11" fillId="0" borderId="0" xfId="9" quotePrefix="1" applyNumberFormat="1" applyFont="1" applyAlignment="1">
      <alignment horizontal="left"/>
    </xf>
    <xf numFmtId="0" fontId="12" fillId="0" borderId="0" xfId="7" quotePrefix="1" applyFont="1" applyAlignment="1">
      <alignment horizontal="left"/>
    </xf>
    <xf numFmtId="0" fontId="26" fillId="0" borderId="0" xfId="9" quotePrefix="1" applyFont="1" applyAlignment="1">
      <alignment horizontal="left"/>
    </xf>
    <xf numFmtId="43" fontId="26" fillId="0" borderId="5" xfId="1" applyFont="1" applyBorder="1"/>
    <xf numFmtId="43" fontId="12" fillId="0" borderId="0" xfId="1" quotePrefix="1" applyFont="1" applyBorder="1" applyAlignment="1"/>
    <xf numFmtId="43" fontId="26" fillId="0" borderId="0" xfId="1" applyFont="1" applyBorder="1"/>
    <xf numFmtId="41" fontId="26" fillId="0" borderId="5" xfId="1" applyNumberFormat="1" applyFont="1" applyBorder="1"/>
    <xf numFmtId="41" fontId="26" fillId="0" borderId="0" xfId="1" applyNumberFormat="1" applyFont="1" applyBorder="1"/>
    <xf numFmtId="41" fontId="26" fillId="0" borderId="1" xfId="1" applyNumberFormat="1" applyFont="1" applyBorder="1"/>
    <xf numFmtId="0" fontId="20" fillId="0" borderId="5" xfId="9" applyFont="1" applyBorder="1" applyAlignment="1">
      <alignment horizontal="right"/>
    </xf>
    <xf numFmtId="0" fontId="26" fillId="0" borderId="5" xfId="9" applyFont="1" applyBorder="1"/>
    <xf numFmtId="43" fontId="18" fillId="0" borderId="0" xfId="3" applyFont="1" applyBorder="1"/>
    <xf numFmtId="43" fontId="25" fillId="0" borderId="0" xfId="1" applyFont="1"/>
    <xf numFmtId="0" fontId="26" fillId="0" borderId="0" xfId="9" quotePrefix="1" applyFont="1" applyAlignment="1">
      <alignment horizontal="left" indent="1"/>
    </xf>
    <xf numFmtId="0" fontId="25" fillId="0" borderId="0" xfId="9" quotePrefix="1" applyFont="1" applyAlignment="1">
      <alignment horizontal="left"/>
    </xf>
    <xf numFmtId="43" fontId="25" fillId="0" borderId="0" xfId="1" applyFont="1" applyBorder="1"/>
    <xf numFmtId="43" fontId="12" fillId="0" borderId="6" xfId="1" applyFont="1" applyFill="1" applyBorder="1" applyAlignment="1"/>
    <xf numFmtId="0" fontId="15" fillId="0" borderId="0" xfId="0" applyFont="1"/>
    <xf numFmtId="0" fontId="15" fillId="0" borderId="0" xfId="0" applyFont="1" applyAlignment="1">
      <alignment horizontal="left"/>
    </xf>
    <xf numFmtId="1" fontId="16" fillId="0" borderId="0" xfId="0" quotePrefix="1" applyNumberFormat="1" applyFont="1" applyAlignment="1">
      <alignment horizontal="left"/>
    </xf>
    <xf numFmtId="1" fontId="15" fillId="0" borderId="0" xfId="0" applyNumberFormat="1" applyFont="1" applyAlignment="1">
      <alignment horizontal="center"/>
    </xf>
    <xf numFmtId="0" fontId="15" fillId="0" borderId="0" xfId="0" applyFont="1" applyAlignment="1">
      <alignment horizontal="center"/>
    </xf>
    <xf numFmtId="1" fontId="16" fillId="0" borderId="4" xfId="0" applyNumberFormat="1" applyFont="1" applyBorder="1" applyAlignment="1">
      <alignment horizontal="center"/>
    </xf>
    <xf numFmtId="0" fontId="16" fillId="0" borderId="10" xfId="0" applyFont="1" applyBorder="1" applyAlignment="1">
      <alignment horizontal="center"/>
    </xf>
    <xf numFmtId="0" fontId="16" fillId="0" borderId="0" xfId="0" applyFont="1" applyAlignment="1">
      <alignment horizontal="center"/>
    </xf>
    <xf numFmtId="1" fontId="15" fillId="0" borderId="0" xfId="7" applyNumberFormat="1" applyFont="1" applyAlignment="1">
      <alignment horizontal="center"/>
    </xf>
    <xf numFmtId="0" fontId="15" fillId="0" borderId="0" xfId="0" quotePrefix="1" applyFont="1"/>
    <xf numFmtId="43" fontId="15" fillId="0" borderId="0" xfId="7" applyNumberFormat="1" applyFont="1"/>
    <xf numFmtId="0" fontId="16" fillId="4" borderId="0" xfId="0" applyFont="1" applyFill="1" applyAlignment="1">
      <alignment horizontal="center"/>
    </xf>
    <xf numFmtId="1" fontId="15" fillId="4" borderId="0" xfId="7" applyNumberFormat="1" applyFont="1" applyFill="1" applyAlignment="1">
      <alignment horizontal="center"/>
    </xf>
    <xf numFmtId="43" fontId="15" fillId="4" borderId="0" xfId="7" applyNumberFormat="1" applyFont="1" applyFill="1"/>
    <xf numFmtId="43" fontId="15" fillId="0" borderId="0" xfId="0" applyNumberFormat="1" applyFont="1"/>
    <xf numFmtId="43" fontId="15" fillId="0" borderId="9" xfId="0" applyNumberFormat="1" applyFont="1" applyBorder="1"/>
    <xf numFmtId="49" fontId="16" fillId="0" borderId="0" xfId="2" quotePrefix="1" applyNumberFormat="1" applyFont="1" applyAlignment="1">
      <alignment horizontal="left"/>
    </xf>
    <xf numFmtId="0" fontId="16" fillId="0" borderId="0" xfId="7" applyFont="1"/>
    <xf numFmtId="49" fontId="16" fillId="0" borderId="0" xfId="7" applyNumberFormat="1" applyFont="1" applyAlignment="1">
      <alignment horizontal="left"/>
    </xf>
    <xf numFmtId="49" fontId="16" fillId="0" borderId="0" xfId="2" applyNumberFormat="1" applyFont="1" applyAlignment="1">
      <alignment horizontal="left"/>
    </xf>
    <xf numFmtId="49" fontId="16" fillId="0" borderId="4" xfId="7" quotePrefix="1" applyNumberFormat="1" applyFont="1" applyBorder="1" applyAlignment="1">
      <alignment horizontal="center"/>
    </xf>
    <xf numFmtId="0" fontId="16" fillId="0" borderId="4" xfId="7" quotePrefix="1" applyFont="1" applyBorder="1" applyAlignment="1">
      <alignment horizontal="center"/>
    </xf>
    <xf numFmtId="49" fontId="27" fillId="0" borderId="0" xfId="7" quotePrefix="1" applyNumberFormat="1" applyFont="1" applyAlignment="1">
      <alignment horizontal="center" vertical="center"/>
    </xf>
    <xf numFmtId="177" fontId="27" fillId="0" borderId="0" xfId="7" quotePrefix="1" applyNumberFormat="1" applyFont="1" applyAlignment="1">
      <alignment horizontal="left"/>
    </xf>
    <xf numFmtId="177" fontId="27" fillId="0" borderId="0" xfId="7" applyNumberFormat="1" applyFont="1"/>
    <xf numFmtId="0" fontId="15" fillId="0" borderId="0" xfId="7" applyFont="1"/>
    <xf numFmtId="49" fontId="27" fillId="0" borderId="0" xfId="7" applyNumberFormat="1" applyFont="1" applyAlignment="1">
      <alignment horizontal="center" vertical="center"/>
    </xf>
    <xf numFmtId="0" fontId="15" fillId="0" borderId="0" xfId="7" quotePrefix="1" applyFont="1" applyAlignment="1">
      <alignment horizontal="left"/>
    </xf>
    <xf numFmtId="176" fontId="15" fillId="0" borderId="0" xfId="0" applyNumberFormat="1" applyFont="1"/>
    <xf numFmtId="1" fontId="16" fillId="0" borderId="0" xfId="0" quotePrefix="1" applyNumberFormat="1" applyFont="1"/>
    <xf numFmtId="1" fontId="15" fillId="0" borderId="0" xfId="0" applyNumberFormat="1" applyFont="1"/>
    <xf numFmtId="1" fontId="15" fillId="0" borderId="0" xfId="7" applyNumberFormat="1" applyFont="1"/>
    <xf numFmtId="1" fontId="15" fillId="4" borderId="0" xfId="7" applyNumberFormat="1" applyFont="1" applyFill="1"/>
    <xf numFmtId="1" fontId="16" fillId="0" borderId="10" xfId="0" applyNumberFormat="1" applyFont="1" applyBorder="1" applyAlignment="1">
      <alignment horizontal="center"/>
    </xf>
    <xf numFmtId="7" fontId="14" fillId="0" borderId="0" xfId="0" applyNumberFormat="1" applyFont="1" applyAlignment="1">
      <alignment horizontal="left"/>
    </xf>
    <xf numFmtId="169" fontId="14" fillId="0" borderId="0" xfId="0" applyNumberFormat="1" applyFont="1" applyAlignment="1">
      <alignment horizontal="center"/>
    </xf>
    <xf numFmtId="7" fontId="12" fillId="0" borderId="0" xfId="0" applyNumberFormat="1" applyFont="1"/>
    <xf numFmtId="7" fontId="12" fillId="0" borderId="1" xfId="0" applyNumberFormat="1" applyFont="1" applyBorder="1"/>
    <xf numFmtId="4" fontId="12" fillId="0" borderId="2" xfId="0" applyNumberFormat="1" applyFont="1" applyBorder="1"/>
    <xf numFmtId="4" fontId="13" fillId="0" borderId="2" xfId="0" applyNumberFormat="1" applyFont="1" applyBorder="1" applyAlignment="1">
      <alignment horizontal="left"/>
    </xf>
    <xf numFmtId="4" fontId="13" fillId="0" borderId="2" xfId="0" applyNumberFormat="1" applyFont="1" applyBorder="1"/>
    <xf numFmtId="1" fontId="15" fillId="4" borderId="0" xfId="7" applyNumberFormat="1" applyFont="1" applyFill="1" applyAlignment="1">
      <alignment horizontal="left" indent="1"/>
    </xf>
    <xf numFmtId="0" fontId="16" fillId="0" borderId="0" xfId="0" quotePrefix="1" applyFont="1" applyAlignment="1">
      <alignment horizontal="center"/>
    </xf>
    <xf numFmtId="1" fontId="15" fillId="0" borderId="0" xfId="7" applyNumberFormat="1" applyFont="1" applyAlignment="1">
      <alignment horizontal="left" indent="1"/>
    </xf>
    <xf numFmtId="0" fontId="15" fillId="0" borderId="0" xfId="0" quotePrefix="1" applyFont="1" applyAlignment="1">
      <alignment horizontal="left" indent="1"/>
    </xf>
    <xf numFmtId="0" fontId="15" fillId="4" borderId="0" xfId="0" quotePrefix="1" applyFont="1" applyFill="1" applyAlignment="1">
      <alignment horizontal="left" indent="1"/>
    </xf>
    <xf numFmtId="0" fontId="16" fillId="0" borderId="4" xfId="0" applyFont="1" applyBorder="1" applyAlignment="1">
      <alignment horizontal="center"/>
    </xf>
    <xf numFmtId="4" fontId="13" fillId="0" borderId="0" xfId="0" applyNumberFormat="1" applyFont="1" applyAlignment="1">
      <alignment horizontal="left"/>
    </xf>
    <xf numFmtId="4" fontId="12" fillId="0" borderId="2" xfId="0" applyNumberFormat="1" applyFont="1" applyBorder="1" applyAlignment="1">
      <alignment horizontal="left"/>
    </xf>
    <xf numFmtId="43" fontId="12" fillId="0" borderId="0" xfId="0" applyNumberFormat="1" applyFont="1"/>
    <xf numFmtId="1" fontId="28" fillId="0" borderId="0" xfId="0" quotePrefix="1" applyNumberFormat="1" applyFont="1" applyAlignment="1">
      <alignment horizontal="left"/>
    </xf>
    <xf numFmtId="43" fontId="15" fillId="0" borderId="0" xfId="1" applyFont="1"/>
    <xf numFmtId="43" fontId="16" fillId="0" borderId="0" xfId="1" quotePrefix="1" applyFont="1" applyFill="1" applyBorder="1" applyAlignment="1">
      <alignment horizontal="center"/>
    </xf>
    <xf numFmtId="43" fontId="15" fillId="0" borderId="0" xfId="1" applyFont="1" applyFill="1" applyBorder="1" applyAlignment="1"/>
    <xf numFmtId="0" fontId="15" fillId="0" borderId="0" xfId="0" quotePrefix="1" applyFont="1" applyAlignment="1">
      <alignment horizontal="left"/>
    </xf>
    <xf numFmtId="0" fontId="15" fillId="0" borderId="0" xfId="0" quotePrefix="1" applyFont="1" applyAlignment="1">
      <alignment horizontal="center"/>
    </xf>
    <xf numFmtId="0" fontId="16" fillId="0" borderId="0" xfId="0" quotePrefix="1" applyFont="1" applyAlignment="1">
      <alignment vertical="center"/>
    </xf>
    <xf numFmtId="41" fontId="20" fillId="0" borderId="0" xfId="1" applyNumberFormat="1" applyFont="1" applyFill="1" applyBorder="1"/>
    <xf numFmtId="43" fontId="20" fillId="0" borderId="1" xfId="1" quotePrefix="1" applyFont="1" applyBorder="1" applyAlignment="1"/>
    <xf numFmtId="43" fontId="24" fillId="0" borderId="0" xfId="9" applyNumberFormat="1" applyFont="1"/>
    <xf numFmtId="43" fontId="24" fillId="0" borderId="1" xfId="9" applyNumberFormat="1" applyFont="1" applyBorder="1"/>
    <xf numFmtId="0" fontId="14" fillId="0" borderId="0" xfId="0" quotePrefix="1" applyFont="1" applyAlignment="1">
      <alignment horizontal="left"/>
    </xf>
    <xf numFmtId="43" fontId="20" fillId="0" borderId="1" xfId="1" applyFont="1" applyBorder="1"/>
    <xf numFmtId="16" fontId="12" fillId="0" borderId="0" xfId="0" applyNumberFormat="1" applyFont="1"/>
    <xf numFmtId="0" fontId="16" fillId="0" borderId="0" xfId="0" applyFont="1"/>
    <xf numFmtId="0" fontId="16" fillId="0" borderId="0" xfId="0" quotePrefix="1" applyFont="1" applyAlignment="1">
      <alignment horizontal="left" indent="4"/>
    </xf>
    <xf numFmtId="0" fontId="20" fillId="0" borderId="0" xfId="0" quotePrefix="1" applyFont="1" applyAlignment="1">
      <alignment horizontal="left"/>
    </xf>
    <xf numFmtId="0" fontId="20" fillId="0" borderId="0" xfId="0" applyFont="1"/>
    <xf numFmtId="0" fontId="20" fillId="0" borderId="0" xfId="0" quotePrefix="1" applyFont="1" applyAlignment="1">
      <alignment horizontal="left" indent="4"/>
    </xf>
    <xf numFmtId="0" fontId="12" fillId="4" borderId="4" xfId="0" applyFont="1" applyFill="1" applyBorder="1" applyAlignment="1">
      <alignment horizontal="left"/>
    </xf>
    <xf numFmtId="0" fontId="12" fillId="4" borderId="4" xfId="0" applyFont="1" applyFill="1" applyBorder="1" applyAlignment="1">
      <alignment horizontal="center"/>
    </xf>
    <xf numFmtId="0" fontId="26" fillId="0" borderId="0" xfId="9" quotePrefix="1" applyFont="1" applyAlignment="1">
      <alignment horizontal="right"/>
    </xf>
    <xf numFmtId="43" fontId="29" fillId="0" borderId="0" xfId="1" applyFont="1"/>
    <xf numFmtId="0" fontId="29" fillId="0" borderId="0" xfId="0" applyFont="1"/>
    <xf numFmtId="1" fontId="15" fillId="0" borderId="0" xfId="7" quotePrefix="1" applyNumberFormat="1" applyFont="1" applyAlignment="1">
      <alignment horizontal="left"/>
    </xf>
    <xf numFmtId="1" fontId="15" fillId="4" borderId="0" xfId="7" quotePrefix="1" applyNumberFormat="1" applyFont="1" applyFill="1" applyAlignment="1">
      <alignment horizontal="left"/>
    </xf>
    <xf numFmtId="1" fontId="15" fillId="0" borderId="0" xfId="2" applyNumberFormat="1" applyFont="1" applyFill="1" applyBorder="1" applyAlignment="1">
      <alignment horizontal="center"/>
    </xf>
    <xf numFmtId="1" fontId="15" fillId="0" borderId="0" xfId="2" applyNumberFormat="1" applyFont="1" applyFill="1" applyBorder="1" applyAlignment="1"/>
    <xf numFmtId="1" fontId="15" fillId="0" borderId="0" xfId="2" quotePrefix="1" applyNumberFormat="1" applyFont="1" applyFill="1" applyBorder="1" applyAlignment="1">
      <alignment horizontal="left"/>
    </xf>
    <xf numFmtId="43" fontId="12" fillId="0" borderId="0" xfId="1" applyFont="1" applyBorder="1" applyAlignment="1">
      <alignment horizontal="center"/>
    </xf>
    <xf numFmtId="43" fontId="20" fillId="0" borderId="0" xfId="1" applyFont="1" applyBorder="1"/>
    <xf numFmtId="43" fontId="12" fillId="5" borderId="9" xfId="1" applyFont="1" applyFill="1" applyBorder="1" applyAlignment="1"/>
    <xf numFmtId="0" fontId="15" fillId="0" borderId="0" xfId="0" quotePrefix="1" applyFont="1" applyAlignment="1">
      <alignment horizontal="right"/>
    </xf>
    <xf numFmtId="43" fontId="16" fillId="0" borderId="4" xfId="1" quotePrefix="1" applyFont="1" applyFill="1" applyBorder="1" applyAlignment="1">
      <alignment horizontal="center"/>
    </xf>
    <xf numFmtId="43" fontId="20" fillId="0" borderId="1" xfId="1" applyFont="1" applyBorder="1" applyAlignment="1"/>
    <xf numFmtId="37" fontId="20" fillId="0" borderId="1" xfId="1" applyNumberFormat="1" applyFont="1" applyBorder="1" applyAlignment="1"/>
    <xf numFmtId="37" fontId="20" fillId="0" borderId="1" xfId="1" applyNumberFormat="1" applyFont="1" applyBorder="1" applyAlignment="1">
      <alignment horizontal="center"/>
    </xf>
    <xf numFmtId="43" fontId="20" fillId="0" borderId="1" xfId="1" applyFont="1" applyBorder="1" applyAlignment="1">
      <alignment horizontal="center"/>
    </xf>
    <xf numFmtId="37" fontId="20" fillId="0" borderId="0" xfId="1" applyNumberFormat="1" applyFont="1"/>
    <xf numFmtId="41" fontId="20" fillId="0" borderId="0" xfId="1" applyNumberFormat="1" applyFont="1" applyFill="1" applyBorder="1" applyAlignment="1"/>
    <xf numFmtId="49" fontId="15" fillId="0" borderId="0" xfId="0" quotePrefix="1" applyNumberFormat="1" applyFont="1" applyAlignment="1">
      <alignment horizontal="left" indent="1"/>
    </xf>
    <xf numFmtId="49" fontId="15" fillId="4" borderId="0" xfId="0" quotePrefix="1" applyNumberFormat="1" applyFont="1" applyFill="1"/>
    <xf numFmtId="49" fontId="15" fillId="4" borderId="0" xfId="0" quotePrefix="1" applyNumberFormat="1" applyFont="1" applyFill="1" applyAlignment="1">
      <alignment horizontal="left" indent="1"/>
    </xf>
    <xf numFmtId="49" fontId="15" fillId="4" borderId="0" xfId="7" applyNumberFormat="1" applyFont="1" applyFill="1" applyAlignment="1">
      <alignment horizontal="left" indent="1"/>
    </xf>
    <xf numFmtId="49" fontId="15" fillId="0" borderId="0" xfId="0" applyNumberFormat="1" applyFont="1"/>
    <xf numFmtId="0" fontId="12" fillId="0" borderId="0" xfId="0" quotePrefix="1" applyFont="1" applyAlignment="1">
      <alignment horizontal="left" indent="1"/>
    </xf>
    <xf numFmtId="49" fontId="20" fillId="0" borderId="0" xfId="7" applyNumberFormat="1" applyFont="1"/>
    <xf numFmtId="0" fontId="15" fillId="0" borderId="0" xfId="0" applyFont="1" applyAlignment="1">
      <alignment horizontal="right"/>
    </xf>
    <xf numFmtId="0" fontId="16" fillId="0" borderId="0" xfId="0" quotePrefix="1" applyFont="1" applyAlignment="1">
      <alignment horizontal="left" vertical="top"/>
    </xf>
    <xf numFmtId="0" fontId="11" fillId="0" borderId="0" xfId="0" quotePrefix="1" applyFont="1"/>
    <xf numFmtId="169" fontId="14" fillId="6" borderId="0" xfId="0" applyNumberFormat="1" applyFont="1" applyFill="1" applyAlignment="1">
      <alignment horizontal="center"/>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175" fontId="20" fillId="6" borderId="0" xfId="0" applyNumberFormat="1" applyFont="1" applyFill="1"/>
    <xf numFmtId="38" fontId="20" fillId="6" borderId="0" xfId="0" quotePrefix="1" applyNumberFormat="1" applyFont="1" applyFill="1"/>
    <xf numFmtId="0" fontId="30" fillId="0" borderId="0" xfId="0" applyFont="1"/>
    <xf numFmtId="0" fontId="20" fillId="3" borderId="0" xfId="0" quotePrefix="1" applyFont="1" applyFill="1" applyAlignment="1">
      <alignment horizontal="left"/>
    </xf>
    <xf numFmtId="0" fontId="20" fillId="3" borderId="0" xfId="0" applyFont="1" applyFill="1"/>
    <xf numFmtId="16" fontId="15" fillId="0" borderId="0" xfId="0" applyNumberFormat="1" applyFont="1"/>
    <xf numFmtId="43" fontId="29" fillId="0" borderId="0" xfId="1" applyFont="1" applyFill="1"/>
    <xf numFmtId="43" fontId="15" fillId="0" borderId="0" xfId="1" applyFont="1" applyFill="1"/>
    <xf numFmtId="7" fontId="14" fillId="6" borderId="0" xfId="0" applyNumberFormat="1" applyFont="1" applyFill="1" applyAlignment="1">
      <alignment horizontal="left"/>
    </xf>
    <xf numFmtId="4" fontId="12" fillId="6" borderId="1" xfId="0" applyNumberFormat="1" applyFont="1" applyFill="1" applyBorder="1" applyAlignment="1">
      <alignment horizontal="center"/>
    </xf>
    <xf numFmtId="43" fontId="12" fillId="6" borderId="1" xfId="1" applyFont="1" applyFill="1" applyBorder="1" applyAlignment="1"/>
    <xf numFmtId="41" fontId="12" fillId="6" borderId="0" xfId="1" applyNumberFormat="1" applyFont="1" applyFill="1" applyBorder="1" applyAlignment="1"/>
    <xf numFmtId="4" fontId="12" fillId="6" borderId="0" xfId="0" applyNumberFormat="1" applyFont="1" applyFill="1" applyAlignment="1">
      <alignment horizontal="center"/>
    </xf>
    <xf numFmtId="38" fontId="12" fillId="6" borderId="0" xfId="0" quotePrefix="1" applyNumberFormat="1" applyFont="1" applyFill="1"/>
    <xf numFmtId="164" fontId="12" fillId="0" borderId="0" xfId="6" quotePrefix="1" applyFont="1" applyBorder="1" applyAlignment="1">
      <alignment horizontal="center" wrapText="1"/>
    </xf>
    <xf numFmtId="3" fontId="12" fillId="2" borderId="0" xfId="0" quotePrefix="1" applyNumberFormat="1" applyFont="1" applyFill="1"/>
    <xf numFmtId="0" fontId="8" fillId="0" borderId="0" xfId="0" quotePrefix="1" applyFont="1" applyAlignment="1">
      <alignment horizontal="left"/>
    </xf>
    <xf numFmtId="0" fontId="31" fillId="0" borderId="0" xfId="0" applyFont="1"/>
    <xf numFmtId="0" fontId="12" fillId="7" borderId="0" xfId="0" applyFont="1" applyFill="1"/>
    <xf numFmtId="0" fontId="12" fillId="7" borderId="0" xfId="0" applyFont="1" applyFill="1" applyAlignment="1">
      <alignment horizontal="left"/>
    </xf>
    <xf numFmtId="0" fontId="18" fillId="7" borderId="0" xfId="0" applyFont="1" applyFill="1"/>
    <xf numFmtId="43" fontId="12" fillId="7" borderId="0" xfId="1" applyFont="1" applyFill="1" applyBorder="1" applyAlignment="1"/>
    <xf numFmtId="49" fontId="15" fillId="0" borderId="0" xfId="7" applyNumberFormat="1" applyFont="1"/>
    <xf numFmtId="49" fontId="15" fillId="4" borderId="0" xfId="7" quotePrefix="1" applyNumberFormat="1" applyFont="1" applyFill="1" applyAlignment="1">
      <alignment horizontal="left" indent="1"/>
    </xf>
    <xf numFmtId="9" fontId="13" fillId="0" borderId="0" xfId="11" quotePrefix="1" applyFont="1" applyAlignment="1">
      <alignment horizontal="left"/>
    </xf>
    <xf numFmtId="0" fontId="31" fillId="0" borderId="3" xfId="0" quotePrefix="1" applyFont="1" applyBorder="1" applyAlignment="1">
      <alignment horizontal="center"/>
    </xf>
    <xf numFmtId="0" fontId="32" fillId="0" borderId="0" xfId="0" quotePrefix="1" applyFont="1" applyAlignment="1">
      <alignment horizontal="left"/>
    </xf>
    <xf numFmtId="16" fontId="29" fillId="0" borderId="0" xfId="0" applyNumberFormat="1" applyFont="1"/>
    <xf numFmtId="0" fontId="8" fillId="0" borderId="0" xfId="0" quotePrefix="1" applyFont="1" applyAlignment="1">
      <alignment horizontal="left" indent="1"/>
    </xf>
    <xf numFmtId="0" fontId="16" fillId="0" borderId="0" xfId="0" quotePrefix="1" applyFont="1" applyAlignment="1" applyProtection="1">
      <alignment horizontal="left"/>
      <protection locked="0"/>
    </xf>
    <xf numFmtId="170" fontId="12" fillId="0" borderId="0" xfId="6" quotePrefix="1" applyNumberFormat="1" applyFont="1" applyBorder="1" applyAlignment="1">
      <alignment horizontal="center"/>
    </xf>
    <xf numFmtId="0" fontId="32" fillId="0" borderId="0" xfId="0" quotePrefix="1" applyFont="1" applyAlignment="1">
      <alignment horizontal="left" indent="2"/>
    </xf>
    <xf numFmtId="16" fontId="12" fillId="0" borderId="0" xfId="0" applyNumberFormat="1" applyFont="1" applyAlignment="1">
      <alignment vertical="center"/>
    </xf>
    <xf numFmtId="0" fontId="18" fillId="0" borderId="1" xfId="0" quotePrefix="1" applyFont="1" applyBorder="1" applyAlignment="1">
      <alignment horizontal="center"/>
    </xf>
    <xf numFmtId="164" fontId="20" fillId="0" borderId="0" xfId="6" quotePrefix="1" applyFont="1" applyBorder="1" applyAlignment="1">
      <alignment horizontal="center" wrapText="1"/>
    </xf>
    <xf numFmtId="14" fontId="18" fillId="0" borderId="1" xfId="0" quotePrefix="1" applyNumberFormat="1" applyFont="1" applyBorder="1" applyAlignment="1">
      <alignment horizontal="center"/>
    </xf>
    <xf numFmtId="43" fontId="29" fillId="4" borderId="0" xfId="1" applyFont="1" applyFill="1" applyBorder="1" applyAlignment="1"/>
    <xf numFmtId="43" fontId="29" fillId="0" borderId="0" xfId="1" applyFont="1" applyFill="1" applyBorder="1" applyAlignment="1"/>
    <xf numFmtId="43" fontId="29" fillId="0" borderId="0" xfId="1" applyFont="1" applyFill="1" applyAlignment="1"/>
    <xf numFmtId="43" fontId="29" fillId="0" borderId="0" xfId="1" applyFont="1" applyFill="1" applyBorder="1"/>
    <xf numFmtId="0" fontId="15" fillId="4" borderId="0" xfId="0" applyFont="1" applyFill="1" applyAlignment="1">
      <alignment horizontal="center"/>
    </xf>
    <xf numFmtId="0" fontId="15" fillId="0" borderId="0" xfId="0" quotePrefix="1" applyFont="1" applyAlignment="1">
      <alignment horizontal="left" vertical="top"/>
    </xf>
    <xf numFmtId="17" fontId="18" fillId="0" borderId="0" xfId="0" quotePrefix="1" applyNumberFormat="1" applyFont="1" applyAlignment="1">
      <alignment horizontal="center"/>
    </xf>
    <xf numFmtId="7" fontId="15" fillId="0" borderId="0" xfId="0" quotePrefix="1" applyNumberFormat="1" applyFont="1" applyAlignment="1">
      <alignment horizontal="center"/>
    </xf>
    <xf numFmtId="0" fontId="8" fillId="2" borderId="12" xfId="0" quotePrefix="1" applyFont="1" applyFill="1" applyBorder="1" applyAlignment="1">
      <alignment horizontal="left"/>
    </xf>
    <xf numFmtId="0" fontId="32" fillId="2" borderId="12" xfId="0" quotePrefix="1" applyFont="1" applyFill="1" applyBorder="1" applyAlignment="1">
      <alignment horizontal="left" indent="1"/>
    </xf>
    <xf numFmtId="0" fontId="8" fillId="2" borderId="12" xfId="0" quotePrefix="1" applyFont="1" applyFill="1" applyBorder="1" applyAlignment="1">
      <alignment horizontal="left" indent="1"/>
    </xf>
    <xf numFmtId="0" fontId="32" fillId="2" borderId="12" xfId="0" quotePrefix="1" applyFont="1" applyFill="1" applyBorder="1" applyAlignment="1">
      <alignment horizontal="left" indent="2"/>
    </xf>
    <xf numFmtId="0" fontId="32" fillId="2" borderId="12" xfId="0" quotePrefix="1" applyFont="1" applyFill="1" applyBorder="1" applyAlignment="1">
      <alignment horizontal="left"/>
    </xf>
    <xf numFmtId="0" fontId="8" fillId="2" borderId="13" xfId="0" quotePrefix="1" applyFont="1" applyFill="1" applyBorder="1" applyAlignment="1">
      <alignment horizontal="left"/>
    </xf>
    <xf numFmtId="0" fontId="15" fillId="0" borderId="0" xfId="0" quotePrefix="1" applyFont="1" applyAlignment="1">
      <alignment horizontal="left" vertical="center" indent="1"/>
    </xf>
    <xf numFmtId="49" fontId="15" fillId="0" borderId="0" xfId="7" quotePrefix="1" applyNumberFormat="1" applyFont="1" applyAlignment="1">
      <alignment horizontal="left" indent="1"/>
    </xf>
    <xf numFmtId="0" fontId="30" fillId="0" borderId="0" xfId="0" applyFont="1" applyAlignment="1">
      <alignment horizontal="left"/>
    </xf>
    <xf numFmtId="0" fontId="16" fillId="0" borderId="0" xfId="0" applyFont="1" applyAlignment="1">
      <alignment vertical="center" wrapText="1"/>
    </xf>
    <xf numFmtId="0" fontId="16" fillId="0" borderId="0" xfId="0" quotePrefix="1" applyFont="1" applyAlignment="1" applyProtection="1">
      <alignment horizontal="left" vertical="center"/>
      <protection locked="0"/>
    </xf>
    <xf numFmtId="0" fontId="16" fillId="0" borderId="0" xfId="0" applyFont="1" applyAlignment="1" applyProtection="1">
      <alignment vertical="center"/>
      <protection locked="0"/>
    </xf>
    <xf numFmtId="0" fontId="16" fillId="0" borderId="0" xfId="0" applyFont="1" applyAlignment="1">
      <alignment vertical="center"/>
    </xf>
    <xf numFmtId="0" fontId="16" fillId="0" borderId="0" xfId="0" quotePrefix="1" applyFont="1" applyAlignment="1">
      <alignment horizontal="left" vertical="center"/>
    </xf>
    <xf numFmtId="0" fontId="30" fillId="0" borderId="0" xfId="0" quotePrefix="1" applyFont="1" applyAlignment="1">
      <alignment horizontal="left" vertical="center"/>
    </xf>
    <xf numFmtId="0" fontId="30" fillId="0" borderId="0" xfId="0" applyFont="1" applyAlignment="1">
      <alignment vertical="center"/>
    </xf>
    <xf numFmtId="0" fontId="16" fillId="0" borderId="0" xfId="0" quotePrefix="1" applyFont="1" applyAlignment="1" applyProtection="1">
      <alignment horizontal="left" vertical="center" indent="2"/>
      <protection locked="0"/>
    </xf>
    <xf numFmtId="0" fontId="16" fillId="0" borderId="0" xfId="0" applyFont="1" applyAlignment="1">
      <alignment horizontal="left" vertical="center" indent="2"/>
    </xf>
    <xf numFmtId="0" fontId="16" fillId="0" borderId="0" xfId="0" quotePrefix="1" applyFont="1" applyAlignment="1">
      <alignment horizontal="left" vertical="center" indent="2"/>
    </xf>
    <xf numFmtId="0" fontId="30" fillId="0" borderId="0" xfId="0" quotePrefix="1" applyFont="1" applyAlignment="1">
      <alignment horizontal="left" vertical="center" indent="1"/>
    </xf>
    <xf numFmtId="0" fontId="33" fillId="0" borderId="0" xfId="0" applyFont="1"/>
    <xf numFmtId="0" fontId="33" fillId="0" borderId="0" xfId="0" applyFont="1" applyAlignment="1">
      <alignment vertical="center"/>
    </xf>
    <xf numFmtId="0" fontId="30" fillId="0" borderId="0" xfId="0" applyFont="1" applyAlignment="1">
      <alignment horizontal="left" vertical="center"/>
    </xf>
    <xf numFmtId="0" fontId="33" fillId="0" borderId="0" xfId="0" quotePrefix="1" applyFont="1" applyAlignment="1" applyProtection="1">
      <alignment horizontal="left" vertical="center"/>
      <protection locked="0"/>
    </xf>
    <xf numFmtId="0" fontId="33" fillId="0" borderId="0" xfId="0" quotePrefix="1" applyFont="1" applyAlignment="1" applyProtection="1">
      <alignment horizontal="left"/>
      <protection locked="0"/>
    </xf>
    <xf numFmtId="0" fontId="30" fillId="0" borderId="0" xfId="0" quotePrefix="1" applyFont="1" applyAlignment="1" applyProtection="1">
      <alignment horizontal="left"/>
      <protection locked="0"/>
    </xf>
    <xf numFmtId="0" fontId="30" fillId="0" borderId="0" xfId="0" quotePrefix="1" applyFont="1" applyAlignment="1" applyProtection="1">
      <alignment horizontal="left" indent="1"/>
      <protection locked="0"/>
    </xf>
    <xf numFmtId="0" fontId="30" fillId="0" borderId="0" xfId="0" quotePrefix="1" applyFont="1" applyAlignment="1" applyProtection="1">
      <alignment horizontal="left" vertical="center"/>
      <protection locked="0"/>
    </xf>
    <xf numFmtId="0" fontId="30" fillId="0" borderId="0" xfId="0" quotePrefix="1" applyFont="1" applyAlignment="1" applyProtection="1">
      <alignment horizontal="left" vertical="center" indent="1"/>
      <protection locked="0"/>
    </xf>
    <xf numFmtId="1" fontId="15" fillId="0" borderId="0" xfId="7" quotePrefix="1" applyNumberFormat="1" applyFont="1" applyAlignment="1">
      <alignment horizontal="right"/>
    </xf>
    <xf numFmtId="43" fontId="15" fillId="0" borderId="0" xfId="7" applyNumberFormat="1" applyFont="1" applyAlignment="1">
      <alignment vertical="center"/>
    </xf>
    <xf numFmtId="164" fontId="12" fillId="2" borderId="0" xfId="6" quotePrefix="1" applyFont="1" applyFill="1" applyBorder="1" applyAlignment="1">
      <alignment horizontal="center" wrapText="1"/>
    </xf>
    <xf numFmtId="164" fontId="12" fillId="0" borderId="0" xfId="6" quotePrefix="1" applyFont="1" applyBorder="1" applyAlignment="1">
      <alignment horizontal="center"/>
    </xf>
    <xf numFmtId="16" fontId="16" fillId="0" borderId="0" xfId="0" applyNumberFormat="1" applyFont="1" applyAlignment="1">
      <alignment horizontal="left"/>
    </xf>
    <xf numFmtId="49" fontId="16" fillId="2" borderId="7" xfId="0" quotePrefix="1" applyNumberFormat="1" applyFont="1" applyFill="1" applyBorder="1" applyAlignment="1">
      <alignment horizontal="left"/>
    </xf>
    <xf numFmtId="49" fontId="31" fillId="2" borderId="0" xfId="0" quotePrefix="1" applyNumberFormat="1" applyFont="1" applyFill="1" applyAlignment="1">
      <alignment horizontal="center"/>
    </xf>
    <xf numFmtId="49" fontId="16" fillId="2" borderId="2" xfId="0" applyNumberFormat="1" applyFont="1" applyFill="1" applyBorder="1"/>
    <xf numFmtId="0" fontId="15" fillId="0" borderId="0" xfId="0" quotePrefix="1" applyFont="1" applyAlignment="1">
      <alignment vertical="center"/>
    </xf>
    <xf numFmtId="0" fontId="15" fillId="4" borderId="0" xfId="0" quotePrefix="1" applyFont="1" applyFill="1" applyAlignment="1">
      <alignment horizontal="left" vertical="center" indent="1"/>
    </xf>
    <xf numFmtId="0" fontId="34" fillId="2" borderId="12" xfId="0" applyFont="1" applyFill="1" applyBorder="1"/>
    <xf numFmtId="1" fontId="15" fillId="4" borderId="0" xfId="7" applyNumberFormat="1" applyFont="1" applyFill="1" applyAlignment="1">
      <alignment horizontal="right" indent="1"/>
    </xf>
    <xf numFmtId="1" fontId="15" fillId="0" borderId="0" xfId="7" quotePrefix="1" applyNumberFormat="1" applyFont="1" applyAlignment="1">
      <alignment horizontal="right" indent="1"/>
    </xf>
    <xf numFmtId="0" fontId="15" fillId="0" borderId="0" xfId="0" quotePrefix="1" applyFont="1" applyAlignment="1">
      <alignment horizontal="left" vertical="center"/>
    </xf>
    <xf numFmtId="0" fontId="8" fillId="0" borderId="16" xfId="0" quotePrefix="1" applyFont="1" applyBorder="1" applyAlignment="1">
      <alignment horizontal="left" indent="1"/>
    </xf>
    <xf numFmtId="0" fontId="20" fillId="4" borderId="4" xfId="0" applyFont="1" applyFill="1" applyBorder="1" applyAlignment="1">
      <alignment horizontal="center"/>
    </xf>
    <xf numFmtId="1" fontId="15" fillId="4" borderId="0" xfId="2" applyNumberFormat="1" applyFont="1" applyFill="1" applyBorder="1" applyAlignment="1">
      <alignment horizontal="center"/>
    </xf>
    <xf numFmtId="1" fontId="15" fillId="4" borderId="0" xfId="2" quotePrefix="1" applyNumberFormat="1" applyFont="1" applyFill="1" applyBorder="1" applyAlignment="1">
      <alignment horizontal="left"/>
    </xf>
    <xf numFmtId="49" fontId="16" fillId="2" borderId="17" xfId="0" quotePrefix="1" applyNumberFormat="1" applyFont="1" applyFill="1" applyBorder="1" applyAlignment="1">
      <alignment horizontal="left" indent="1"/>
    </xf>
    <xf numFmtId="0" fontId="16" fillId="2" borderId="7" xfId="0" quotePrefix="1" applyFont="1" applyFill="1" applyBorder="1" applyAlignment="1">
      <alignment horizontal="left" indent="1"/>
    </xf>
    <xf numFmtId="0" fontId="12" fillId="2" borderId="0" xfId="0" quotePrefix="1" applyFont="1" applyFill="1" applyAlignment="1">
      <alignment horizontal="left"/>
    </xf>
    <xf numFmtId="0" fontId="14" fillId="2" borderId="0" xfId="0" applyFont="1" applyFill="1" applyAlignment="1">
      <alignment horizontal="left"/>
    </xf>
    <xf numFmtId="0" fontId="16" fillId="0" borderId="0" xfId="0" quotePrefix="1" applyFont="1" applyAlignment="1" applyProtection="1">
      <alignment horizontal="left" indent="2"/>
      <protection locked="0"/>
    </xf>
    <xf numFmtId="0" fontId="16" fillId="0" borderId="0" xfId="0" applyFont="1" applyProtection="1">
      <protection locked="0"/>
    </xf>
    <xf numFmtId="0" fontId="14"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2" fillId="0" borderId="0" xfId="0" applyFont="1" applyAlignment="1">
      <alignment horizontal="left" vertical="center" indent="2"/>
    </xf>
    <xf numFmtId="169" fontId="17" fillId="0" borderId="0" xfId="0" applyNumberFormat="1" applyFont="1" applyAlignment="1">
      <alignment horizontal="left" vertical="center" indent="2"/>
    </xf>
    <xf numFmtId="2" fontId="12" fillId="0" borderId="0" xfId="0" applyNumberFormat="1" applyFont="1" applyAlignment="1">
      <alignment horizontal="left" vertical="center" indent="2"/>
    </xf>
    <xf numFmtId="43" fontId="12" fillId="0" borderId="0" xfId="1" applyFont="1" applyBorder="1" applyAlignment="1">
      <alignment horizontal="left" vertical="center" indent="2"/>
    </xf>
    <xf numFmtId="0" fontId="12" fillId="2" borderId="0" xfId="0" applyFont="1" applyFill="1" applyAlignment="1">
      <alignment horizontal="left" vertical="center" indent="2"/>
    </xf>
    <xf numFmtId="169" fontId="17" fillId="2" borderId="0" xfId="0" applyNumberFormat="1" applyFont="1" applyFill="1" applyAlignment="1">
      <alignment horizontal="left" vertical="center" indent="2"/>
    </xf>
    <xf numFmtId="2" fontId="12" fillId="2" borderId="0" xfId="0" applyNumberFormat="1" applyFont="1" applyFill="1" applyAlignment="1">
      <alignment horizontal="left" vertical="center" indent="2"/>
    </xf>
    <xf numFmtId="0" fontId="40" fillId="0" borderId="0" xfId="0" applyFont="1" applyAlignment="1">
      <alignment horizontal="left" vertical="top" indent="2"/>
    </xf>
    <xf numFmtId="0" fontId="12" fillId="0" borderId="0" xfId="0" quotePrefix="1" applyFont="1"/>
    <xf numFmtId="44" fontId="12" fillId="0" borderId="0" xfId="1" applyNumberFormat="1" applyFont="1" applyAlignment="1">
      <alignment horizontal="right"/>
    </xf>
    <xf numFmtId="10" fontId="12" fillId="0" borderId="0" xfId="10" applyNumberFormat="1" applyFont="1" applyAlignment="1">
      <alignment horizontal="center"/>
    </xf>
    <xf numFmtId="43" fontId="12" fillId="2" borderId="0" xfId="1" applyFont="1" applyFill="1" applyBorder="1" applyAlignment="1"/>
    <xf numFmtId="0" fontId="40" fillId="2" borderId="0" xfId="0" quotePrefix="1" applyFont="1" applyFill="1" applyAlignment="1">
      <alignment horizontal="left" vertical="center" indent="2"/>
    </xf>
    <xf numFmtId="43" fontId="12"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2" fillId="2" borderId="0" xfId="0" quotePrefix="1" applyFont="1" applyFill="1"/>
    <xf numFmtId="44" fontId="12" fillId="2" borderId="0" xfId="1" applyNumberFormat="1" applyFont="1" applyFill="1" applyAlignment="1">
      <alignment horizontal="right"/>
    </xf>
    <xf numFmtId="2" fontId="12" fillId="2" borderId="0" xfId="0" quotePrefix="1" applyNumberFormat="1" applyFont="1" applyFill="1" applyAlignment="1">
      <alignment horizontal="center"/>
    </xf>
    <xf numFmtId="10" fontId="12" fillId="2" borderId="0" xfId="10" applyNumberFormat="1" applyFont="1" applyFill="1" applyAlignment="1">
      <alignment horizontal="center"/>
    </xf>
    <xf numFmtId="43" fontId="12" fillId="2" borderId="5" xfId="1" applyFont="1" applyFill="1" applyBorder="1" applyAlignment="1"/>
    <xf numFmtId="0" fontId="40" fillId="2" borderId="0" xfId="0" applyFont="1" applyFill="1" applyAlignment="1">
      <alignment horizontal="left" vertical="top" indent="2"/>
    </xf>
    <xf numFmtId="181" fontId="17"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3" fontId="12" fillId="0" borderId="0" xfId="1" applyFont="1"/>
    <xf numFmtId="41" fontId="12" fillId="2" borderId="1" xfId="0" applyNumberFormat="1" applyFont="1" applyFill="1" applyBorder="1"/>
    <xf numFmtId="41" fontId="12" fillId="2" borderId="0" xfId="0" applyNumberFormat="1" applyFont="1" applyFill="1"/>
    <xf numFmtId="166" fontId="12" fillId="2" borderId="0" xfId="0" applyNumberFormat="1" applyFont="1" applyFill="1" applyAlignment="1">
      <alignment horizontal="center"/>
    </xf>
    <xf numFmtId="166" fontId="12" fillId="0" borderId="0" xfId="0" applyNumberFormat="1" applyFont="1" applyAlignment="1">
      <alignment horizontal="center"/>
    </xf>
    <xf numFmtId="0" fontId="3" fillId="0" borderId="0" xfId="0" quotePrefix="1" applyFont="1" applyAlignment="1">
      <alignment horizontal="left"/>
    </xf>
    <xf numFmtId="43" fontId="14" fillId="0" borderId="0" xfId="1" applyFont="1" applyFill="1" applyBorder="1" applyAlignment="1"/>
    <xf numFmtId="0" fontId="14"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4" fillId="0" borderId="0" xfId="0" quotePrefix="1" applyNumberFormat="1" applyFont="1" applyAlignment="1">
      <alignment horizontal="center"/>
    </xf>
    <xf numFmtId="0" fontId="43" fillId="0" borderId="0" xfId="0" quotePrefix="1" applyFont="1" applyAlignment="1">
      <alignment horizontal="center"/>
    </xf>
    <xf numFmtId="0" fontId="12" fillId="0" borderId="0" xfId="0" quotePrefix="1" applyFont="1" applyAlignment="1">
      <alignment horizontal="left" wrapText="1"/>
    </xf>
    <xf numFmtId="2" fontId="37" fillId="0" borderId="0" xfId="0" applyNumberFormat="1" applyFont="1" applyAlignment="1">
      <alignment horizontal="left" indent="3"/>
    </xf>
    <xf numFmtId="2" fontId="22" fillId="2" borderId="0" xfId="0" applyNumberFormat="1" applyFont="1" applyFill="1" applyAlignment="1">
      <alignment horizontal="left"/>
    </xf>
    <xf numFmtId="0" fontId="12" fillId="2" borderId="0" xfId="0" quotePrefix="1" applyFont="1" applyFill="1" applyAlignment="1">
      <alignment horizontal="left" wrapText="1"/>
    </xf>
    <xf numFmtId="7" fontId="18" fillId="0" borderId="1" xfId="0" quotePrefix="1" applyNumberFormat="1" applyFont="1" applyBorder="1" applyAlignment="1">
      <alignment horizontal="center"/>
    </xf>
    <xf numFmtId="43" fontId="29" fillId="0" borderId="0" xfId="7" applyNumberFormat="1" applyFont="1"/>
    <xf numFmtId="49" fontId="15" fillId="0" borderId="0" xfId="0" quotePrefix="1" applyNumberFormat="1" applyFont="1" applyFill="1" applyAlignment="1">
      <alignment horizontal="left" indent="1"/>
    </xf>
    <xf numFmtId="0" fontId="16" fillId="2" borderId="7" xfId="0" quotePrefix="1" applyFont="1" applyFill="1" applyBorder="1" applyAlignment="1">
      <alignment horizontal="left"/>
    </xf>
    <xf numFmtId="0" fontId="12" fillId="0" borderId="1" xfId="0" quotePrefix="1" applyFont="1" applyBorder="1" applyAlignment="1">
      <alignment horizontal="center"/>
    </xf>
    <xf numFmtId="0" fontId="12" fillId="0" borderId="0" xfId="0" applyFont="1" applyAlignment="1">
      <alignment horizontal="left"/>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applyFont="1" applyFill="1" applyAlignment="1">
      <alignment horizontal="right"/>
    </xf>
    <xf numFmtId="0" fontId="12" fillId="2" borderId="0" xfId="0" applyFont="1" applyFill="1" applyAlignment="1">
      <alignment horizontal="center"/>
    </xf>
    <xf numFmtId="0" fontId="12" fillId="2" borderId="1" xfId="0" quotePrefix="1" applyFont="1" applyFill="1" applyBorder="1" applyAlignment="1">
      <alignment horizontal="center"/>
    </xf>
    <xf numFmtId="0" fontId="12" fillId="0" borderId="0" xfId="0" quotePrefix="1" applyFont="1" applyAlignment="1">
      <alignment horizontal="left"/>
    </xf>
    <xf numFmtId="0" fontId="12" fillId="2" borderId="0" xfId="0" applyFont="1" applyFill="1" applyAlignment="1">
      <alignment horizontal="left"/>
    </xf>
    <xf numFmtId="0" fontId="12" fillId="2" borderId="0" xfId="0" quotePrefix="1" applyFont="1" applyFill="1" applyAlignment="1">
      <alignment horizontal="left"/>
    </xf>
    <xf numFmtId="0" fontId="44" fillId="0" borderId="0" xfId="0" quotePrefix="1" applyFont="1" applyAlignment="1">
      <alignment horizontal="center"/>
    </xf>
    <xf numFmtId="0" fontId="44" fillId="0" borderId="1" xfId="0" quotePrefix="1" applyFont="1" applyBorder="1" applyAlignment="1">
      <alignment horizontal="center"/>
    </xf>
    <xf numFmtId="7" fontId="12" fillId="0" borderId="0" xfId="0" quotePrefix="1" applyNumberFormat="1" applyFont="1" applyAlignment="1">
      <alignment horizontal="center"/>
    </xf>
    <xf numFmtId="170" fontId="44" fillId="6" borderId="0" xfId="6" applyNumberFormat="1" applyFont="1" applyFill="1" applyBorder="1" applyAlignment="1"/>
    <xf numFmtId="0" fontId="14" fillId="0" borderId="0" xfId="0" applyFont="1" applyFill="1" applyBorder="1"/>
    <xf numFmtId="0" fontId="12" fillId="2" borderId="1" xfId="0" applyFont="1" applyFill="1" applyBorder="1"/>
    <xf numFmtId="170" fontId="44" fillId="2" borderId="1" xfId="6" applyNumberFormat="1" applyFont="1" applyFill="1" applyBorder="1" applyAlignment="1"/>
    <xf numFmtId="0" fontId="15" fillId="2" borderId="0" xfId="0" quotePrefix="1" applyFont="1" applyFill="1" applyAlignment="1">
      <alignment horizontal="left"/>
    </xf>
    <xf numFmtId="0" fontId="14" fillId="2" borderId="0" xfId="0" quotePrefix="1" applyFont="1" applyFill="1" applyAlignment="1">
      <alignment horizontal="center"/>
    </xf>
    <xf numFmtId="166" fontId="17" fillId="2" borderId="0" xfId="0" applyNumberFormat="1" applyFont="1" applyFill="1" applyAlignment="1">
      <alignment horizontal="center"/>
    </xf>
    <xf numFmtId="7" fontId="14" fillId="2" borderId="0" xfId="0" quotePrefix="1" applyNumberFormat="1" applyFont="1" applyFill="1" applyBorder="1" applyAlignment="1">
      <alignment horizontal="center"/>
    </xf>
    <xf numFmtId="17" fontId="14" fillId="2" borderId="0" xfId="0" quotePrefix="1" applyNumberFormat="1" applyFont="1" applyFill="1" applyBorder="1" applyAlignment="1">
      <alignment horizontal="center"/>
    </xf>
    <xf numFmtId="7" fontId="14" fillId="2" borderId="0" xfId="0" applyNumberFormat="1" applyFont="1" applyFill="1" applyBorder="1" applyAlignment="1">
      <alignment horizontal="center"/>
    </xf>
    <xf numFmtId="0" fontId="14" fillId="2" borderId="0" xfId="0" quotePrefix="1" applyFont="1" applyFill="1" applyBorder="1" applyAlignment="1">
      <alignment horizontal="center"/>
    </xf>
    <xf numFmtId="169" fontId="12" fillId="2" borderId="0" xfId="0" quotePrefix="1" applyNumberFormat="1" applyFont="1" applyFill="1" applyBorder="1" applyAlignment="1">
      <alignment horizontal="center"/>
    </xf>
    <xf numFmtId="2" fontId="12" fillId="2" borderId="0" xfId="0" quotePrefix="1" applyNumberFormat="1" applyFont="1" applyFill="1" applyBorder="1" applyAlignment="1">
      <alignment horizontal="center"/>
    </xf>
    <xf numFmtId="0" fontId="44" fillId="2" borderId="1" xfId="0" quotePrefix="1" applyFont="1" applyFill="1" applyBorder="1" applyAlignment="1">
      <alignment horizontal="center"/>
    </xf>
    <xf numFmtId="44" fontId="12" fillId="2" borderId="8" xfId="0" applyNumberFormat="1" applyFont="1" applyFill="1" applyBorder="1"/>
    <xf numFmtId="164" fontId="12" fillId="2" borderId="5" xfId="6" applyNumberFormat="1" applyFont="1" applyFill="1" applyBorder="1" applyAlignment="1"/>
    <xf numFmtId="164" fontId="12" fillId="2" borderId="1" xfId="6" applyNumberFormat="1" applyFont="1" applyFill="1" applyBorder="1" applyAlignment="1"/>
    <xf numFmtId="164" fontId="12" fillId="2" borderId="1" xfId="0" applyNumberFormat="1" applyFont="1" applyFill="1" applyBorder="1"/>
    <xf numFmtId="164" fontId="12" fillId="2" borderId="6" xfId="6" applyNumberFormat="1" applyFont="1" applyFill="1" applyBorder="1" applyAlignment="1"/>
    <xf numFmtId="164" fontId="12" fillId="2" borderId="3" xfId="6" applyNumberFormat="1" applyFont="1" applyFill="1" applyBorder="1" applyAlignment="1"/>
    <xf numFmtId="164" fontId="12" fillId="2" borderId="0" xfId="6" applyNumberFormat="1" applyFont="1" applyFill="1" applyBorder="1" applyAlignment="1"/>
    <xf numFmtId="164" fontId="12" fillId="2" borderId="0" xfId="0" applyNumberFormat="1" applyFont="1" applyFill="1"/>
    <xf numFmtId="4" fontId="12" fillId="2" borderId="1" xfId="0" applyNumberFormat="1" applyFont="1" applyFill="1" applyBorder="1"/>
    <xf numFmtId="164" fontId="12" fillId="2" borderId="8" xfId="0" applyNumberFormat="1" applyFont="1" applyFill="1" applyBorder="1"/>
    <xf numFmtId="0" fontId="45" fillId="0" borderId="0" xfId="0" quotePrefix="1" applyFont="1" applyAlignment="1">
      <alignment horizontal="left" vertical="center" indent="2"/>
    </xf>
    <xf numFmtId="0" fontId="45" fillId="0" borderId="0" xfId="0" applyFont="1" applyAlignment="1">
      <alignment horizontal="left" vertical="top" indent="2"/>
    </xf>
    <xf numFmtId="0" fontId="45" fillId="0" borderId="0" xfId="0" quotePrefix="1" applyFont="1" applyAlignment="1">
      <alignment horizontal="left" vertical="top" indent="2"/>
    </xf>
    <xf numFmtId="0" fontId="12" fillId="0" borderId="1" xfId="0" quotePrefix="1" applyFont="1" applyBorder="1" applyAlignment="1">
      <alignment horizontal="center"/>
    </xf>
    <xf numFmtId="0" fontId="12" fillId="0" borderId="0" xfId="0" applyFont="1" applyAlignment="1">
      <alignment horizontal="left"/>
    </xf>
    <xf numFmtId="2" fontId="12" fillId="0" borderId="0" xfId="0" applyNumberFormat="1"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46" fillId="0" borderId="0" xfId="0" applyFont="1" applyAlignment="1">
      <alignment horizontal="left" vertical="center"/>
    </xf>
    <xf numFmtId="0" fontId="48" fillId="0" borderId="0" xfId="0" applyFont="1" applyAlignment="1">
      <alignment horizontal="left" vertical="center" wrapText="1"/>
    </xf>
    <xf numFmtId="49" fontId="15" fillId="0" borderId="0" xfId="0" quotePrefix="1" applyNumberFormat="1" applyFont="1" applyFill="1"/>
    <xf numFmtId="49" fontId="29" fillId="4" borderId="0" xfId="0" quotePrefix="1" applyNumberFormat="1" applyFont="1" applyFill="1" applyAlignment="1">
      <alignment horizontal="left"/>
    </xf>
    <xf numFmtId="0" fontId="16" fillId="2" borderId="7" xfId="0" quotePrefix="1" applyFont="1" applyFill="1" applyBorder="1" applyAlignment="1">
      <alignment horizontal="left" indent="2"/>
    </xf>
    <xf numFmtId="49" fontId="31" fillId="2" borderId="0" xfId="0" quotePrefix="1" applyNumberFormat="1" applyFont="1" applyFill="1" applyBorder="1" applyAlignment="1">
      <alignment horizontal="center"/>
    </xf>
    <xf numFmtId="0" fontId="31" fillId="2" borderId="23" xfId="0" applyFont="1" applyFill="1" applyBorder="1"/>
    <xf numFmtId="0" fontId="31" fillId="2" borderId="14" xfId="0" applyFont="1" applyFill="1" applyBorder="1"/>
    <xf numFmtId="0" fontId="16" fillId="2" borderId="15" xfId="0" applyFont="1" applyFill="1" applyBorder="1"/>
    <xf numFmtId="0" fontId="32" fillId="2" borderId="13" xfId="0" quotePrefix="1" applyFont="1" applyFill="1" applyBorder="1" applyAlignment="1">
      <alignment horizontal="left" indent="2"/>
    </xf>
    <xf numFmtId="0" fontId="16" fillId="0" borderId="0" xfId="0" quotePrefix="1" applyFont="1" applyAlignment="1">
      <alignment horizontal="center"/>
    </xf>
    <xf numFmtId="0" fontId="31" fillId="0" borderId="18" xfId="0" quotePrefix="1" applyFont="1" applyBorder="1" applyAlignment="1">
      <alignment horizontal="center"/>
    </xf>
    <xf numFmtId="0" fontId="31" fillId="0" borderId="19" xfId="0" quotePrefix="1" applyFont="1" applyBorder="1" applyAlignment="1">
      <alignment horizontal="center"/>
    </xf>
    <xf numFmtId="0" fontId="31" fillId="0" borderId="20" xfId="0" quotePrefix="1" applyFont="1" applyBorder="1" applyAlignment="1">
      <alignment horizontal="center"/>
    </xf>
    <xf numFmtId="0" fontId="16" fillId="2" borderId="7" xfId="0" quotePrefix="1" applyFont="1" applyFill="1" applyBorder="1" applyAlignment="1">
      <alignment horizontal="left" wrapText="1"/>
    </xf>
    <xf numFmtId="0" fontId="16" fillId="2" borderId="0" xfId="0" quotePrefix="1" applyFont="1" applyFill="1" applyBorder="1" applyAlignment="1">
      <alignment horizontal="left" wrapText="1"/>
    </xf>
    <xf numFmtId="0" fontId="16" fillId="2" borderId="14" xfId="0" quotePrefix="1" applyFont="1" applyFill="1" applyBorder="1" applyAlignment="1">
      <alignment horizontal="left" wrapText="1"/>
    </xf>
    <xf numFmtId="49" fontId="31" fillId="0" borderId="4" xfId="7" quotePrefix="1" applyNumberFormat="1" applyFont="1" applyBorder="1" applyAlignment="1">
      <alignment horizontal="center"/>
    </xf>
    <xf numFmtId="49" fontId="31" fillId="0" borderId="4" xfId="7" applyNumberFormat="1" applyFont="1" applyBorder="1" applyAlignment="1">
      <alignment horizontal="center"/>
    </xf>
    <xf numFmtId="0" fontId="47" fillId="0" borderId="0" xfId="0" applyFont="1" applyFill="1" applyAlignment="1">
      <alignment horizontal="left" vertical="center" wrapText="1"/>
    </xf>
    <xf numFmtId="0" fontId="46" fillId="0" borderId="0" xfId="0" applyFont="1" applyFill="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xf>
    <xf numFmtId="174" fontId="12" fillId="0" borderId="0" xfId="0" applyNumberFormat="1" applyFont="1"/>
    <xf numFmtId="0" fontId="12" fillId="0" borderId="0" xfId="0" quotePrefix="1" applyFont="1" applyAlignment="1">
      <alignment horizontal="left"/>
    </xf>
    <xf numFmtId="0" fontId="12" fillId="0" borderId="0" xfId="0" applyFont="1" applyAlignment="1">
      <alignment horizontal="left"/>
    </xf>
    <xf numFmtId="0" fontId="46" fillId="0" borderId="0" xfId="0" applyFont="1" applyAlignment="1">
      <alignment horizontal="left" vertical="center" wrapText="1"/>
    </xf>
    <xf numFmtId="3" fontId="12" fillId="0" borderId="0" xfId="0" quotePrefix="1" applyNumberFormat="1" applyFont="1" applyAlignment="1">
      <alignment horizontal="center"/>
    </xf>
    <xf numFmtId="0" fontId="12" fillId="0" borderId="0" xfId="0" applyFont="1" applyAlignment="1">
      <alignment horizontal="right"/>
    </xf>
    <xf numFmtId="0" fontId="12" fillId="0" borderId="0" xfId="0" applyFont="1" applyAlignment="1">
      <alignment horizontal="left" indent="2"/>
    </xf>
    <xf numFmtId="7" fontId="12" fillId="0" borderId="0" xfId="0" applyNumberFormat="1" applyFont="1" applyAlignment="1">
      <alignment horizontal="right"/>
    </xf>
    <xf numFmtId="0" fontId="12" fillId="9" borderId="1" xfId="0" applyFont="1" applyFill="1" applyBorder="1" applyAlignment="1">
      <alignment horizontal="center"/>
    </xf>
    <xf numFmtId="0" fontId="12" fillId="0" borderId="0" xfId="0" applyFont="1" applyAlignment="1">
      <alignment horizontal="left" wrapText="1"/>
    </xf>
    <xf numFmtId="0" fontId="35" fillId="0" borderId="0" xfId="0" quotePrefix="1" applyFont="1" applyAlignment="1">
      <alignment horizontal="center"/>
    </xf>
    <xf numFmtId="0" fontId="12" fillId="0" borderId="0" xfId="0" applyFont="1" applyAlignment="1">
      <alignment horizontal="center"/>
    </xf>
    <xf numFmtId="0" fontId="12" fillId="0" borderId="1" xfId="0" applyFont="1" applyBorder="1" applyAlignment="1">
      <alignment horizontal="center"/>
    </xf>
    <xf numFmtId="174" fontId="12" fillId="0" borderId="9" xfId="0" applyNumberFormat="1" applyFont="1" applyBorder="1"/>
    <xf numFmtId="0" fontId="35" fillId="0" borderId="0" xfId="0" quotePrefix="1" applyFont="1" applyAlignment="1">
      <alignment horizontal="right"/>
    </xf>
    <xf numFmtId="0" fontId="12" fillId="0" borderId="0" xfId="0" quotePrefix="1" applyFont="1" applyAlignment="1">
      <alignment horizontal="center"/>
    </xf>
    <xf numFmtId="0" fontId="12" fillId="0" borderId="0" xfId="0" quotePrefix="1" applyFont="1" applyAlignment="1">
      <alignment horizontal="left" wrapText="1"/>
    </xf>
    <xf numFmtId="0" fontId="14" fillId="0" borderId="6" xfId="0" applyFont="1" applyBorder="1" applyAlignment="1">
      <alignment horizontal="left" vertical="center" wrapText="1"/>
    </xf>
    <xf numFmtId="0" fontId="14" fillId="0" borderId="0" xfId="0" applyFont="1" applyAlignment="1">
      <alignment horizontal="left" vertical="center" wrapText="1"/>
    </xf>
    <xf numFmtId="168" fontId="12" fillId="0" borderId="0" xfId="0" applyNumberFormat="1" applyFont="1" applyAlignment="1">
      <alignment horizontal="center"/>
    </xf>
    <xf numFmtId="0" fontId="12" fillId="0" borderId="0" xfId="0" quotePrefix="1" applyFont="1" applyAlignment="1">
      <alignment horizontal="left" indent="2"/>
    </xf>
    <xf numFmtId="2" fontId="12" fillId="0" borderId="0" xfId="0" applyNumberFormat="1" applyFont="1" applyAlignment="1">
      <alignment horizontal="center"/>
    </xf>
    <xf numFmtId="0" fontId="12" fillId="0" borderId="1" xfId="0" applyFont="1" applyBorder="1" applyAlignment="1">
      <alignment horizontal="left" wrapText="1"/>
    </xf>
    <xf numFmtId="0" fontId="12" fillId="0" borderId="6" xfId="0" applyFont="1" applyBorder="1" applyAlignment="1">
      <alignment horizontal="left"/>
    </xf>
    <xf numFmtId="168" fontId="12" fillId="0" borderId="6" xfId="0" applyNumberFormat="1"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4" fontId="12" fillId="0" borderId="0" xfId="0" applyNumberFormat="1" applyFont="1"/>
    <xf numFmtId="4" fontId="13" fillId="0" borderId="0" xfId="0" applyNumberFormat="1" applyFont="1" applyAlignment="1">
      <alignment horizontal="left"/>
    </xf>
    <xf numFmtId="4" fontId="12" fillId="0" borderId="0" xfId="0" quotePrefix="1" applyNumberFormat="1" applyFont="1" applyAlignment="1">
      <alignment horizontal="left"/>
    </xf>
    <xf numFmtId="168" fontId="12" fillId="0" borderId="0" xfId="0" applyNumberFormat="1" applyFont="1" applyAlignment="1">
      <alignment horizontal="center" wrapText="1"/>
    </xf>
    <xf numFmtId="168" fontId="12" fillId="0" borderId="1" xfId="0" applyNumberFormat="1" applyFont="1" applyBorder="1" applyAlignment="1">
      <alignment horizontal="center" wrapText="1"/>
    </xf>
    <xf numFmtId="0" fontId="12" fillId="0" borderId="1" xfId="0" quotePrefix="1" applyFont="1" applyBorder="1" applyAlignment="1">
      <alignment horizontal="center"/>
    </xf>
    <xf numFmtId="168" fontId="12" fillId="0" borderId="1" xfId="0" quotePrefix="1" applyNumberFormat="1" applyFont="1" applyBorder="1" applyAlignment="1">
      <alignment horizontal="center"/>
    </xf>
    <xf numFmtId="0" fontId="46" fillId="0" borderId="0" xfId="0" applyFont="1" applyAlignment="1">
      <alignment horizontal="left" vertical="center"/>
    </xf>
    <xf numFmtId="0" fontId="35" fillId="0" borderId="0" xfId="0" applyFont="1" applyAlignment="1">
      <alignment horizontal="right"/>
    </xf>
    <xf numFmtId="0" fontId="12" fillId="0" borderId="6" xfId="0" applyFont="1" applyBorder="1" applyAlignment="1">
      <alignment horizontal="left" indent="2"/>
    </xf>
    <xf numFmtId="7" fontId="12" fillId="0" borderId="6" xfId="0" applyNumberFormat="1" applyFont="1" applyBorder="1" applyAlignment="1">
      <alignment horizontal="right"/>
    </xf>
    <xf numFmtId="2" fontId="37" fillId="0" borderId="0" xfId="0" applyNumberFormat="1" applyFont="1" applyAlignment="1">
      <alignment horizontal="left" indent="3"/>
    </xf>
    <xf numFmtId="4" fontId="12" fillId="0" borderId="0" xfId="0" quotePrefix="1" applyNumberFormat="1" applyFont="1" applyAlignment="1">
      <alignment horizontal="center"/>
    </xf>
    <xf numFmtId="168" fontId="12" fillId="6" borderId="0" xfId="0" applyNumberFormat="1" applyFont="1" applyFill="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168" fontId="12" fillId="6" borderId="6" xfId="0" applyNumberFormat="1" applyFont="1" applyFill="1" applyBorder="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1" fillId="2" borderId="0" xfId="0" applyFont="1" applyFill="1" applyAlignment="1">
      <alignment horizontal="center"/>
    </xf>
    <xf numFmtId="0" fontId="12" fillId="2" borderId="0" xfId="0" applyFont="1" applyFill="1" applyAlignment="1">
      <alignment horizontal="center"/>
    </xf>
    <xf numFmtId="4" fontId="12" fillId="2" borderId="0" xfId="0" applyNumberFormat="1" applyFont="1" applyFill="1" applyAlignment="1">
      <alignment horizontal="left"/>
    </xf>
    <xf numFmtId="4" fontId="13" fillId="2" borderId="0" xfId="0" applyNumberFormat="1" applyFont="1" applyFill="1" applyAlignment="1">
      <alignment horizontal="left"/>
    </xf>
    <xf numFmtId="4" fontId="12" fillId="0" borderId="0" xfId="0" applyNumberFormat="1" applyFont="1" applyAlignment="1">
      <alignment horizontal="left"/>
    </xf>
    <xf numFmtId="0" fontId="14" fillId="2" borderId="0" xfId="0" applyFont="1" applyFill="1" applyAlignment="1">
      <alignment horizontal="center"/>
    </xf>
    <xf numFmtId="7" fontId="15" fillId="2" borderId="0" xfId="0" applyNumberFormat="1" applyFont="1" applyFill="1" applyAlignment="1">
      <alignment horizontal="center"/>
    </xf>
    <xf numFmtId="0" fontId="12" fillId="2" borderId="0" xfId="0" applyFont="1" applyFill="1" applyAlignment="1">
      <alignment horizontal="left"/>
    </xf>
    <xf numFmtId="2" fontId="18" fillId="2" borderId="5" xfId="0" applyNumberFormat="1" applyFont="1" applyFill="1" applyBorder="1" applyAlignment="1">
      <alignment horizontal="center"/>
    </xf>
    <xf numFmtId="168" fontId="12" fillId="2" borderId="0" xfId="0" applyNumberFormat="1" applyFont="1" applyFill="1" applyAlignment="1">
      <alignment horizontal="center"/>
    </xf>
    <xf numFmtId="0" fontId="12" fillId="2" borderId="1" xfId="0" quotePrefix="1" applyFont="1" applyFill="1" applyBorder="1" applyAlignment="1">
      <alignment horizontal="center"/>
    </xf>
    <xf numFmtId="0" fontId="19" fillId="2" borderId="1" xfId="0" quotePrefix="1" applyFont="1" applyFill="1" applyBorder="1" applyAlignment="1">
      <alignment horizontal="center"/>
    </xf>
    <xf numFmtId="168" fontId="12" fillId="2" borderId="1" xfId="0" quotePrefix="1" applyNumberFormat="1" applyFont="1" applyFill="1" applyBorder="1" applyAlignment="1">
      <alignment horizontal="center"/>
    </xf>
    <xf numFmtId="0" fontId="12" fillId="2" borderId="6" xfId="0" applyFont="1" applyFill="1" applyBorder="1" applyAlignment="1">
      <alignment horizontal="left"/>
    </xf>
    <xf numFmtId="168" fontId="12" fillId="2" borderId="6" xfId="0" applyNumberFormat="1" applyFont="1" applyFill="1" applyBorder="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169" fontId="14" fillId="2" borderId="0" xfId="0" applyNumberFormat="1" applyFont="1" applyFill="1" applyAlignment="1">
      <alignment horizontal="left"/>
    </xf>
    <xf numFmtId="168" fontId="12" fillId="2" borderId="0" xfId="0" applyNumberFormat="1" applyFont="1" applyFill="1" applyAlignment="1">
      <alignment horizontal="center" wrapText="1"/>
    </xf>
    <xf numFmtId="0" fontId="12" fillId="2" borderId="1" xfId="0" applyFont="1" applyFill="1" applyBorder="1" applyAlignment="1">
      <alignment horizontal="left" wrapText="1"/>
    </xf>
    <xf numFmtId="0" fontId="19" fillId="2" borderId="1" xfId="0" applyFont="1" applyFill="1" applyBorder="1" applyAlignment="1">
      <alignment horizontal="center" wrapText="1"/>
    </xf>
    <xf numFmtId="168" fontId="12" fillId="2" borderId="1" xfId="0" applyNumberFormat="1" applyFont="1" applyFill="1" applyBorder="1" applyAlignment="1">
      <alignment horizontal="center" wrapText="1"/>
    </xf>
    <xf numFmtId="0" fontId="18" fillId="2" borderId="5" xfId="0" applyFont="1" applyFill="1" applyBorder="1" applyAlignment="1">
      <alignment horizontal="center"/>
    </xf>
    <xf numFmtId="2" fontId="18" fillId="2" borderId="1" xfId="0" applyNumberFormat="1" applyFont="1" applyFill="1" applyBorder="1" applyAlignment="1">
      <alignment horizontal="center"/>
    </xf>
    <xf numFmtId="0" fontId="12" fillId="2" borderId="1" xfId="0" applyFont="1" applyFill="1" applyBorder="1" applyAlignment="1">
      <alignment horizontal="left"/>
    </xf>
    <xf numFmtId="168" fontId="12" fillId="2" borderId="1" xfId="0" applyNumberFormat="1" applyFont="1" applyFill="1" applyBorder="1" applyAlignment="1">
      <alignment horizontal="center"/>
    </xf>
    <xf numFmtId="0" fontId="12" fillId="2" borderId="6" xfId="0" applyFont="1" applyFill="1" applyBorder="1" applyAlignment="1">
      <alignment horizontal="right"/>
    </xf>
    <xf numFmtId="2" fontId="17" fillId="2" borderId="1" xfId="0" applyNumberFormat="1" applyFont="1" applyFill="1" applyBorder="1" applyAlignment="1">
      <alignment horizontal="center"/>
    </xf>
    <xf numFmtId="2" fontId="12" fillId="2" borderId="0" xfId="0" applyNumberFormat="1" applyFont="1" applyFill="1" applyAlignment="1">
      <alignment horizontal="center"/>
    </xf>
    <xf numFmtId="0" fontId="12" fillId="2" borderId="0" xfId="0" applyFont="1" applyFill="1" applyAlignment="1">
      <alignment horizontal="left" wrapText="1"/>
    </xf>
    <xf numFmtId="0" fontId="12" fillId="2" borderId="0" xfId="0" quotePrefix="1" applyFont="1" applyFill="1" applyAlignment="1">
      <alignment horizontal="left"/>
    </xf>
    <xf numFmtId="0" fontId="21" fillId="2" borderId="0" xfId="0" applyFont="1" applyFill="1" applyAlignment="1">
      <alignment horizontal="right"/>
    </xf>
    <xf numFmtId="0" fontId="21" fillId="2" borderId="0" xfId="0" quotePrefix="1" applyFont="1" applyFill="1" applyAlignment="1">
      <alignment horizontal="center"/>
    </xf>
    <xf numFmtId="0" fontId="21" fillId="2" borderId="0" xfId="0" applyFont="1" applyFill="1" applyAlignment="1">
      <alignment horizontal="center"/>
    </xf>
    <xf numFmtId="4" fontId="21" fillId="2" borderId="0" xfId="0" applyNumberFormat="1" applyFont="1" applyFill="1" applyAlignment="1">
      <alignment horizontal="left"/>
    </xf>
    <xf numFmtId="168" fontId="12" fillId="2" borderId="0" xfId="0" quotePrefix="1" applyNumberFormat="1" applyFont="1" applyFill="1" applyAlignment="1">
      <alignment horizontal="left"/>
    </xf>
    <xf numFmtId="168" fontId="12" fillId="2" borderId="0" xfId="0" applyNumberFormat="1" applyFont="1" applyFill="1" applyAlignment="1">
      <alignment horizontal="left"/>
    </xf>
    <xf numFmtId="166" fontId="17" fillId="2" borderId="0" xfId="0" applyNumberFormat="1" applyFont="1" applyFill="1" applyAlignment="1">
      <alignment horizontal="left"/>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2" fillId="2" borderId="0" xfId="0" quotePrefix="1" applyFont="1" applyFill="1" applyAlignment="1">
      <alignment horizontal="left" wrapText="1"/>
    </xf>
    <xf numFmtId="0" fontId="12" fillId="2" borderId="1" xfId="0" applyFont="1" applyFill="1" applyBorder="1" applyAlignment="1">
      <alignment horizontal="center"/>
    </xf>
    <xf numFmtId="0" fontId="18" fillId="2" borderId="1" xfId="0" applyFont="1" applyFill="1" applyBorder="1" applyAlignment="1">
      <alignment horizontal="center"/>
    </xf>
    <xf numFmtId="169" fontId="35" fillId="2" borderId="0" xfId="0" applyNumberFormat="1" applyFont="1" applyFill="1" applyAlignment="1">
      <alignment horizontal="center"/>
    </xf>
    <xf numFmtId="165" fontId="12" fillId="2" borderId="7" xfId="4" applyFont="1" applyFill="1" applyBorder="1" applyAlignment="1">
      <alignment horizontal="right"/>
    </xf>
    <xf numFmtId="165" fontId="12" fillId="2" borderId="0" xfId="4" applyFont="1" applyFill="1" applyBorder="1" applyAlignment="1">
      <alignment horizontal="right"/>
    </xf>
    <xf numFmtId="2" fontId="22" fillId="2" borderId="0" xfId="0" applyNumberFormat="1" applyFont="1" applyFill="1" applyAlignment="1">
      <alignment horizontal="left"/>
    </xf>
    <xf numFmtId="4" fontId="12" fillId="2" borderId="0" xfId="0" quotePrefix="1" applyNumberFormat="1" applyFont="1" applyFill="1" applyAlignment="1">
      <alignment horizontal="left"/>
    </xf>
    <xf numFmtId="0" fontId="16" fillId="2" borderId="0" xfId="0" applyFont="1" applyFill="1" applyAlignment="1">
      <alignment horizontal="left"/>
    </xf>
    <xf numFmtId="0" fontId="16" fillId="0" borderId="0" xfId="0" applyFont="1" applyAlignment="1">
      <alignment horizontal="left"/>
    </xf>
    <xf numFmtId="0" fontId="12" fillId="2" borderId="0" xfId="0" applyFont="1" applyFill="1" applyAlignment="1">
      <alignment horizontal="right"/>
    </xf>
    <xf numFmtId="0" fontId="30" fillId="2" borderId="0" xfId="0" applyFont="1" applyFill="1" applyAlignment="1">
      <alignment horizontal="left"/>
    </xf>
    <xf numFmtId="7" fontId="12" fillId="2" borderId="6" xfId="0" applyNumberFormat="1" applyFont="1" applyFill="1" applyBorder="1" applyAlignment="1">
      <alignment horizontal="right"/>
    </xf>
    <xf numFmtId="7" fontId="12" fillId="2" borderId="0" xfId="0" applyNumberFormat="1" applyFont="1" applyFill="1" applyAlignment="1">
      <alignment horizontal="right"/>
    </xf>
    <xf numFmtId="0" fontId="18" fillId="2" borderId="0" xfId="0" applyFont="1" applyFill="1" applyAlignment="1">
      <alignment horizontal="right"/>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2" fontId="19" fillId="2" borderId="1" xfId="0" applyNumberFormat="1" applyFont="1" applyFill="1" applyBorder="1" applyAlignment="1">
      <alignment horizontal="center"/>
    </xf>
    <xf numFmtId="4" fontId="18" fillId="2" borderId="1" xfId="0" applyNumberFormat="1" applyFont="1" applyFill="1" applyBorder="1" applyAlignment="1">
      <alignment horizontal="center" wrapText="1"/>
    </xf>
    <xf numFmtId="4" fontId="18" fillId="2" borderId="5" xfId="0" applyNumberFormat="1" applyFont="1" applyFill="1" applyBorder="1" applyAlignment="1">
      <alignment horizontal="center" wrapText="1"/>
    </xf>
    <xf numFmtId="4" fontId="18" fillId="2" borderId="21" xfId="0" applyNumberFormat="1" applyFont="1" applyFill="1" applyBorder="1" applyAlignment="1">
      <alignment horizontal="center" wrapText="1"/>
    </xf>
    <xf numFmtId="2" fontId="12" fillId="2" borderId="22" xfId="0" applyNumberFormat="1" applyFont="1" applyFill="1" applyBorder="1" applyAlignment="1">
      <alignment horizontal="center"/>
    </xf>
    <xf numFmtId="0" fontId="3" fillId="2" borderId="0" xfId="0" quotePrefix="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7" fontId="12" fillId="8" borderId="6" xfId="0" applyNumberFormat="1" applyFont="1" applyFill="1" applyBorder="1" applyAlignment="1">
      <alignment horizontal="right"/>
    </xf>
  </cellXfs>
  <cellStyles count="12">
    <cellStyle name="Comma" xfId="1" builtinId="3"/>
    <cellStyle name="Comma 2" xfId="2" xr:uid="{00000000-0005-0000-0000-000001000000}"/>
    <cellStyle name="Comma 3 8" xfId="3" xr:uid="{00000000-0005-0000-0000-000002000000}"/>
    <cellStyle name="Comma_charter school revenue frame" xfId="4" xr:uid="{00000000-0005-0000-0000-000003000000}"/>
    <cellStyle name="Currency 2 8" xfId="5" xr:uid="{00000000-0005-0000-0000-000004000000}"/>
    <cellStyle name="Currency_charter school revenue frame" xfId="6" xr:uid="{00000000-0005-0000-0000-000005000000}"/>
    <cellStyle name="Normal" xfId="0" builtinId="0"/>
    <cellStyle name="Normal 2" xfId="7" xr:uid="{00000000-0005-0000-0000-000007000000}"/>
    <cellStyle name="Normal 2 2" xfId="8" xr:uid="{00000000-0005-0000-0000-000008000000}"/>
    <cellStyle name="Normal 3 8" xfId="9" xr:uid="{00000000-0005-0000-0000-000009000000}"/>
    <cellStyle name="Percent" xfId="10" builtinId="5"/>
    <cellStyle name="Percent 3 8" xfId="11" xr:uid="{00000000-0005-0000-0000-00000B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142874</xdr:colOff>
      <xdr:row>490</xdr:row>
      <xdr:rowOff>85724</xdr:rowOff>
    </xdr:from>
    <xdr:to>
      <xdr:col>6</xdr:col>
      <xdr:colOff>828674</xdr:colOff>
      <xdr:row>502</xdr:row>
      <xdr:rowOff>37687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28674" y="14011274"/>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P531"/>
  <sheetViews>
    <sheetView showGridLines="0" tabSelected="1" zoomScaleNormal="100" workbookViewId="0">
      <pane ySplit="4" topLeftCell="A5" activePane="bottomLeft" state="frozen"/>
      <selection activeCell="E26" sqref="E26"/>
      <selection pane="bottomLeft" activeCell="G50" sqref="G50"/>
    </sheetView>
  </sheetViews>
  <sheetFormatPr defaultRowHeight="12.75" customHeight="1" x14ac:dyDescent="0.2"/>
  <cols>
    <col min="1" max="1" width="3" style="188" bestFit="1" customWidth="1"/>
    <col min="2" max="2" width="7.28515625" style="188" customWidth="1"/>
    <col min="3" max="3" width="43.28515625" style="188" customWidth="1"/>
    <col min="4" max="4" width="18.57031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484</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04"/>
      <c r="G3" s="504"/>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2.75" customHeight="1" x14ac:dyDescent="0.2">
      <c r="A5" s="199">
        <v>1</v>
      </c>
      <c r="B5" s="200" t="s">
        <v>159</v>
      </c>
      <c r="C5" s="220" t="s">
        <v>191</v>
      </c>
      <c r="D5" s="497" t="s">
        <v>483</v>
      </c>
      <c r="E5" s="201">
        <f>'1461'!I$142</f>
        <v>503359.51</v>
      </c>
      <c r="F5" s="328"/>
      <c r="G5" s="201">
        <f>SUBTOTAL(109,E5:F26)</f>
        <v>494585.37000000005</v>
      </c>
      <c r="H5" s="260"/>
      <c r="I5" s="336"/>
    </row>
    <row r="6" spans="1:9" s="261" customFormat="1" ht="12.75" hidden="1" customHeight="1" x14ac:dyDescent="0.2">
      <c r="A6" s="199"/>
      <c r="B6" s="200"/>
      <c r="C6" s="220"/>
      <c r="D6" s="233" t="s">
        <v>280</v>
      </c>
      <c r="E6" s="201"/>
      <c r="F6" s="328"/>
      <c r="G6" s="201"/>
      <c r="H6" s="260"/>
      <c r="I6" s="337"/>
    </row>
    <row r="7" spans="1:9" s="261" customFormat="1" ht="12.75" hidden="1" customHeight="1" x14ac:dyDescent="0.2">
      <c r="A7" s="199"/>
      <c r="B7" s="200"/>
      <c r="C7" s="220"/>
      <c r="D7" s="374" t="s">
        <v>339</v>
      </c>
      <c r="E7" s="201"/>
      <c r="F7" s="328"/>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hidden="1" customHeight="1" x14ac:dyDescent="0.2">
      <c r="A12" s="199"/>
      <c r="B12" s="200"/>
      <c r="C12" s="229"/>
      <c r="D12" s="281" t="s">
        <v>286</v>
      </c>
      <c r="E12" s="201"/>
      <c r="F12" s="328">
        <v>0</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435</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3"/>
    </row>
    <row r="17" spans="1:12" s="261" customFormat="1" ht="12.75" hidden="1" customHeight="1" x14ac:dyDescent="0.2">
      <c r="A17" s="199"/>
      <c r="B17" s="200"/>
      <c r="C17" s="376" t="s">
        <v>347</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t="s">
        <v>336</v>
      </c>
      <c r="E19" s="201"/>
      <c r="F19" s="328"/>
      <c r="G19" s="201"/>
      <c r="H19" s="260"/>
      <c r="I19" s="340"/>
    </row>
    <row r="20" spans="1:12" s="261" customFormat="1" ht="12.75" hidden="1" customHeight="1" x14ac:dyDescent="0.2">
      <c r="A20" s="199"/>
      <c r="B20" s="200"/>
      <c r="C20" s="229"/>
      <c r="D20" s="315" t="s">
        <v>342</v>
      </c>
      <c r="E20" s="201"/>
      <c r="F20" s="328"/>
      <c r="G20" s="201"/>
      <c r="H20" s="260"/>
      <c r="I20" s="340"/>
    </row>
    <row r="21" spans="1:12" s="261" customFormat="1" ht="12.75" hidden="1" customHeight="1" x14ac:dyDescent="0.2">
      <c r="A21" s="199"/>
      <c r="B21" s="200"/>
      <c r="C21" s="229"/>
      <c r="D21" s="315" t="s">
        <v>344</v>
      </c>
      <c r="E21" s="201"/>
      <c r="F21" s="328"/>
      <c r="G21" s="201"/>
      <c r="H21" s="260"/>
      <c r="I21" s="336"/>
    </row>
    <row r="22" spans="1:12" s="261" customFormat="1" ht="12.75" hidden="1" customHeight="1" x14ac:dyDescent="0.2">
      <c r="A22" s="199"/>
      <c r="B22" s="200"/>
      <c r="C22" s="229"/>
      <c r="D22" s="315" t="s">
        <v>345</v>
      </c>
      <c r="E22" s="201"/>
      <c r="F22" s="328"/>
      <c r="G22" s="201"/>
      <c r="H22" s="260"/>
      <c r="I22" s="338"/>
    </row>
    <row r="23" spans="1:12" s="261" customFormat="1" ht="12.75" hidden="1" customHeight="1" thickBot="1" x14ac:dyDescent="0.25">
      <c r="A23" s="199"/>
      <c r="B23" s="200"/>
      <c r="C23" s="229"/>
      <c r="D23" s="315" t="s">
        <v>346</v>
      </c>
      <c r="E23" s="201"/>
      <c r="F23" s="328"/>
      <c r="G23" s="201"/>
      <c r="H23" s="260"/>
      <c r="I23" s="341"/>
    </row>
    <row r="24" spans="1:12" s="261" customFormat="1" ht="12.75" hidden="1" customHeight="1" x14ac:dyDescent="0.2">
      <c r="A24" s="199"/>
      <c r="B24" s="200"/>
      <c r="C24" s="229"/>
      <c r="D24" s="315" t="s">
        <v>349</v>
      </c>
      <c r="E24" s="201"/>
      <c r="F24" s="328"/>
      <c r="G24" s="201"/>
      <c r="H24" s="260"/>
      <c r="I24" s="379"/>
    </row>
    <row r="25" spans="1:12" s="261" customFormat="1" ht="12.75" hidden="1" customHeight="1" x14ac:dyDescent="0.2">
      <c r="A25" s="199"/>
      <c r="B25" s="200"/>
      <c r="C25" s="229"/>
      <c r="D25" s="315" t="s">
        <v>350</v>
      </c>
      <c r="E25" s="201"/>
      <c r="F25" s="328"/>
      <c r="G25" s="201"/>
      <c r="H25" s="260"/>
    </row>
    <row r="26" spans="1:12" s="261" customFormat="1" ht="12.75" hidden="1" customHeight="1" x14ac:dyDescent="0.2">
      <c r="A26" s="199"/>
      <c r="B26" s="200"/>
      <c r="C26" s="229"/>
      <c r="D26" s="315" t="s">
        <v>479</v>
      </c>
      <c r="E26" s="201"/>
      <c r="F26" s="328"/>
      <c r="G26" s="201"/>
      <c r="H26" s="260"/>
      <c r="I26" s="320"/>
    </row>
    <row r="27" spans="1:12" s="261" customFormat="1" ht="12.75" customHeight="1" x14ac:dyDescent="0.2">
      <c r="A27" s="195">
        <f>1+A5</f>
        <v>2</v>
      </c>
      <c r="B27" s="196" t="s">
        <v>160</v>
      </c>
      <c r="C27" s="219" t="s">
        <v>193</v>
      </c>
      <c r="D27" s="496" t="str">
        <f>$D$5</f>
        <v>FTE SEP 23</v>
      </c>
      <c r="E27" s="198">
        <f>'1571'!I$142</f>
        <v>768922.08</v>
      </c>
      <c r="F27" s="329"/>
      <c r="G27" s="198">
        <f>SUBTOTAL(109,E27:F42)</f>
        <v>759806.05999999994</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hidden="1" customHeight="1" x14ac:dyDescent="0.2">
      <c r="A29" s="195"/>
      <c r="B29" s="196"/>
      <c r="C29" s="219"/>
      <c r="D29" s="342" t="s">
        <v>339</v>
      </c>
      <c r="E29" s="198"/>
      <c r="F29" s="329"/>
      <c r="G29" s="198"/>
      <c r="H29" s="260"/>
      <c r="I29" s="323"/>
    </row>
    <row r="30" spans="1:12" s="261" customFormat="1" ht="12.75" hidden="1" customHeight="1" x14ac:dyDescent="0.2">
      <c r="A30" s="195"/>
      <c r="B30" s="196"/>
      <c r="C30" s="241"/>
      <c r="D30" s="342" t="s">
        <v>338</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435</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348</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customHeight="1" x14ac:dyDescent="0.2">
      <c r="A42" s="195"/>
      <c r="B42" s="196"/>
      <c r="C42" s="231"/>
      <c r="D42" s="439" t="s">
        <v>482</v>
      </c>
      <c r="E42" s="198"/>
      <c r="F42" s="329">
        <v>-325</v>
      </c>
      <c r="G42" s="198"/>
      <c r="H42" s="260"/>
      <c r="I42" s="320"/>
    </row>
    <row r="43" spans="1:13" s="261" customFormat="1" ht="12.75" customHeight="1" x14ac:dyDescent="0.2">
      <c r="A43" s="199">
        <f>1+A27</f>
        <v>3</v>
      </c>
      <c r="B43" s="200" t="s">
        <v>161</v>
      </c>
      <c r="C43" s="220" t="s">
        <v>194</v>
      </c>
      <c r="D43" s="279" t="str">
        <f>$D$5</f>
        <v>FTE SEP 23</v>
      </c>
      <c r="E43" s="201">
        <f>'2521'!I$142</f>
        <v>109048.72</v>
      </c>
      <c r="F43" s="328"/>
      <c r="G43" s="201">
        <f>SUBTOTAL(109,E43:F49)</f>
        <v>109048.72</v>
      </c>
      <c r="H43" s="260"/>
      <c r="I43" s="320"/>
    </row>
    <row r="44" spans="1:13" s="261" customFormat="1" ht="12.75" hidden="1" customHeight="1" x14ac:dyDescent="0.2">
      <c r="A44" s="199"/>
      <c r="B44" s="200"/>
      <c r="C44" s="220"/>
      <c r="D44" s="233" t="s">
        <v>280</v>
      </c>
      <c r="E44" s="201"/>
      <c r="F44" s="328"/>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6" t="str">
        <f>$D$5</f>
        <v>FTE SEP 23</v>
      </c>
      <c r="E50" s="198">
        <f>'2531'!I$142</f>
        <v>78877.490000000005</v>
      </c>
      <c r="F50" s="329"/>
      <c r="G50" s="198">
        <f>SUBTOTAL(109,E50:F61)</f>
        <v>78877.490000000005</v>
      </c>
      <c r="H50" s="298"/>
      <c r="I50" s="320"/>
    </row>
    <row r="51" spans="1:12" ht="12.75" hidden="1" customHeight="1" x14ac:dyDescent="0.2">
      <c r="A51" s="195"/>
      <c r="B51" s="196"/>
      <c r="C51" s="219"/>
      <c r="D51" s="232" t="s">
        <v>280</v>
      </c>
      <c r="E51" s="198"/>
      <c r="F51" s="329"/>
      <c r="G51" s="198"/>
      <c r="I51" s="320"/>
    </row>
    <row r="52" spans="1:12" ht="12.75" hidden="1" customHeight="1" x14ac:dyDescent="0.2">
      <c r="A52" s="195"/>
      <c r="B52" s="196"/>
      <c r="C52" s="219"/>
      <c r="D52" s="342" t="s">
        <v>351</v>
      </c>
      <c r="E52" s="198"/>
      <c r="F52" s="329"/>
      <c r="G52" s="198"/>
      <c r="I52" s="320"/>
    </row>
    <row r="53" spans="1:12" s="261" customFormat="1" ht="12.75" hidden="1" customHeight="1" x14ac:dyDescent="0.2">
      <c r="A53" s="195"/>
      <c r="B53" s="196"/>
      <c r="C53" s="219"/>
      <c r="D53" s="232" t="s">
        <v>340</v>
      </c>
      <c r="E53" s="198"/>
      <c r="F53" s="329"/>
      <c r="G53" s="198"/>
      <c r="H53" s="260"/>
      <c r="I53" s="308"/>
    </row>
    <row r="54" spans="1:12" s="261" customFormat="1" ht="12.75" hidden="1" customHeight="1" x14ac:dyDescent="0.2">
      <c r="A54" s="195"/>
      <c r="B54" s="196"/>
      <c r="C54" s="219"/>
      <c r="D54" s="342" t="s">
        <v>338</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SEP 23</v>
      </c>
      <c r="E62" s="201">
        <f>'2791'!I$142</f>
        <v>394662.79</v>
      </c>
      <c r="F62" s="328"/>
      <c r="G62" s="201">
        <f>SUBTOTAL(109,E62:F69)</f>
        <v>394662.79</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hidden="1" customHeight="1" x14ac:dyDescent="0.2">
      <c r="A64" s="199"/>
      <c r="B64" s="200"/>
      <c r="C64" s="220"/>
      <c r="D64" s="374" t="s">
        <v>338</v>
      </c>
      <c r="E64" s="201"/>
      <c r="F64" s="328"/>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357</v>
      </c>
      <c r="D70" s="496" t="str">
        <f>$D$5</f>
        <v>FTE SEP 23</v>
      </c>
      <c r="E70" s="198">
        <f>'2801'!I$142</f>
        <v>430423.13</v>
      </c>
      <c r="F70" s="329"/>
      <c r="G70" s="198">
        <f>SUBTOTAL(109,E70:F79)</f>
        <v>430423.13</v>
      </c>
      <c r="H70" s="298"/>
      <c r="I70" s="323"/>
    </row>
    <row r="71" spans="1:9" s="261" customFormat="1" ht="12.75" hidden="1" customHeight="1" x14ac:dyDescent="0.2">
      <c r="A71" s="195"/>
      <c r="B71" s="196"/>
      <c r="C71" s="219"/>
      <c r="D71" s="232" t="s">
        <v>280</v>
      </c>
      <c r="E71" s="198"/>
      <c r="F71" s="329"/>
      <c r="G71" s="198"/>
      <c r="H71" s="260"/>
      <c r="I71" s="320"/>
    </row>
    <row r="72" spans="1:9" s="261" customFormat="1" ht="12.75" hidden="1" customHeight="1" x14ac:dyDescent="0.2">
      <c r="A72" s="195"/>
      <c r="B72" s="196"/>
      <c r="C72" s="219"/>
      <c r="D72" s="342" t="s">
        <v>338</v>
      </c>
      <c r="E72" s="198"/>
      <c r="F72" s="329"/>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355</v>
      </c>
      <c r="E79" s="198"/>
      <c r="F79" s="329"/>
      <c r="G79" s="198"/>
      <c r="H79" s="260"/>
      <c r="I79" s="308"/>
    </row>
    <row r="80" spans="1:9" s="261" customFormat="1" ht="12.75" customHeight="1" x14ac:dyDescent="0.2">
      <c r="A80" s="199">
        <f>A70+1</f>
        <v>7</v>
      </c>
      <c r="B80" s="200" t="s">
        <v>165</v>
      </c>
      <c r="C80" s="220" t="s">
        <v>197</v>
      </c>
      <c r="D80" s="279" t="str">
        <f>$D$5</f>
        <v>FTE SEP 23</v>
      </c>
      <c r="E80" s="201">
        <f>'2911'!I$142</f>
        <v>395461.3</v>
      </c>
      <c r="F80" s="328"/>
      <c r="G80" s="201">
        <f>SUBTOTAL(109,E80:F89)</f>
        <v>395461.3</v>
      </c>
      <c r="H80" s="298"/>
      <c r="I80" s="196"/>
    </row>
    <row r="81" spans="1:9" s="261" customFormat="1" ht="12.75" hidden="1" customHeight="1" x14ac:dyDescent="0.2">
      <c r="A81" s="199"/>
      <c r="B81" s="200"/>
      <c r="C81" s="220"/>
      <c r="D81" s="233" t="s">
        <v>280</v>
      </c>
      <c r="E81" s="201"/>
      <c r="F81" s="328"/>
      <c r="G81" s="201"/>
      <c r="H81" s="298"/>
      <c r="I81" s="196"/>
    </row>
    <row r="82" spans="1:9" s="261" customFormat="1" ht="12.75" hidden="1" customHeight="1" x14ac:dyDescent="0.2">
      <c r="A82" s="199"/>
      <c r="B82" s="200"/>
      <c r="C82" s="220"/>
      <c r="D82" s="374" t="s">
        <v>338</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hidden="1" customHeight="1" x14ac:dyDescent="0.2">
      <c r="A88" s="199"/>
      <c r="B88" s="200"/>
      <c r="C88" s="229"/>
      <c r="D88" s="315" t="s">
        <v>358</v>
      </c>
      <c r="E88" s="201"/>
      <c r="F88" s="328"/>
      <c r="G88" s="201"/>
      <c r="H88" s="298"/>
      <c r="I88" s="196"/>
    </row>
    <row r="89" spans="1:9" s="261" customFormat="1" ht="12.75" hidden="1" customHeight="1" x14ac:dyDescent="0.2">
      <c r="A89" s="199"/>
      <c r="B89" s="200"/>
      <c r="C89" s="229"/>
      <c r="D89" s="315" t="s">
        <v>365</v>
      </c>
      <c r="E89" s="201"/>
      <c r="F89" s="328"/>
      <c r="G89" s="201"/>
      <c r="H89" s="298"/>
      <c r="I89" s="308"/>
    </row>
    <row r="90" spans="1:9" s="261" customFormat="1" ht="12.75" customHeight="1" x14ac:dyDescent="0.2">
      <c r="A90" s="195">
        <f>A80+1</f>
        <v>8</v>
      </c>
      <c r="B90" s="196" t="s">
        <v>166</v>
      </c>
      <c r="C90" s="219" t="s">
        <v>198</v>
      </c>
      <c r="D90" s="496" t="str">
        <f>$D$5</f>
        <v>FTE SEP 23</v>
      </c>
      <c r="E90" s="198">
        <f>'2941'!I$142</f>
        <v>892448.71</v>
      </c>
      <c r="F90" s="329"/>
      <c r="G90" s="198">
        <f>SUBTOTAL(109,E90:F98)</f>
        <v>892448.71</v>
      </c>
      <c r="H90" s="298"/>
      <c r="I90" s="196"/>
    </row>
    <row r="91" spans="1:9" s="261" customFormat="1" ht="12.75" hidden="1" customHeight="1" x14ac:dyDescent="0.2">
      <c r="A91" s="195"/>
      <c r="B91" s="196"/>
      <c r="C91" s="219"/>
      <c r="D91" s="232" t="s">
        <v>280</v>
      </c>
      <c r="E91" s="198"/>
      <c r="F91" s="329"/>
      <c r="G91" s="198"/>
      <c r="H91" s="298"/>
      <c r="I91" s="196"/>
    </row>
    <row r="92" spans="1:9" s="261" customFormat="1" ht="12.75" hidden="1" customHeight="1" x14ac:dyDescent="0.2">
      <c r="A92" s="195"/>
      <c r="B92" s="196"/>
      <c r="C92" s="219"/>
      <c r="D92" s="342" t="s">
        <v>338</v>
      </c>
      <c r="E92" s="198"/>
      <c r="F92" s="329"/>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SEP 23</v>
      </c>
      <c r="E99" s="201">
        <f>'3083'!I$142</f>
        <v>350076.14</v>
      </c>
      <c r="F99" s="328"/>
      <c r="G99" s="201">
        <f>SUBTOTAL(109,E99:F106)</f>
        <v>350076.14</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hidden="1" customHeight="1" x14ac:dyDescent="0.2">
      <c r="A101" s="199"/>
      <c r="B101" s="200"/>
      <c r="C101" s="220"/>
      <c r="D101" s="374" t="s">
        <v>338</v>
      </c>
      <c r="E101" s="201"/>
      <c r="F101" s="328"/>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364</v>
      </c>
      <c r="D107" s="496" t="str">
        <f>$D$5</f>
        <v>FTE SEP 23</v>
      </c>
      <c r="E107" s="198">
        <f>'3345'!I$142</f>
        <v>59569.32</v>
      </c>
      <c r="F107" s="329"/>
      <c r="G107" s="198">
        <f>SUBTOTAL(109,E107:F113)</f>
        <v>59569.32</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hidden="1" customHeight="1" x14ac:dyDescent="0.2">
      <c r="A109" s="195"/>
      <c r="B109" s="196"/>
      <c r="C109" s="262"/>
      <c r="D109" s="232" t="s">
        <v>282</v>
      </c>
      <c r="E109" s="198"/>
      <c r="F109" s="329"/>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SEP 23</v>
      </c>
      <c r="E114" s="201">
        <f>'3381'!I$142</f>
        <v>728430.29</v>
      </c>
      <c r="F114" s="328"/>
      <c r="G114" s="201">
        <f>SUBTOTAL(109,E114:F122)</f>
        <v>728430.29</v>
      </c>
      <c r="H114" s="298"/>
      <c r="I114" s="196"/>
    </row>
    <row r="115" spans="1:9" s="261" customFormat="1" ht="12.75" hidden="1" customHeight="1" x14ac:dyDescent="0.2">
      <c r="A115" s="199"/>
      <c r="B115" s="200"/>
      <c r="C115" s="220"/>
      <c r="D115" s="233" t="s">
        <v>280</v>
      </c>
      <c r="E115" s="201"/>
      <c r="F115" s="328"/>
      <c r="G115" s="201"/>
      <c r="H115" s="260"/>
      <c r="I115" s="318"/>
    </row>
    <row r="116" spans="1:9" ht="12.75" hidden="1" customHeight="1" x14ac:dyDescent="0.2">
      <c r="A116" s="199"/>
      <c r="B116" s="200"/>
      <c r="C116" s="220"/>
      <c r="D116" s="374" t="s">
        <v>338</v>
      </c>
      <c r="E116" s="201"/>
      <c r="F116" s="328"/>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6" t="str">
        <f>$D$5</f>
        <v>FTE SEP 23</v>
      </c>
      <c r="E123" s="198">
        <f>'3382'!I$142</f>
        <v>183750.86</v>
      </c>
      <c r="F123" s="329"/>
      <c r="G123" s="198">
        <f>SUBTOTAL(109,E123:F131)</f>
        <v>183750.86</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hidden="1" customHeight="1" x14ac:dyDescent="0.2">
      <c r="A125" s="195"/>
      <c r="B125" s="196"/>
      <c r="C125" s="219"/>
      <c r="D125" s="342" t="s">
        <v>338</v>
      </c>
      <c r="E125" s="198"/>
      <c r="F125" s="329"/>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SEP 23</v>
      </c>
      <c r="E132" s="201">
        <f>'3391'!I$142</f>
        <v>39479.72</v>
      </c>
      <c r="F132" s="328"/>
      <c r="G132" s="201">
        <f>SUBTOTAL(109,E132:F140)</f>
        <v>39479.72</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hidden="1" customHeight="1" x14ac:dyDescent="0.2">
      <c r="A134" s="199"/>
      <c r="B134" s="200"/>
      <c r="C134" s="220"/>
      <c r="D134" s="233" t="s">
        <v>340</v>
      </c>
      <c r="E134" s="201"/>
      <c r="F134" s="328"/>
      <c r="G134" s="201"/>
      <c r="H134" s="298"/>
      <c r="I134" s="196"/>
    </row>
    <row r="135" spans="1:16" s="261" customFormat="1" ht="12.75" hidden="1" customHeight="1" x14ac:dyDescent="0.2">
      <c r="A135" s="199"/>
      <c r="B135" s="200"/>
      <c r="C135" s="220"/>
      <c r="D135" s="374" t="s">
        <v>338</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6" t="str">
        <f>$D$5</f>
        <v>FTE SEP 23</v>
      </c>
      <c r="E141" s="198">
        <f>'3394'!I$142</f>
        <v>140413.24</v>
      </c>
      <c r="F141" s="329"/>
      <c r="G141" s="198">
        <f>SUBTOTAL(109,E141:F150)</f>
        <v>140413.24</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hidden="1" customHeight="1" x14ac:dyDescent="0.2">
      <c r="A143" s="195"/>
      <c r="B143" s="196"/>
      <c r="C143" s="219"/>
      <c r="D143" s="342" t="s">
        <v>338</v>
      </c>
      <c r="E143" s="198"/>
      <c r="F143" s="329"/>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366</v>
      </c>
      <c r="E149" s="198"/>
      <c r="F149" s="329"/>
      <c r="G149" s="198"/>
      <c r="H149" s="260"/>
      <c r="I149" s="318"/>
    </row>
    <row r="150" spans="1:9" s="261" customFormat="1" ht="12.75" hidden="1" customHeight="1" x14ac:dyDescent="0.2">
      <c r="A150" s="195"/>
      <c r="B150" s="196"/>
      <c r="C150" s="219"/>
      <c r="D150" s="278" t="s">
        <v>367</v>
      </c>
      <c r="E150" s="198"/>
      <c r="F150" s="329"/>
      <c r="G150" s="198"/>
      <c r="H150" s="260"/>
      <c r="I150" s="318"/>
    </row>
    <row r="151" spans="1:9" s="261" customFormat="1" ht="12.75" customHeight="1" x14ac:dyDescent="0.2">
      <c r="A151" s="199">
        <f>A141+1</f>
        <v>15</v>
      </c>
      <c r="B151" s="200" t="s">
        <v>173</v>
      </c>
      <c r="C151" s="263" t="s">
        <v>288</v>
      </c>
      <c r="D151" s="279" t="str">
        <f>$D$5</f>
        <v>FTE SEP 23</v>
      </c>
      <c r="E151" s="201">
        <f>'3395'!I$142</f>
        <v>350402.77</v>
      </c>
      <c r="F151" s="328"/>
      <c r="G151" s="201">
        <f>SUBTOTAL(109,E151:F159)</f>
        <v>350402.77</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hidden="1" customHeight="1" x14ac:dyDescent="0.2">
      <c r="A153" s="199"/>
      <c r="B153" s="200"/>
      <c r="C153" s="220"/>
      <c r="D153" s="374" t="s">
        <v>338</v>
      </c>
      <c r="E153" s="201"/>
      <c r="F153" s="328"/>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436</v>
      </c>
      <c r="E158" s="201"/>
      <c r="F158" s="328"/>
      <c r="G158" s="201"/>
      <c r="H158" s="298"/>
      <c r="I158" s="320"/>
    </row>
    <row r="159" spans="1:9" s="261" customFormat="1" ht="12.75" hidden="1" customHeight="1" x14ac:dyDescent="0.2">
      <c r="A159" s="332"/>
      <c r="B159" s="200"/>
      <c r="C159" s="220"/>
      <c r="D159" s="315" t="s">
        <v>480</v>
      </c>
      <c r="E159" s="201"/>
      <c r="F159" s="328"/>
      <c r="G159" s="201"/>
      <c r="H159" s="298"/>
      <c r="I159" s="320"/>
    </row>
    <row r="160" spans="1:9" s="261" customFormat="1" ht="12.75" customHeight="1" x14ac:dyDescent="0.2">
      <c r="A160" s="195">
        <f>A151+1</f>
        <v>16</v>
      </c>
      <c r="B160" s="196" t="s">
        <v>174</v>
      </c>
      <c r="C160" s="262" t="s">
        <v>228</v>
      </c>
      <c r="D160" s="496" t="str">
        <f>$D$5</f>
        <v>FTE SEP 23</v>
      </c>
      <c r="E160" s="198">
        <f>'3396'!I$142</f>
        <v>483819.17</v>
      </c>
      <c r="F160" s="329"/>
      <c r="G160" s="198">
        <f>SUBTOTAL(109,E160:F167)</f>
        <v>483819.17</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hidden="1" customHeight="1" x14ac:dyDescent="0.2">
      <c r="A162" s="195"/>
      <c r="B162" s="196"/>
      <c r="C162" s="262"/>
      <c r="D162" s="232" t="s">
        <v>282</v>
      </c>
      <c r="E162" s="198"/>
      <c r="F162" s="329"/>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SEP 23</v>
      </c>
      <c r="E168" s="201">
        <f>'3398'!I$142</f>
        <v>87830.88</v>
      </c>
      <c r="F168" s="328"/>
      <c r="G168" s="201">
        <f>SUBTOTAL(109,E168:F174)</f>
        <v>87830.88</v>
      </c>
      <c r="H168" s="298"/>
      <c r="I168" s="320"/>
    </row>
    <row r="169" spans="1:11" ht="12.75" hidden="1" customHeight="1" x14ac:dyDescent="0.2">
      <c r="A169" s="199"/>
      <c r="B169" s="200"/>
      <c r="C169" s="220"/>
      <c r="D169" s="233" t="s">
        <v>280</v>
      </c>
      <c r="E169" s="201"/>
      <c r="F169" s="328"/>
      <c r="G169" s="201"/>
      <c r="H169" s="299"/>
      <c r="I169" s="333"/>
    </row>
    <row r="170" spans="1:11" s="261" customFormat="1" ht="12.75" hidden="1" customHeight="1" x14ac:dyDescent="0.2">
      <c r="A170" s="199"/>
      <c r="B170" s="200"/>
      <c r="C170" s="220"/>
      <c r="D170" s="233" t="s">
        <v>282</v>
      </c>
      <c r="E170" s="201"/>
      <c r="F170" s="328"/>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6" t="str">
        <f>$D$5</f>
        <v>FTE SEP 23</v>
      </c>
      <c r="E175" s="198">
        <f>'3400'!I$142</f>
        <v>100380.53</v>
      </c>
      <c r="F175" s="329"/>
      <c r="G175" s="198">
        <f>SUBTOTAL(109,E175:F182)</f>
        <v>100380.53</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hidden="1" customHeight="1" x14ac:dyDescent="0.2">
      <c r="A177" s="195"/>
      <c r="B177" s="196"/>
      <c r="C177" s="219"/>
      <c r="D177" s="342" t="s">
        <v>338</v>
      </c>
      <c r="E177" s="198"/>
      <c r="F177" s="329"/>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SEP 23</v>
      </c>
      <c r="E183" s="201">
        <f>'3401'!I$142</f>
        <v>224112.15</v>
      </c>
      <c r="F183" s="328"/>
      <c r="G183" s="201">
        <f>SUBTOTAL(109,E183:F193)</f>
        <v>224112.15</v>
      </c>
      <c r="H183" s="260"/>
      <c r="I183" s="318"/>
    </row>
    <row r="184" spans="1:9" ht="12.75" hidden="1" customHeight="1" x14ac:dyDescent="0.2">
      <c r="A184" s="199"/>
      <c r="B184" s="200"/>
      <c r="C184" s="220"/>
      <c r="D184" s="233" t="s">
        <v>280</v>
      </c>
      <c r="E184" s="201"/>
      <c r="F184" s="328"/>
      <c r="G184" s="201"/>
      <c r="H184" s="299"/>
      <c r="I184" s="286"/>
    </row>
    <row r="185" spans="1:9" s="261" customFormat="1" ht="12.75" hidden="1" customHeight="1" x14ac:dyDescent="0.2">
      <c r="A185" s="199"/>
      <c r="B185" s="200"/>
      <c r="C185" s="220"/>
      <c r="D185" s="374" t="s">
        <v>351</v>
      </c>
      <c r="E185" s="201"/>
      <c r="F185" s="328"/>
      <c r="G185" s="201"/>
      <c r="H185" s="298"/>
      <c r="I185" s="286"/>
    </row>
    <row r="186" spans="1:9" s="261" customFormat="1" ht="12.75" hidden="1" customHeight="1" x14ac:dyDescent="0.2">
      <c r="A186" s="199"/>
      <c r="B186" s="200"/>
      <c r="C186" s="220"/>
      <c r="D186" s="233" t="s">
        <v>340</v>
      </c>
      <c r="E186" s="201"/>
      <c r="F186" s="328"/>
      <c r="G186" s="201"/>
      <c r="H186" s="298"/>
      <c r="I186" s="286"/>
    </row>
    <row r="187" spans="1:9" s="261" customFormat="1" ht="12.75" hidden="1" customHeight="1" x14ac:dyDescent="0.2">
      <c r="A187" s="199"/>
      <c r="B187" s="200"/>
      <c r="C187" s="220"/>
      <c r="D187" s="233" t="s">
        <v>341</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6" t="str">
        <f>$D$5</f>
        <v>FTE SEP 23</v>
      </c>
      <c r="E194" s="198">
        <f>'3413'!I$142</f>
        <v>245982.01</v>
      </c>
      <c r="F194" s="329"/>
      <c r="G194" s="198">
        <f>SUBTOTAL(109,E194:F201)</f>
        <v>245982.01</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hidden="1" customHeight="1" x14ac:dyDescent="0.2">
      <c r="A196" s="195"/>
      <c r="B196" s="196"/>
      <c r="C196" s="219"/>
      <c r="D196" s="342" t="s">
        <v>338</v>
      </c>
      <c r="E196" s="198"/>
      <c r="F196" s="329"/>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SEP 23</v>
      </c>
      <c r="E202" s="201">
        <f>'3421'!I$142</f>
        <v>205255.16</v>
      </c>
      <c r="F202" s="328"/>
      <c r="G202" s="201">
        <f>SUBTOTAL(109,E202:F212)</f>
        <v>205255.16</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351</v>
      </c>
      <c r="E204" s="201"/>
      <c r="F204" s="328"/>
      <c r="G204" s="201"/>
      <c r="H204" s="298"/>
      <c r="I204" s="196"/>
    </row>
    <row r="205" spans="1:9" s="261" customFormat="1" ht="12.75" hidden="1" customHeight="1" x14ac:dyDescent="0.2">
      <c r="A205" s="199"/>
      <c r="B205" s="200"/>
      <c r="C205" s="220"/>
      <c r="D205" s="233" t="s">
        <v>340</v>
      </c>
      <c r="E205" s="201"/>
      <c r="F205" s="328"/>
      <c r="G205" s="201"/>
      <c r="H205" s="298"/>
      <c r="I205" s="196"/>
    </row>
    <row r="206" spans="1:9" s="261" customFormat="1" ht="12.75" hidden="1" customHeight="1" x14ac:dyDescent="0.2">
      <c r="A206" s="199"/>
      <c r="B206" s="200"/>
      <c r="C206" s="220"/>
      <c r="D206" s="233" t="s">
        <v>341</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6" t="str">
        <f>$D$5</f>
        <v>FTE SEP 23</v>
      </c>
      <c r="E213" s="198">
        <f>'3431'!I$142</f>
        <v>688388.98</v>
      </c>
      <c r="F213" s="329"/>
      <c r="G213" s="198">
        <f>SUBTOTAL(109,E213:F222)</f>
        <v>688388.98</v>
      </c>
      <c r="H213" s="298"/>
    </row>
    <row r="214" spans="1:9" s="261" customFormat="1" ht="12.75" hidden="1" customHeight="1" x14ac:dyDescent="0.2">
      <c r="A214" s="195"/>
      <c r="B214" s="196"/>
      <c r="C214" s="219"/>
      <c r="D214" s="232" t="s">
        <v>280</v>
      </c>
      <c r="E214" s="198"/>
      <c r="F214" s="329"/>
      <c r="G214" s="198"/>
      <c r="H214" s="298"/>
      <c r="I214" s="196"/>
    </row>
    <row r="215" spans="1:9" s="261" customFormat="1" ht="12.75" hidden="1" customHeight="1" x14ac:dyDescent="0.2">
      <c r="A215" s="195"/>
      <c r="B215" s="196"/>
      <c r="C215" s="219"/>
      <c r="D215" s="342" t="s">
        <v>339</v>
      </c>
      <c r="E215" s="198"/>
      <c r="F215" s="329"/>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337</v>
      </c>
      <c r="E222" s="198"/>
      <c r="F222" s="329"/>
      <c r="G222" s="198"/>
      <c r="H222" s="260"/>
      <c r="I222" s="318"/>
    </row>
    <row r="223" spans="1:9" s="261" customFormat="1" ht="12.75" customHeight="1" x14ac:dyDescent="0.2">
      <c r="A223" s="199">
        <f>A213+1</f>
        <v>23</v>
      </c>
      <c r="B223" s="200">
        <v>3441</v>
      </c>
      <c r="C223" s="263" t="s">
        <v>229</v>
      </c>
      <c r="D223" s="279" t="str">
        <f>$D$5</f>
        <v>FTE SEP 23</v>
      </c>
      <c r="E223" s="201">
        <f>'3441'!I$142</f>
        <v>358334.41</v>
      </c>
      <c r="F223" s="328"/>
      <c r="G223" s="201">
        <f>SUBTOTAL(109,E223:F231)</f>
        <v>358334.41</v>
      </c>
      <c r="H223" s="298"/>
    </row>
    <row r="224" spans="1:9" s="261" customFormat="1" ht="12.75" hidden="1" customHeight="1" x14ac:dyDescent="0.2">
      <c r="A224" s="199"/>
      <c r="B224" s="200"/>
      <c r="C224" s="263"/>
      <c r="D224" s="233" t="s">
        <v>280</v>
      </c>
      <c r="E224" s="201"/>
      <c r="F224" s="328"/>
      <c r="G224" s="201"/>
      <c r="H224" s="298"/>
    </row>
    <row r="225" spans="1:9" s="261" customFormat="1" ht="12.75" hidden="1" customHeight="1" x14ac:dyDescent="0.2">
      <c r="A225" s="199"/>
      <c r="B225" s="200"/>
      <c r="C225" s="220"/>
      <c r="D225" s="374" t="s">
        <v>338</v>
      </c>
      <c r="E225" s="201"/>
      <c r="F225" s="328"/>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356</v>
      </c>
      <c r="D232" s="496" t="str">
        <f>$D$5</f>
        <v>FTE SEP 23</v>
      </c>
      <c r="E232" s="198">
        <f>'3924'!I$142</f>
        <v>342179.84000000003</v>
      </c>
      <c r="F232" s="329"/>
      <c r="G232" s="198">
        <f>SUBTOTAL(109,E232:F241)</f>
        <v>342179.84000000003</v>
      </c>
      <c r="H232" s="298"/>
    </row>
    <row r="233" spans="1:9" s="261" customFormat="1" ht="12.75" hidden="1" customHeight="1" x14ac:dyDescent="0.2">
      <c r="A233" s="195"/>
      <c r="B233" s="196"/>
      <c r="C233" s="219"/>
      <c r="D233" s="232" t="s">
        <v>280</v>
      </c>
      <c r="E233" s="198"/>
      <c r="F233" s="329"/>
      <c r="G233" s="198"/>
      <c r="H233" s="298"/>
    </row>
    <row r="234" spans="1:9" s="261" customFormat="1" ht="12.75" hidden="1" customHeight="1" x14ac:dyDescent="0.2">
      <c r="A234" s="195"/>
      <c r="B234" s="196"/>
      <c r="C234" s="219"/>
      <c r="D234" s="342" t="s">
        <v>339</v>
      </c>
      <c r="E234" s="198"/>
      <c r="F234" s="329"/>
      <c r="G234" s="198"/>
      <c r="H234" s="298"/>
    </row>
    <row r="235" spans="1:9" s="261" customFormat="1" ht="12.75" hidden="1" customHeight="1" x14ac:dyDescent="0.2">
      <c r="A235" s="195"/>
      <c r="B235" s="196"/>
      <c r="C235" s="219"/>
      <c r="D235" s="342" t="s">
        <v>338</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368</v>
      </c>
      <c r="E241" s="198"/>
      <c r="F241" s="329"/>
      <c r="G241" s="198"/>
      <c r="H241" s="298"/>
    </row>
    <row r="242" spans="1:9" s="261" customFormat="1" ht="12.75" customHeight="1" x14ac:dyDescent="0.2">
      <c r="A242" s="199">
        <f>A232+1</f>
        <v>25</v>
      </c>
      <c r="B242" s="200" t="s">
        <v>181</v>
      </c>
      <c r="C242" s="220" t="s">
        <v>192</v>
      </c>
      <c r="D242" s="279" t="str">
        <f>$D$5</f>
        <v>FTE SEP 23</v>
      </c>
      <c r="E242" s="201">
        <f>'3941'!I$142</f>
        <v>173388.33</v>
      </c>
      <c r="F242" s="328"/>
      <c r="G242" s="201">
        <f>SUBTOTAL(109,E242:F251)</f>
        <v>173388.33</v>
      </c>
      <c r="H242" s="298"/>
    </row>
    <row r="243" spans="1:9" s="261" customFormat="1" ht="12.75" hidden="1" customHeight="1" x14ac:dyDescent="0.2">
      <c r="A243" s="199"/>
      <c r="B243" s="200"/>
      <c r="C243" s="220"/>
      <c r="D243" s="233" t="s">
        <v>280</v>
      </c>
      <c r="E243" s="201"/>
      <c r="F243" s="328"/>
      <c r="G243" s="201"/>
      <c r="H243" s="298"/>
    </row>
    <row r="244" spans="1:9" s="261" customFormat="1" ht="12.75" hidden="1" customHeight="1" x14ac:dyDescent="0.2">
      <c r="A244" s="199"/>
      <c r="B244" s="200"/>
      <c r="C244" s="220"/>
      <c r="D244" s="374" t="s">
        <v>339</v>
      </c>
      <c r="E244" s="201"/>
      <c r="F244" s="328"/>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hidden="1" customHeight="1" x14ac:dyDescent="0.2">
      <c r="A251" s="199"/>
      <c r="B251" s="200"/>
      <c r="C251" s="220"/>
      <c r="D251" s="233" t="s">
        <v>320</v>
      </c>
      <c r="E251" s="201"/>
      <c r="F251" s="328"/>
      <c r="G251" s="201"/>
      <c r="H251" s="298"/>
      <c r="I251" s="318"/>
    </row>
    <row r="252" spans="1:9" s="261" customFormat="1" ht="12.75" customHeight="1" x14ac:dyDescent="0.2">
      <c r="A252" s="195">
        <f>A242+1</f>
        <v>26</v>
      </c>
      <c r="B252" s="196" t="s">
        <v>182</v>
      </c>
      <c r="C252" s="219" t="s">
        <v>202</v>
      </c>
      <c r="D252" s="496" t="str">
        <f>$D$5</f>
        <v>FTE SEP 23</v>
      </c>
      <c r="E252" s="198">
        <f>'3961'!I$142</f>
        <v>233650.68</v>
      </c>
      <c r="F252" s="329"/>
      <c r="G252" s="198">
        <f>SUBTOTAL(109,E252:F259)</f>
        <v>233650.68</v>
      </c>
      <c r="H252" s="298"/>
    </row>
    <row r="253" spans="1:9" s="261" customFormat="1" ht="12.75" hidden="1" customHeight="1" x14ac:dyDescent="0.2">
      <c r="A253" s="195"/>
      <c r="B253" s="196"/>
      <c r="C253" s="219"/>
      <c r="D253" s="232" t="s">
        <v>280</v>
      </c>
      <c r="E253" s="198"/>
      <c r="F253" s="329"/>
      <c r="G253" s="198"/>
      <c r="H253" s="298"/>
    </row>
    <row r="254" spans="1:9" s="261" customFormat="1" ht="12.75" hidden="1" customHeight="1" x14ac:dyDescent="0.2">
      <c r="A254" s="195"/>
      <c r="B254" s="196"/>
      <c r="C254" s="219"/>
      <c r="D254" s="342" t="s">
        <v>338</v>
      </c>
      <c r="E254" s="198"/>
      <c r="F254" s="329"/>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SEP 23</v>
      </c>
      <c r="E260" s="201">
        <f>'3971'!I$142</f>
        <v>377049.44</v>
      </c>
      <c r="F260" s="328"/>
      <c r="G260" s="201">
        <f>SUBTOTAL(109,E260:F267)</f>
        <v>377049.44</v>
      </c>
      <c r="H260" s="260"/>
      <c r="I260" s="318"/>
    </row>
    <row r="261" spans="1:9" s="261" customFormat="1" ht="12.75" hidden="1" customHeight="1" x14ac:dyDescent="0.2">
      <c r="A261" s="199"/>
      <c r="B261" s="200"/>
      <c r="C261" s="220"/>
      <c r="D261" s="233" t="s">
        <v>280</v>
      </c>
      <c r="E261" s="201"/>
      <c r="F261" s="328"/>
      <c r="G261" s="201"/>
      <c r="H261" s="298"/>
    </row>
    <row r="262" spans="1:9" s="261" customFormat="1" ht="12.75" hidden="1" customHeight="1" x14ac:dyDescent="0.2">
      <c r="A262" s="199"/>
      <c r="B262" s="200"/>
      <c r="C262" s="220"/>
      <c r="D262" s="374" t="s">
        <v>351</v>
      </c>
      <c r="E262" s="201"/>
      <c r="F262" s="328"/>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343</v>
      </c>
      <c r="E267" s="201"/>
      <c r="F267" s="328"/>
      <c r="G267" s="201"/>
      <c r="H267" s="298"/>
      <c r="I267" s="188"/>
    </row>
    <row r="268" spans="1:9" s="261" customFormat="1" ht="12.75" customHeight="1" x14ac:dyDescent="0.2">
      <c r="A268" s="195">
        <f>A260+1</f>
        <v>28</v>
      </c>
      <c r="B268" s="196" t="s">
        <v>184</v>
      </c>
      <c r="C268" s="219" t="s">
        <v>220</v>
      </c>
      <c r="D268" s="496" t="str">
        <f>$D$5</f>
        <v>FTE SEP 23</v>
      </c>
      <c r="E268" s="366">
        <f>'4001'!I$142</f>
        <v>486113.26</v>
      </c>
      <c r="F268" s="329"/>
      <c r="G268" s="198">
        <f>SUBTOTAL(109,E268:F276)</f>
        <v>486113.26</v>
      </c>
      <c r="H268" s="298"/>
      <c r="I268" s="318"/>
    </row>
    <row r="269" spans="1:9" ht="12.75" hidden="1" customHeight="1" x14ac:dyDescent="0.2">
      <c r="A269" s="195"/>
      <c r="B269" s="196"/>
      <c r="C269" s="219"/>
      <c r="D269" s="232" t="s">
        <v>280</v>
      </c>
      <c r="E269" s="198"/>
      <c r="F269" s="329"/>
      <c r="G269" s="198"/>
      <c r="H269" s="299"/>
      <c r="I269" s="261"/>
    </row>
    <row r="270" spans="1:9" s="261" customFormat="1" ht="12.75" hidden="1" customHeight="1" x14ac:dyDescent="0.2">
      <c r="A270" s="195"/>
      <c r="B270" s="196"/>
      <c r="C270" s="219"/>
      <c r="D270" s="342" t="s">
        <v>339</v>
      </c>
      <c r="E270" s="198"/>
      <c r="F270" s="329"/>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SEP 23</v>
      </c>
      <c r="E277" s="201">
        <f>'4002'!I$142</f>
        <v>797401.21</v>
      </c>
      <c r="F277" s="328"/>
      <c r="G277" s="201">
        <f>SUBTOTAL(109,E277:F286)</f>
        <v>797401.21</v>
      </c>
      <c r="H277" s="298"/>
    </row>
    <row r="278" spans="1:9" s="261" customFormat="1" ht="12.75" hidden="1" customHeight="1" x14ac:dyDescent="0.2">
      <c r="A278" s="199"/>
      <c r="B278" s="200"/>
      <c r="C278" s="220"/>
      <c r="D278" s="233" t="s">
        <v>280</v>
      </c>
      <c r="E278" s="201"/>
      <c r="F278" s="328"/>
      <c r="G278" s="201"/>
      <c r="H278" s="298"/>
    </row>
    <row r="279" spans="1:9" s="261" customFormat="1" ht="12.75" hidden="1" customHeight="1" x14ac:dyDescent="0.2">
      <c r="A279" s="199"/>
      <c r="B279" s="200"/>
      <c r="C279" s="220"/>
      <c r="D279" s="374" t="s">
        <v>339</v>
      </c>
      <c r="E279" s="201"/>
      <c r="F279" s="328"/>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6" t="str">
        <f>$D$5</f>
        <v>FTE SEP 23</v>
      </c>
      <c r="E287" s="198">
        <f>'4012'!I$142</f>
        <v>449657.87</v>
      </c>
      <c r="F287" s="329"/>
      <c r="G287" s="198">
        <f>SUBTOTAL(109,E287:F294)</f>
        <v>449657.87</v>
      </c>
      <c r="H287" s="298"/>
    </row>
    <row r="288" spans="1:9" s="261" customFormat="1" ht="12.75" hidden="1" customHeight="1" x14ac:dyDescent="0.2">
      <c r="A288" s="195"/>
      <c r="B288" s="196"/>
      <c r="C288" s="219"/>
      <c r="D288" s="232" t="s">
        <v>280</v>
      </c>
      <c r="E288" s="198"/>
      <c r="F288" s="329"/>
      <c r="G288" s="198"/>
      <c r="H288" s="298"/>
    </row>
    <row r="289" spans="1:9" s="261" customFormat="1" ht="12.75" hidden="1" customHeight="1" x14ac:dyDescent="0.2">
      <c r="A289" s="195"/>
      <c r="B289" s="196"/>
      <c r="C289" s="219"/>
      <c r="D289" s="232" t="s">
        <v>282</v>
      </c>
      <c r="E289" s="198"/>
      <c r="F289" s="329"/>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SEP 23</v>
      </c>
      <c r="E295" s="201">
        <f>'4013'!I$142</f>
        <v>679815.82</v>
      </c>
      <c r="F295" s="328"/>
      <c r="G295" s="201">
        <f>SUBTOTAL(109,E295:F303)</f>
        <v>679815.82</v>
      </c>
      <c r="H295" s="298"/>
      <c r="I295" s="320"/>
    </row>
    <row r="296" spans="1:9" s="261" customFormat="1" ht="12.75" hidden="1" customHeight="1" x14ac:dyDescent="0.2">
      <c r="A296" s="199"/>
      <c r="B296" s="200"/>
      <c r="C296" s="220"/>
      <c r="D296" s="233" t="s">
        <v>280</v>
      </c>
      <c r="E296" s="201"/>
      <c r="F296" s="328"/>
      <c r="G296" s="201"/>
      <c r="H296" s="298"/>
    </row>
    <row r="297" spans="1:9" s="261" customFormat="1" ht="12.75" hidden="1" customHeight="1" x14ac:dyDescent="0.2">
      <c r="A297" s="199"/>
      <c r="B297" s="200"/>
      <c r="C297" s="220"/>
      <c r="D297" s="374" t="s">
        <v>339</v>
      </c>
      <c r="E297" s="201"/>
      <c r="F297" s="328"/>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6" t="str">
        <f>$D$5</f>
        <v>FTE SEP 23</v>
      </c>
      <c r="E304" s="198">
        <f>'4020'!I$142</f>
        <v>898085</v>
      </c>
      <c r="F304" s="329"/>
      <c r="G304" s="198">
        <f>SUBTOTAL(109,E304:F312)</f>
        <v>898085</v>
      </c>
      <c r="H304" s="298"/>
      <c r="I304" s="308"/>
    </row>
    <row r="305" spans="1:9" s="261" customFormat="1" ht="12.75" hidden="1" customHeight="1" x14ac:dyDescent="0.2">
      <c r="A305" s="195"/>
      <c r="B305" s="196"/>
      <c r="C305" s="219"/>
      <c r="D305" s="232" t="s">
        <v>280</v>
      </c>
      <c r="E305" s="198"/>
      <c r="F305" s="329"/>
      <c r="G305" s="198"/>
      <c r="H305" s="298"/>
    </row>
    <row r="306" spans="1:9" s="261" customFormat="1" ht="12.75" hidden="1" customHeight="1" x14ac:dyDescent="0.2">
      <c r="A306" s="195"/>
      <c r="B306" s="196"/>
      <c r="C306" s="219"/>
      <c r="D306" s="342" t="s">
        <v>338</v>
      </c>
      <c r="E306" s="198"/>
      <c r="F306" s="329"/>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SEP 23</v>
      </c>
      <c r="E313" s="201">
        <f>'4030'!I$142</f>
        <v>240977.85</v>
      </c>
      <c r="F313" s="328"/>
      <c r="G313" s="201">
        <f>SUBTOTAL(109,E313:F322)</f>
        <v>240977.85</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339</v>
      </c>
      <c r="E315" s="201"/>
      <c r="F315" s="328"/>
      <c r="G315" s="201"/>
      <c r="H315" s="298"/>
    </row>
    <row r="316" spans="1:9" s="261" customFormat="1" ht="12.75" hidden="1" customHeight="1" x14ac:dyDescent="0.2">
      <c r="A316" s="199"/>
      <c r="B316" s="200"/>
      <c r="C316" s="220"/>
      <c r="D316" s="374" t="s">
        <v>338</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6" t="str">
        <f>$D$5</f>
        <v>FTE SEP 23</v>
      </c>
      <c r="E323" s="198">
        <f>'4031'!I$142</f>
        <v>318794.64</v>
      </c>
      <c r="F323" s="329"/>
      <c r="G323" s="198">
        <f>SUBTOTAL(109,E323:F332)</f>
        <v>318794.64</v>
      </c>
      <c r="H323" s="298"/>
    </row>
    <row r="324" spans="1:9" s="261" customFormat="1" ht="12.75" hidden="1" customHeight="1" x14ac:dyDescent="0.2">
      <c r="A324" s="195"/>
      <c r="B324" s="196"/>
      <c r="C324" s="219"/>
      <c r="D324" s="232" t="s">
        <v>280</v>
      </c>
      <c r="E324" s="198"/>
      <c r="F324" s="329"/>
      <c r="G324" s="198"/>
      <c r="H324" s="298"/>
    </row>
    <row r="325" spans="1:9" s="261" customFormat="1" ht="12.75" hidden="1" customHeight="1" x14ac:dyDescent="0.2">
      <c r="A325" s="195"/>
      <c r="B325" s="196"/>
      <c r="C325" s="219"/>
      <c r="D325" s="342" t="s">
        <v>339</v>
      </c>
      <c r="E325" s="198"/>
      <c r="F325" s="329"/>
      <c r="G325" s="198"/>
      <c r="H325" s="298"/>
      <c r="I325" s="196"/>
    </row>
    <row r="326" spans="1:9" s="261" customFormat="1" ht="12.75" hidden="1" customHeight="1" x14ac:dyDescent="0.2">
      <c r="A326" s="195"/>
      <c r="B326" s="196"/>
      <c r="C326" s="219"/>
      <c r="D326" s="342" t="s">
        <v>338</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SEP 23</v>
      </c>
      <c r="E333" s="201">
        <f>'4041'!I$142</f>
        <v>52698.55</v>
      </c>
      <c r="F333" s="328"/>
      <c r="G333" s="201">
        <f>SUBTOTAL(109,E333:F343)</f>
        <v>52698.55</v>
      </c>
      <c r="H333" s="298"/>
    </row>
    <row r="334" spans="1:9" s="261" customFormat="1" ht="12.75" hidden="1" customHeight="1" x14ac:dyDescent="0.2">
      <c r="A334" s="199"/>
      <c r="B334" s="200"/>
      <c r="C334" s="220"/>
      <c r="D334" s="233" t="s">
        <v>280</v>
      </c>
      <c r="E334" s="201"/>
      <c r="F334" s="328"/>
      <c r="G334" s="201"/>
      <c r="H334" s="298"/>
    </row>
    <row r="335" spans="1:9" s="261" customFormat="1" ht="12.75" hidden="1" customHeight="1" x14ac:dyDescent="0.2">
      <c r="A335" s="199"/>
      <c r="B335" s="200"/>
      <c r="C335" s="220"/>
      <c r="D335" s="374" t="s">
        <v>339</v>
      </c>
      <c r="E335" s="201"/>
      <c r="F335" s="328"/>
      <c r="G335" s="201"/>
      <c r="H335" s="298"/>
      <c r="I335" s="196"/>
    </row>
    <row r="336" spans="1:9" s="261" customFormat="1" ht="12.75" hidden="1" customHeight="1" x14ac:dyDescent="0.2">
      <c r="A336" s="199"/>
      <c r="B336" s="200"/>
      <c r="C336" s="220"/>
      <c r="D336" s="374" t="s">
        <v>338</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6" t="str">
        <f>$D$5</f>
        <v>FTE SEP 23</v>
      </c>
      <c r="E344" s="198">
        <f>'4050'!I$142</f>
        <v>547614.96</v>
      </c>
      <c r="F344" s="329"/>
      <c r="G344" s="198">
        <f>SUBTOTAL(109,E344:F350)</f>
        <v>547614.96</v>
      </c>
      <c r="H344" s="298"/>
    </row>
    <row r="345" spans="1:9" s="261" customFormat="1" ht="12.75" hidden="1" customHeight="1" x14ac:dyDescent="0.2">
      <c r="A345" s="195"/>
      <c r="B345" s="264"/>
      <c r="C345" s="265"/>
      <c r="D345" s="232" t="s">
        <v>280</v>
      </c>
      <c r="E345" s="198"/>
      <c r="F345" s="329"/>
      <c r="G345" s="198"/>
      <c r="H345" s="298"/>
      <c r="I345" s="196"/>
    </row>
    <row r="346" spans="1:9" s="261" customFormat="1" ht="12.75" hidden="1" customHeight="1" x14ac:dyDescent="0.2">
      <c r="A346" s="195"/>
      <c r="B346" s="264"/>
      <c r="C346" s="265"/>
      <c r="D346" s="232" t="s">
        <v>282</v>
      </c>
      <c r="E346" s="198"/>
      <c r="F346" s="329"/>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SEP 23</v>
      </c>
      <c r="E351" s="201">
        <f>'4051'!I$142</f>
        <v>572840.06999999995</v>
      </c>
      <c r="F351" s="328"/>
      <c r="G351" s="201">
        <f>SUBTOTAL(109,E351:F359)</f>
        <v>572840.06999999995</v>
      </c>
      <c r="H351" s="298"/>
    </row>
    <row r="352" spans="1:9" s="261" customFormat="1" ht="12.75" hidden="1" customHeight="1" x14ac:dyDescent="0.2">
      <c r="A352" s="199"/>
      <c r="B352" s="200"/>
      <c r="C352" s="220"/>
      <c r="D352" s="233" t="s">
        <v>280</v>
      </c>
      <c r="E352" s="201"/>
      <c r="F352" s="328"/>
      <c r="G352" s="201"/>
      <c r="H352" s="298"/>
      <c r="I352" s="320"/>
    </row>
    <row r="353" spans="1:9" s="261" customFormat="1" ht="12.75" hidden="1" customHeight="1" x14ac:dyDescent="0.2">
      <c r="A353" s="199"/>
      <c r="B353" s="200"/>
      <c r="C353" s="220"/>
      <c r="D353" s="233" t="s">
        <v>282</v>
      </c>
      <c r="E353" s="201"/>
      <c r="F353" s="328"/>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6" t="str">
        <f>$D$5</f>
        <v>FTE SEP 23</v>
      </c>
      <c r="E360" s="198">
        <f>'4061'!I$142</f>
        <v>715136.15</v>
      </c>
      <c r="F360" s="329"/>
      <c r="G360" s="198">
        <f>SUBTOTAL(109,E360:F368)</f>
        <v>715136.15</v>
      </c>
      <c r="H360" s="298"/>
    </row>
    <row r="361" spans="1:9" s="261" customFormat="1" ht="12.75" hidden="1" customHeight="1" x14ac:dyDescent="0.2">
      <c r="A361" s="195"/>
      <c r="B361" s="264"/>
      <c r="C361" s="265"/>
      <c r="D361" s="232" t="s">
        <v>280</v>
      </c>
      <c r="E361" s="198"/>
      <c r="F361" s="329"/>
      <c r="G361" s="198"/>
      <c r="H361" s="298"/>
    </row>
    <row r="362" spans="1:9" s="261" customFormat="1" ht="12.75" hidden="1" customHeight="1" x14ac:dyDescent="0.2">
      <c r="A362" s="195"/>
      <c r="B362" s="196"/>
      <c r="C362" s="219"/>
      <c r="D362" s="342" t="s">
        <v>338</v>
      </c>
      <c r="E362" s="198"/>
      <c r="F362" s="329"/>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9" t="s">
        <v>437</v>
      </c>
      <c r="E368" s="438"/>
      <c r="F368" s="329"/>
      <c r="G368" s="198"/>
      <c r="H368" s="298"/>
      <c r="I368" s="320"/>
    </row>
    <row r="369" spans="1:9" s="261" customFormat="1" ht="12.75" customHeight="1" x14ac:dyDescent="0.2">
      <c r="A369" s="199">
        <f>A360+1</f>
        <v>39</v>
      </c>
      <c r="B369" s="200">
        <v>4080</v>
      </c>
      <c r="C369" s="220" t="s">
        <v>239</v>
      </c>
      <c r="D369" s="279" t="str">
        <f>$D$5</f>
        <v>FTE SEP 23</v>
      </c>
      <c r="E369" s="201">
        <f>'4080'!I$142</f>
        <v>187582.84</v>
      </c>
      <c r="F369" s="328"/>
      <c r="G369" s="201">
        <f>SUBTOTAL(109,E369:F375)</f>
        <v>187582.84</v>
      </c>
      <c r="H369" s="298"/>
    </row>
    <row r="370" spans="1:9" s="261" customFormat="1" ht="12.75" hidden="1" customHeight="1" x14ac:dyDescent="0.2">
      <c r="A370" s="199"/>
      <c r="B370" s="200"/>
      <c r="C370" s="220"/>
      <c r="D370" s="233" t="s">
        <v>280</v>
      </c>
      <c r="E370" s="201"/>
      <c r="F370" s="328"/>
      <c r="G370" s="201"/>
      <c r="H370" s="298"/>
    </row>
    <row r="371" spans="1:9" s="261" customFormat="1" ht="12.75" hidden="1" customHeight="1" x14ac:dyDescent="0.2">
      <c r="A371" s="199"/>
      <c r="B371" s="200"/>
      <c r="C371" s="220"/>
      <c r="D371" s="233" t="s">
        <v>282</v>
      </c>
      <c r="E371" s="201"/>
      <c r="F371" s="328"/>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6" t="str">
        <f>$D$5</f>
        <v>FTE SEP 23</v>
      </c>
      <c r="E376" s="198">
        <f>'4081'!I$142</f>
        <v>89293.73</v>
      </c>
      <c r="F376" s="329"/>
      <c r="G376" s="198">
        <f>SUBTOTAL(109,E376:F384)</f>
        <v>89293.73</v>
      </c>
      <c r="H376" s="298"/>
    </row>
    <row r="377" spans="1:9" s="261" customFormat="1" ht="12.75" hidden="1" customHeight="1" x14ac:dyDescent="0.2">
      <c r="A377" s="195"/>
      <c r="B377" s="264"/>
      <c r="C377" s="266"/>
      <c r="D377" s="232" t="s">
        <v>280</v>
      </c>
      <c r="E377" s="198"/>
      <c r="F377" s="329"/>
      <c r="G377" s="198"/>
      <c r="H377" s="298"/>
      <c r="I377" s="318"/>
    </row>
    <row r="378" spans="1:9" s="261" customFormat="1" ht="12.75" hidden="1" customHeight="1" x14ac:dyDescent="0.2">
      <c r="A378" s="195"/>
      <c r="B378" s="196"/>
      <c r="C378" s="219"/>
      <c r="D378" s="342" t="s">
        <v>339</v>
      </c>
      <c r="E378" s="198"/>
      <c r="F378" s="329"/>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SEP 23</v>
      </c>
      <c r="E385" s="201">
        <f>'4090'!I$142</f>
        <v>220481.9</v>
      </c>
      <c r="F385" s="328"/>
      <c r="G385" s="201">
        <f>SUBTOTAL(109,E385:F394)</f>
        <v>220481.9</v>
      </c>
      <c r="H385" s="298"/>
    </row>
    <row r="386" spans="1:12" s="261" customFormat="1" ht="12.75" hidden="1" customHeight="1" x14ac:dyDescent="0.2">
      <c r="A386" s="199"/>
      <c r="B386" s="200"/>
      <c r="C386" s="220"/>
      <c r="D386" s="233" t="s">
        <v>280</v>
      </c>
      <c r="E386" s="201"/>
      <c r="F386" s="328"/>
      <c r="G386" s="201"/>
      <c r="H386" s="298"/>
      <c r="L386" s="319"/>
    </row>
    <row r="387" spans="1:12" s="261" customFormat="1" ht="12.75" hidden="1" customHeight="1" x14ac:dyDescent="0.2">
      <c r="A387" s="199"/>
      <c r="B387" s="200"/>
      <c r="C387" s="220"/>
      <c r="D387" s="374" t="s">
        <v>339</v>
      </c>
      <c r="E387" s="201"/>
      <c r="F387" s="328"/>
      <c r="G387" s="201"/>
      <c r="H387" s="298"/>
    </row>
    <row r="388" spans="1:12" s="261" customFormat="1" ht="12.75" hidden="1" customHeight="1" x14ac:dyDescent="0.2">
      <c r="A388" s="199"/>
      <c r="B388" s="200"/>
      <c r="C388" s="220"/>
      <c r="D388" s="374" t="s">
        <v>338</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hidden="1" customHeight="1" x14ac:dyDescent="0.2">
      <c r="A394" s="199"/>
      <c r="B394" s="200"/>
      <c r="C394" s="220"/>
      <c r="D394" s="233" t="s">
        <v>438</v>
      </c>
      <c r="E394" s="201"/>
      <c r="F394" s="328"/>
      <c r="G394" s="201"/>
      <c r="H394" s="298"/>
      <c r="I394" s="318"/>
    </row>
    <row r="395" spans="1:12" s="261" customFormat="1" ht="12.75" customHeight="1" x14ac:dyDescent="0.2">
      <c r="A395" s="195">
        <f>1+A385</f>
        <v>42</v>
      </c>
      <c r="B395" s="264">
        <v>4091</v>
      </c>
      <c r="C395" s="266" t="s">
        <v>277</v>
      </c>
      <c r="D395" s="496" t="str">
        <f>$D$5</f>
        <v>FTE SEP 23</v>
      </c>
      <c r="E395" s="198">
        <f>'4091'!I$142</f>
        <v>286572.12</v>
      </c>
      <c r="F395" s="329"/>
      <c r="G395" s="198">
        <f>SUBTOTAL(109,E395:F404)</f>
        <v>286572.12</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hidden="1" customHeight="1" x14ac:dyDescent="0.2">
      <c r="A397" s="195"/>
      <c r="B397" s="196"/>
      <c r="C397" s="219"/>
      <c r="D397" s="342" t="s">
        <v>339</v>
      </c>
      <c r="E397" s="198"/>
      <c r="F397" s="329"/>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320</v>
      </c>
      <c r="E403" s="198"/>
      <c r="F403" s="329"/>
      <c r="G403" s="198"/>
      <c r="H403" s="298"/>
    </row>
    <row r="404" spans="1:13" s="261" customFormat="1" ht="12.75" hidden="1" customHeight="1" x14ac:dyDescent="0.2">
      <c r="A404" s="195"/>
      <c r="B404" s="196"/>
      <c r="C404" s="219"/>
      <c r="D404" s="278" t="s">
        <v>369</v>
      </c>
      <c r="E404" s="198"/>
      <c r="F404" s="329"/>
      <c r="G404" s="198"/>
      <c r="H404" s="298"/>
    </row>
    <row r="405" spans="1:13" s="261" customFormat="1" ht="12.75" customHeight="1" x14ac:dyDescent="0.2">
      <c r="A405" s="199">
        <f>1+A395</f>
        <v>43</v>
      </c>
      <c r="B405" s="200">
        <v>4100</v>
      </c>
      <c r="C405" s="220" t="s">
        <v>269</v>
      </c>
      <c r="D405" s="279" t="str">
        <f>$D$5</f>
        <v>FTE SEP 23</v>
      </c>
      <c r="E405" s="201">
        <f>'4100'!I$142</f>
        <v>242125.08</v>
      </c>
      <c r="F405" s="328"/>
      <c r="G405" s="201">
        <f>SUBTOTAL(109,E405:F413)</f>
        <v>242125.08</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hidden="1" customHeight="1" x14ac:dyDescent="0.2">
      <c r="A407" s="199"/>
      <c r="B407" s="200"/>
      <c r="C407" s="220"/>
      <c r="D407" s="374" t="s">
        <v>339</v>
      </c>
      <c r="E407" s="201"/>
      <c r="F407" s="328"/>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6" t="str">
        <f>$D$5</f>
        <v>FTE SEP 23</v>
      </c>
      <c r="E414" s="198">
        <f>'4102'!I$142</f>
        <v>113692</v>
      </c>
      <c r="F414" s="329"/>
      <c r="G414" s="198">
        <f>SUBTOTAL(109,E414:F421)</f>
        <v>113692</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338</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SEP 23</v>
      </c>
      <c r="E422" s="201">
        <f>'4103'!I$142</f>
        <v>665322.06000000006</v>
      </c>
      <c r="F422" s="328"/>
      <c r="G422" s="201">
        <f>SUBTOTAL(109,E422:F431)</f>
        <v>665322.06000000006</v>
      </c>
      <c r="H422" s="298"/>
    </row>
    <row r="423" spans="1:9" s="261" customFormat="1" ht="12.75" hidden="1" customHeight="1" x14ac:dyDescent="0.2">
      <c r="A423" s="199"/>
      <c r="B423" s="200"/>
      <c r="C423" s="220"/>
      <c r="D423" s="233" t="s">
        <v>280</v>
      </c>
      <c r="E423" s="201"/>
      <c r="F423" s="328"/>
      <c r="G423" s="201"/>
      <c r="H423" s="298"/>
    </row>
    <row r="424" spans="1:9" s="261" customFormat="1" ht="12.75" hidden="1" customHeight="1" x14ac:dyDescent="0.2">
      <c r="A424" s="199"/>
      <c r="B424" s="200"/>
      <c r="C424" s="220"/>
      <c r="D424" s="374" t="s">
        <v>339</v>
      </c>
      <c r="E424" s="201"/>
      <c r="F424" s="328"/>
      <c r="G424" s="201"/>
      <c r="H424" s="298"/>
    </row>
    <row r="425" spans="1:9" s="261" customFormat="1" ht="12.75" hidden="1" customHeight="1" x14ac:dyDescent="0.2">
      <c r="A425" s="199"/>
      <c r="B425" s="200"/>
      <c r="C425" s="220"/>
      <c r="D425" s="374" t="s">
        <v>338</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6" t="str">
        <f>$D$5</f>
        <v>FTE SEP 23</v>
      </c>
      <c r="E432" s="198">
        <f>'4111'!I$142</f>
        <v>200600.78</v>
      </c>
      <c r="F432" s="329"/>
      <c r="G432" s="198">
        <f>SUBTOTAL(109,E432:F440)</f>
        <v>200600.78</v>
      </c>
      <c r="H432" s="298"/>
    </row>
    <row r="433" spans="1:9" s="261" customFormat="1" ht="12.75" hidden="1" customHeight="1" x14ac:dyDescent="0.2">
      <c r="A433" s="195"/>
      <c r="B433" s="264"/>
      <c r="C433" s="266"/>
      <c r="D433" s="232" t="s">
        <v>280</v>
      </c>
      <c r="E433" s="198"/>
      <c r="F433" s="329"/>
      <c r="G433" s="198"/>
      <c r="H433" s="298"/>
    </row>
    <row r="434" spans="1:9" s="261" customFormat="1" ht="12.75" hidden="1" customHeight="1" x14ac:dyDescent="0.2">
      <c r="A434" s="195"/>
      <c r="B434" s="196"/>
      <c r="C434" s="219"/>
      <c r="D434" s="342" t="s">
        <v>339</v>
      </c>
      <c r="E434" s="198"/>
      <c r="F434" s="329"/>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2.75" hidden="1" customHeight="1" x14ac:dyDescent="0.2">
      <c r="A440" s="195"/>
      <c r="B440" s="196"/>
      <c r="C440" s="219"/>
      <c r="D440" s="278" t="s">
        <v>320</v>
      </c>
      <c r="E440" s="198"/>
      <c r="F440" s="329"/>
      <c r="G440" s="198"/>
      <c r="H440" s="298"/>
    </row>
    <row r="441" spans="1:9" s="261" customFormat="1" ht="12.75" customHeight="1" x14ac:dyDescent="0.2">
      <c r="A441" s="199">
        <f>1+A432</f>
        <v>47</v>
      </c>
      <c r="B441" s="381">
        <v>4131</v>
      </c>
      <c r="C441" s="382" t="s">
        <v>354</v>
      </c>
      <c r="D441" s="279" t="str">
        <f>$D$5</f>
        <v>FTE SEP 23</v>
      </c>
      <c r="E441" s="201">
        <f>'4131'!I$142</f>
        <v>24354.32</v>
      </c>
      <c r="F441" s="328"/>
      <c r="G441" s="201">
        <f>SUBTOTAL(109,E441:F449)</f>
        <v>24354.32</v>
      </c>
      <c r="H441" s="298"/>
    </row>
    <row r="442" spans="1:9" s="261" customFormat="1" ht="12.75" hidden="1" customHeight="1" x14ac:dyDescent="0.2">
      <c r="A442" s="199"/>
      <c r="B442" s="381"/>
      <c r="C442" s="382"/>
      <c r="D442" s="233" t="s">
        <v>280</v>
      </c>
      <c r="E442" s="201"/>
      <c r="F442" s="328"/>
      <c r="G442" s="201"/>
      <c r="H442" s="298"/>
    </row>
    <row r="443" spans="1:9" s="261" customFormat="1" ht="12.75" hidden="1" customHeight="1" x14ac:dyDescent="0.2">
      <c r="A443" s="199"/>
      <c r="B443" s="200"/>
      <c r="C443" s="220"/>
      <c r="D443" s="374" t="s">
        <v>339</v>
      </c>
      <c r="E443" s="201"/>
      <c r="F443" s="328"/>
      <c r="G443" s="201"/>
      <c r="H443" s="298"/>
    </row>
    <row r="444" spans="1:9" s="261" customFormat="1" ht="12.75" hidden="1" customHeight="1" x14ac:dyDescent="0.2">
      <c r="A444" s="199"/>
      <c r="B444" s="381"/>
      <c r="C444" s="382"/>
      <c r="D444" s="233" t="s">
        <v>282</v>
      </c>
      <c r="E444" s="201"/>
      <c r="F444" s="328"/>
      <c r="G444" s="201"/>
      <c r="H444" s="298"/>
      <c r="I444" s="196"/>
    </row>
    <row r="445" spans="1:9" s="261" customFormat="1" ht="12.75" hidden="1" customHeight="1" x14ac:dyDescent="0.2">
      <c r="A445" s="199"/>
      <c r="B445" s="381"/>
      <c r="C445" s="382"/>
      <c r="D445" s="233" t="s">
        <v>281</v>
      </c>
      <c r="E445" s="201"/>
      <c r="F445" s="328"/>
      <c r="G445" s="201"/>
      <c r="H445" s="298"/>
    </row>
    <row r="446" spans="1:9" s="261" customFormat="1" ht="12.75" hidden="1" customHeight="1" x14ac:dyDescent="0.2">
      <c r="A446" s="199"/>
      <c r="B446" s="381"/>
      <c r="C446" s="382"/>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16734857.860000003</v>
      </c>
      <c r="F451" s="203">
        <f>SUBTOTAL(109,F5:F450)</f>
        <v>-17890.16</v>
      </c>
      <c r="G451" s="203">
        <f>ROUND(SUM(G5:G450),2)</f>
        <v>16716967.699999999</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16734857.860000003</v>
      </c>
      <c r="F458" s="239"/>
      <c r="G458" s="202">
        <f t="shared" ref="G458:G463" si="0">E458+F458</f>
        <v>16734857.860000003</v>
      </c>
      <c r="H458" s="298"/>
      <c r="I458" s="320"/>
    </row>
    <row r="459" spans="1:9" s="261" customFormat="1" ht="12.75" hidden="1" customHeight="1" x14ac:dyDescent="0.2">
      <c r="A459" s="188"/>
      <c r="B459" s="188"/>
      <c r="C459" s="188"/>
      <c r="D459" s="197" t="s">
        <v>280</v>
      </c>
      <c r="E459" s="188"/>
      <c r="F459" s="260">
        <f t="shared" ref="F459:F477" si="1">SUM(SUMIF(D$5:D$450,D459,F$5:F$450))</f>
        <v>0</v>
      </c>
      <c r="G459" s="202">
        <f t="shared" si="0"/>
        <v>0</v>
      </c>
      <c r="H459" s="298"/>
      <c r="I459" s="318"/>
    </row>
    <row r="460" spans="1:9" ht="12.75" hidden="1" customHeight="1" x14ac:dyDescent="0.2">
      <c r="D460" s="378" t="s">
        <v>351</v>
      </c>
      <c r="F460" s="260">
        <f t="shared" si="1"/>
        <v>0</v>
      </c>
      <c r="G460" s="202">
        <f t="shared" si="0"/>
        <v>0</v>
      </c>
      <c r="H460" s="299"/>
    </row>
    <row r="461" spans="1:9" ht="12.75" hidden="1" customHeight="1" x14ac:dyDescent="0.2">
      <c r="D461" s="197" t="s">
        <v>340</v>
      </c>
      <c r="F461" s="260">
        <f t="shared" si="1"/>
        <v>0</v>
      </c>
      <c r="G461" s="202">
        <f t="shared" si="0"/>
        <v>0</v>
      </c>
    </row>
    <row r="462" spans="1:9" ht="12.75" hidden="1" customHeight="1" thickTop="1" x14ac:dyDescent="0.2">
      <c r="D462" s="197" t="s">
        <v>341</v>
      </c>
      <c r="F462" s="260">
        <f t="shared" si="1"/>
        <v>0</v>
      </c>
      <c r="G462" s="202">
        <f t="shared" si="0"/>
        <v>0</v>
      </c>
    </row>
    <row r="463" spans="1:9" ht="12.75" hidden="1" customHeight="1" x14ac:dyDescent="0.2">
      <c r="D463" s="373" t="s">
        <v>338</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hidden="1" customHeight="1" x14ac:dyDescent="0.2">
      <c r="D469" s="314" t="s">
        <v>286</v>
      </c>
      <c r="F469" s="260">
        <f t="shared" si="1"/>
        <v>0</v>
      </c>
      <c r="G469" s="202">
        <f t="shared" si="2"/>
        <v>0</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435</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-325</v>
      </c>
      <c r="G478" s="202">
        <f t="shared" si="3"/>
        <v>-325</v>
      </c>
    </row>
    <row r="479" spans="1:10" ht="12.75" customHeight="1" x14ac:dyDescent="0.2">
      <c r="D479" s="197"/>
      <c r="F479" s="331"/>
      <c r="G479" s="202"/>
    </row>
    <row r="480" spans="1:10" ht="12.75" customHeight="1" thickBot="1" x14ac:dyDescent="0.25">
      <c r="D480" s="285" t="s">
        <v>251</v>
      </c>
      <c r="E480" s="203">
        <f>SUM(E458:E479)</f>
        <v>16734857.860000003</v>
      </c>
      <c r="F480" s="203">
        <f>SUM(F458:F479)</f>
        <v>-17890.16</v>
      </c>
      <c r="G480" s="203">
        <f>SUM(G458:G479)</f>
        <v>16716967.700000003</v>
      </c>
    </row>
    <row r="481" spans="1:9" ht="12.75" customHeight="1" thickTop="1" x14ac:dyDescent="0.2">
      <c r="E481" s="202">
        <f>E480-E451</f>
        <v>0</v>
      </c>
      <c r="F481" s="202">
        <f>ROUND(F480-F451,2)</f>
        <v>0</v>
      </c>
      <c r="G481" s="202">
        <f>G480-G451</f>
        <v>0</v>
      </c>
    </row>
    <row r="482" spans="1:9" ht="12.75" customHeight="1" thickBot="1" x14ac:dyDescent="0.25">
      <c r="E482" s="202"/>
      <c r="F482" s="202"/>
      <c r="G482" s="202"/>
    </row>
    <row r="483" spans="1:9" ht="12.75" customHeight="1" thickBot="1" x14ac:dyDescent="0.25">
      <c r="C483" s="505" t="s">
        <v>279</v>
      </c>
      <c r="D483" s="506"/>
      <c r="E483" s="506"/>
      <c r="F483" s="506"/>
      <c r="G483" s="507"/>
    </row>
    <row r="484" spans="1:9" s="261" customFormat="1" ht="12.75" customHeight="1" x14ac:dyDescent="0.2">
      <c r="A484" s="188"/>
      <c r="B484" s="188"/>
      <c r="C484" s="370"/>
      <c r="D484" s="371"/>
      <c r="E484" s="371"/>
      <c r="F484" s="499"/>
      <c r="G484" s="500"/>
      <c r="H484" s="298"/>
      <c r="I484" s="188"/>
    </row>
    <row r="485" spans="1:9" ht="12.75" customHeight="1" x14ac:dyDescent="0.2">
      <c r="C485" s="440" t="s">
        <v>485</v>
      </c>
      <c r="D485" s="371"/>
      <c r="E485" s="371"/>
      <c r="F485" s="499"/>
      <c r="G485" s="501"/>
    </row>
    <row r="486" spans="1:9" ht="12.75" customHeight="1" x14ac:dyDescent="0.2">
      <c r="C486" s="384" t="s">
        <v>475</v>
      </c>
      <c r="D486" s="371"/>
      <c r="E486" s="371"/>
      <c r="F486" s="499"/>
      <c r="G486" s="501"/>
    </row>
    <row r="487" spans="1:9" ht="12.75" customHeight="1" x14ac:dyDescent="0.2">
      <c r="C487" s="440"/>
      <c r="D487" s="371"/>
      <c r="E487" s="371"/>
      <c r="F487" s="499"/>
      <c r="G487" s="501"/>
    </row>
    <row r="488" spans="1:9" ht="12.75" customHeight="1" x14ac:dyDescent="0.2">
      <c r="C488" s="440" t="s">
        <v>476</v>
      </c>
      <c r="D488" s="371"/>
      <c r="E488" s="371"/>
      <c r="F488" s="499"/>
      <c r="G488" s="501"/>
    </row>
    <row r="489" spans="1:9" ht="12.75" customHeight="1" x14ac:dyDescent="0.2">
      <c r="C489" s="384" t="s">
        <v>477</v>
      </c>
      <c r="D489" s="371"/>
      <c r="E489" s="371"/>
      <c r="F489" s="499"/>
      <c r="G489" s="501"/>
      <c r="I489" s="309"/>
    </row>
    <row r="490" spans="1:9" ht="12.75" customHeight="1" x14ac:dyDescent="0.2">
      <c r="C490" s="384" t="s">
        <v>478</v>
      </c>
      <c r="D490" s="371"/>
      <c r="E490" s="371"/>
      <c r="F490" s="499"/>
      <c r="G490" s="501"/>
      <c r="H490" s="309"/>
      <c r="I490" s="261"/>
    </row>
    <row r="491" spans="1:9" ht="12.75" customHeight="1" x14ac:dyDescent="0.2">
      <c r="C491" s="384"/>
      <c r="D491" s="371"/>
      <c r="E491" s="371"/>
      <c r="F491" s="499"/>
      <c r="G491" s="501"/>
      <c r="H491" s="309"/>
      <c r="I491" s="261"/>
    </row>
    <row r="492" spans="1:9" ht="12.75" customHeight="1" x14ac:dyDescent="0.2">
      <c r="C492" s="384"/>
      <c r="D492" s="371"/>
      <c r="E492" s="371"/>
      <c r="F492" s="499"/>
      <c r="G492" s="501"/>
      <c r="H492" s="309"/>
      <c r="I492" s="261"/>
    </row>
    <row r="493" spans="1:9" ht="12.75" customHeight="1" x14ac:dyDescent="0.2">
      <c r="C493" s="384"/>
      <c r="D493" s="371"/>
      <c r="E493" s="371"/>
      <c r="F493" s="499"/>
      <c r="G493" s="501"/>
      <c r="H493" s="309"/>
      <c r="I493" s="261"/>
    </row>
    <row r="494" spans="1:9" ht="12.75" customHeight="1" x14ac:dyDescent="0.2">
      <c r="C494" s="384"/>
      <c r="D494" s="371"/>
      <c r="E494" s="371"/>
      <c r="F494" s="499"/>
      <c r="G494" s="501"/>
      <c r="H494" s="309"/>
      <c r="I494" s="261"/>
    </row>
    <row r="495" spans="1:9" ht="12.75" customHeight="1" x14ac:dyDescent="0.2">
      <c r="C495" s="384"/>
      <c r="D495" s="371"/>
      <c r="E495" s="371"/>
      <c r="F495" s="499"/>
      <c r="G495" s="501"/>
      <c r="H495" s="309"/>
      <c r="I495" s="261"/>
    </row>
    <row r="496" spans="1:9" ht="12.75" customHeight="1" x14ac:dyDescent="0.2">
      <c r="C496" s="384"/>
      <c r="D496" s="371"/>
      <c r="E496" s="371"/>
      <c r="F496" s="499"/>
      <c r="G496" s="501"/>
      <c r="H496" s="309"/>
      <c r="I496" s="261"/>
    </row>
    <row r="497" spans="3:9" ht="12.75" customHeight="1" x14ac:dyDescent="0.2">
      <c r="C497" s="384"/>
      <c r="D497" s="371"/>
      <c r="E497" s="371"/>
      <c r="F497" s="499"/>
      <c r="G497" s="501"/>
      <c r="H497" s="309"/>
      <c r="I497" s="261"/>
    </row>
    <row r="498" spans="3:9" ht="12.75" customHeight="1" x14ac:dyDescent="0.2">
      <c r="C498" s="384"/>
      <c r="D498" s="371"/>
      <c r="E498" s="371"/>
      <c r="F498" s="499"/>
      <c r="G498" s="501"/>
      <c r="H498" s="309"/>
      <c r="I498" s="261"/>
    </row>
    <row r="499" spans="3:9" ht="12.75" customHeight="1" x14ac:dyDescent="0.2">
      <c r="C499" s="384"/>
      <c r="D499" s="371"/>
      <c r="E499" s="371"/>
      <c r="F499" s="499"/>
      <c r="G499" s="501"/>
      <c r="H499" s="309"/>
      <c r="I499" s="261"/>
    </row>
    <row r="500" spans="3:9" ht="12.75" customHeight="1" x14ac:dyDescent="0.2">
      <c r="C500" s="384"/>
      <c r="D500" s="371"/>
      <c r="E500" s="371"/>
      <c r="F500" s="499"/>
      <c r="G500" s="501"/>
      <c r="H500" s="309"/>
      <c r="I500" s="261"/>
    </row>
    <row r="501" spans="3:9" ht="12.75" customHeight="1" x14ac:dyDescent="0.2">
      <c r="C501" s="384"/>
      <c r="D501" s="371"/>
      <c r="E501" s="371"/>
      <c r="F501" s="499"/>
      <c r="G501" s="501"/>
      <c r="H501" s="309"/>
      <c r="I501" s="261"/>
    </row>
    <row r="502" spans="3:9" ht="12.75" customHeight="1" x14ac:dyDescent="0.2">
      <c r="C502" s="384"/>
      <c r="D502" s="371"/>
      <c r="E502" s="371"/>
      <c r="F502" s="499"/>
      <c r="G502" s="501"/>
      <c r="H502" s="309"/>
      <c r="I502" s="261"/>
    </row>
    <row r="503" spans="3:9" ht="12.75" customHeight="1" x14ac:dyDescent="0.2">
      <c r="C503" s="384"/>
      <c r="D503" s="371"/>
      <c r="E503" s="371"/>
      <c r="F503" s="499"/>
      <c r="G503" s="501"/>
      <c r="H503" s="309"/>
      <c r="I503" s="261"/>
    </row>
    <row r="504" spans="3:9" ht="12.75" customHeight="1" x14ac:dyDescent="0.2">
      <c r="C504" s="508" t="s">
        <v>486</v>
      </c>
      <c r="D504" s="509"/>
      <c r="E504" s="509"/>
      <c r="F504" s="509"/>
      <c r="G504" s="510"/>
      <c r="H504" s="309"/>
      <c r="I504" s="261"/>
    </row>
    <row r="505" spans="3:9" ht="12.75" customHeight="1" x14ac:dyDescent="0.2">
      <c r="C505" s="508"/>
      <c r="D505" s="509"/>
      <c r="E505" s="509"/>
      <c r="F505" s="509"/>
      <c r="G505" s="510"/>
      <c r="H505" s="309"/>
      <c r="I505" s="261"/>
    </row>
    <row r="506" spans="3:9" ht="12.75" customHeight="1" x14ac:dyDescent="0.2">
      <c r="C506" s="384"/>
      <c r="D506" s="371"/>
      <c r="E506" s="371"/>
      <c r="F506" s="499"/>
      <c r="G506" s="501"/>
      <c r="H506" s="309"/>
      <c r="I506" s="261"/>
    </row>
    <row r="507" spans="3:9" ht="12.75" customHeight="1" x14ac:dyDescent="0.2">
      <c r="C507" s="384"/>
      <c r="D507" s="371"/>
      <c r="E507" s="371"/>
      <c r="F507" s="499"/>
      <c r="G507" s="501"/>
      <c r="H507" s="309"/>
      <c r="I507" s="261"/>
    </row>
    <row r="508" spans="3:9" ht="12.75" customHeight="1" x14ac:dyDescent="0.2">
      <c r="C508" s="498"/>
      <c r="D508" s="371"/>
      <c r="E508" s="371"/>
      <c r="F508" s="499"/>
      <c r="G508" s="501"/>
      <c r="H508" s="309"/>
      <c r="I508" s="261"/>
    </row>
    <row r="509" spans="3:9" ht="12.75" customHeight="1" thickBot="1" x14ac:dyDescent="0.25">
      <c r="C509" s="383"/>
      <c r="D509" s="372"/>
      <c r="E509" s="372"/>
      <c r="F509" s="372"/>
      <c r="G509" s="502"/>
      <c r="H509" s="309"/>
      <c r="I509" s="261"/>
    </row>
    <row r="510" spans="3:9" ht="12.75" customHeight="1" x14ac:dyDescent="0.2">
      <c r="H510" s="309"/>
      <c r="I510" s="261"/>
    </row>
    <row r="511" spans="3:9" ht="12.75" customHeight="1" x14ac:dyDescent="0.2">
      <c r="H511" s="309"/>
      <c r="I511" s="261"/>
    </row>
    <row r="512" spans="3:9" ht="12.75" customHeight="1" x14ac:dyDescent="0.2">
      <c r="H512" s="309"/>
      <c r="I512" s="261"/>
    </row>
    <row r="513" spans="5:11" ht="12.75" customHeight="1" x14ac:dyDescent="0.2">
      <c r="H513" s="309"/>
      <c r="I513" s="261"/>
    </row>
    <row r="514" spans="5:11" ht="12.75" customHeight="1" x14ac:dyDescent="0.2">
      <c r="H514" s="309"/>
      <c r="I514" s="261"/>
    </row>
    <row r="515" spans="5:11" ht="12.75" customHeight="1" x14ac:dyDescent="0.2">
      <c r="H515" s="309"/>
      <c r="I515" s="261"/>
    </row>
    <row r="516" spans="5:11" ht="12.75" customHeight="1" x14ac:dyDescent="0.2">
      <c r="H516" s="309"/>
      <c r="I516" s="261"/>
    </row>
    <row r="517" spans="5:11" ht="12.75" customHeight="1" x14ac:dyDescent="0.2">
      <c r="H517" s="309"/>
      <c r="I517" s="261"/>
    </row>
    <row r="518" spans="5:11" ht="12.75" customHeight="1" x14ac:dyDescent="0.2">
      <c r="H518" s="309"/>
      <c r="I518" s="261"/>
    </row>
    <row r="519" spans="5:11" ht="12.75" customHeight="1" x14ac:dyDescent="0.2">
      <c r="H519" s="252"/>
    </row>
    <row r="520" spans="5:11" ht="12.75" customHeight="1" x14ac:dyDescent="0.2">
      <c r="E520" s="297"/>
      <c r="F520" s="188"/>
    </row>
    <row r="521" spans="5:11" ht="12.75" customHeight="1" x14ac:dyDescent="0.2">
      <c r="E521" s="297"/>
      <c r="F521" s="188"/>
    </row>
    <row r="523" spans="5:11" ht="12.75" customHeight="1" x14ac:dyDescent="0.2">
      <c r="K523" s="297"/>
    </row>
    <row r="524" spans="5:11" ht="12.75" customHeight="1" x14ac:dyDescent="0.2">
      <c r="K524" s="297"/>
    </row>
    <row r="530" spans="8:8" ht="12.75" customHeight="1" x14ac:dyDescent="0.2">
      <c r="H530" s="188"/>
    </row>
    <row r="531" spans="8:8" ht="12.75" customHeight="1" x14ac:dyDescent="0.2">
      <c r="H531" s="188"/>
    </row>
  </sheetData>
  <mergeCells count="3">
    <mergeCell ref="F3:G3"/>
    <mergeCell ref="C483:G483"/>
    <mergeCell ref="C504:G50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3">
    <cfRule type="cellIs" dxfId="5" priority="301" stopIfTrue="1" operator="notEqual">
      <formula>0</formula>
    </cfRule>
    <cfRule type="cellIs" dxfId="4" priority="302" stopIfTrue="1" operator="equal">
      <formula>0</formula>
    </cfRule>
  </conditionalFormatting>
  <conditionalFormatting sqref="H485:H487">
    <cfRule type="cellIs" dxfId="3" priority="299" stopIfTrue="1" operator="notEqual">
      <formula>0</formula>
    </cfRule>
    <cfRule type="cellIs" dxfId="2" priority="300" stopIfTrue="1" operator="equal">
      <formula>0</formula>
    </cfRule>
  </conditionalFormatting>
  <pageMargins left="1" right="0.1" top="0.5" bottom="0.5" header="0" footer="0.1"/>
  <pageSetup scale="85" fitToHeight="3" orientation="portrait"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CCCC"/>
  </sheetPr>
  <dimension ref="A1:V218"/>
  <sheetViews>
    <sheetView showGridLines="0" zoomScaleNormal="100" workbookViewId="0">
      <pane ySplit="1" topLeftCell="A106"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114</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91.99</v>
      </c>
      <c r="D14" s="143">
        <v>88.09</v>
      </c>
      <c r="E14" s="187">
        <f>IF(D$30=0,C14*2,C14+D14)</f>
        <v>180.07999999999998</v>
      </c>
      <c r="F14" s="561">
        <f>'1461'!F14:G14</f>
        <v>1.1220000000000001</v>
      </c>
      <c r="G14" s="561"/>
      <c r="H14" s="145">
        <f>ROUND(E14*F14,4)</f>
        <v>202.0498</v>
      </c>
      <c r="I14" s="111">
        <f>ROUND(ROUND(ROUND(H14*$C$8,4)*($H$8),2)*(MAX($H$9,1)),2)</f>
        <v>1084382.3</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15.48</v>
      </c>
      <c r="D15" s="143">
        <v>15.01</v>
      </c>
      <c r="E15" s="116">
        <f t="shared" ref="E15:E29" si="1">IF(D$30=0,C15*2,C15+D15)</f>
        <v>30.490000000000002</v>
      </c>
      <c r="F15" s="558">
        <f>'1461'!F15:G15</f>
        <v>1.1220000000000001</v>
      </c>
      <c r="G15" s="558"/>
      <c r="H15" s="80">
        <f t="shared" ref="H15:H29" si="2">ROUND(E15*F15,4)</f>
        <v>34.209800000000001</v>
      </c>
      <c r="I15" s="101">
        <f t="shared" ref="I15:I29" si="3">ROUND(ROUND(ROUND(H15*$C$8,4)*($H$8),2)*(MAX($H$9,1)),2)</f>
        <v>183600.78</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141.65</v>
      </c>
      <c r="D16" s="143">
        <v>138.54</v>
      </c>
      <c r="E16" s="116">
        <f t="shared" si="1"/>
        <v>280.19</v>
      </c>
      <c r="F16" s="558">
        <f>'1461'!F16:G16</f>
        <v>1</v>
      </c>
      <c r="G16" s="558"/>
      <c r="H16" s="80">
        <f t="shared" si="2"/>
        <v>280.19</v>
      </c>
      <c r="I16" s="101">
        <f t="shared" si="3"/>
        <v>1503753.41</v>
      </c>
      <c r="N16" s="571" t="s">
        <v>22</v>
      </c>
      <c r="O16" s="571"/>
      <c r="P16" s="572">
        <f t="shared" si="0"/>
        <v>0</v>
      </c>
      <c r="Q16" s="572"/>
      <c r="R16" s="573">
        <v>1</v>
      </c>
      <c r="S16" s="573"/>
      <c r="T16" s="95">
        <f t="shared" si="4"/>
        <v>0</v>
      </c>
      <c r="U16" s="475">
        <f t="shared" si="5"/>
        <v>0</v>
      </c>
    </row>
    <row r="17" spans="1:21" x14ac:dyDescent="0.25">
      <c r="A17" s="520" t="s">
        <v>23</v>
      </c>
      <c r="B17" s="520"/>
      <c r="C17" s="143">
        <v>35.119999999999997</v>
      </c>
      <c r="D17" s="143">
        <v>33.909999999999997</v>
      </c>
      <c r="E17" s="116">
        <f t="shared" si="1"/>
        <v>69.03</v>
      </c>
      <c r="F17" s="558">
        <f>'1461'!F17:G17</f>
        <v>1</v>
      </c>
      <c r="G17" s="558"/>
      <c r="H17" s="80">
        <f t="shared" si="2"/>
        <v>69.03</v>
      </c>
      <c r="I17" s="101">
        <f t="shared" si="3"/>
        <v>370477.53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6.99</v>
      </c>
      <c r="D26" s="143">
        <v>7.01</v>
      </c>
      <c r="E26" s="116">
        <f t="shared" si="1"/>
        <v>14</v>
      </c>
      <c r="F26" s="558">
        <f>'1461'!F26:G26</f>
        <v>1.208</v>
      </c>
      <c r="G26" s="558"/>
      <c r="H26" s="80">
        <f t="shared" si="2"/>
        <v>16.911999999999999</v>
      </c>
      <c r="I26" s="101">
        <f t="shared" si="3"/>
        <v>90765.119999999995</v>
      </c>
      <c r="N26" s="571" t="s">
        <v>85</v>
      </c>
      <c r="O26" s="571"/>
      <c r="P26" s="572">
        <f t="shared" si="0"/>
        <v>0</v>
      </c>
      <c r="Q26" s="572"/>
      <c r="R26" s="573">
        <v>1</v>
      </c>
      <c r="S26" s="573"/>
      <c r="T26" s="95">
        <f t="shared" si="4"/>
        <v>0</v>
      </c>
      <c r="U26" s="475">
        <f t="shared" si="5"/>
        <v>0</v>
      </c>
    </row>
    <row r="27" spans="1:21" x14ac:dyDescent="0.25">
      <c r="A27" s="520" t="s">
        <v>86</v>
      </c>
      <c r="B27" s="520"/>
      <c r="C27" s="143">
        <v>0.77</v>
      </c>
      <c r="D27" s="143">
        <v>0.84</v>
      </c>
      <c r="E27" s="116">
        <f t="shared" si="1"/>
        <v>1.6099999999999999</v>
      </c>
      <c r="F27" s="558">
        <f>'1461'!F27:G27</f>
        <v>1.208</v>
      </c>
      <c r="G27" s="558"/>
      <c r="H27" s="80">
        <f t="shared" si="2"/>
        <v>1.9449000000000001</v>
      </c>
      <c r="I27" s="101">
        <f t="shared" si="3"/>
        <v>10438.1</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292</v>
      </c>
      <c r="D30" s="94">
        <f>SUM(D14:D29)</f>
        <v>283.39999999999992</v>
      </c>
      <c r="E30" s="94">
        <f>SUM(E14:E29)</f>
        <v>575.4</v>
      </c>
      <c r="F30" s="539"/>
      <c r="G30" s="539"/>
      <c r="H30" s="99">
        <f>SUM(H14:H29)</f>
        <v>604.3365</v>
      </c>
      <c r="I30" s="94">
        <f>SUM(I14:I29)</f>
        <v>3243417.2400000007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604.3365</v>
      </c>
      <c r="F46" s="34"/>
      <c r="G46" s="106"/>
      <c r="H46" s="107" t="s">
        <v>98</v>
      </c>
      <c r="I46" s="94">
        <f>SUM(I44,I30)</f>
        <v>3243417.2400000007</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3243417.2400000007</v>
      </c>
      <c r="G51" s="109" t="s">
        <v>6</v>
      </c>
      <c r="H51" s="403">
        <v>4.5199999999999997E-2</v>
      </c>
      <c r="I51" s="101">
        <f>ROUND(F51*H51,2)</f>
        <v>146602.46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3243417.2400000007</v>
      </c>
      <c r="G52" s="109" t="s">
        <v>6</v>
      </c>
      <c r="H52" s="403">
        <v>1.41E-2</v>
      </c>
      <c r="I52" s="101">
        <f>ROUND(F52*H52,2)</f>
        <v>45732.18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192334.63999999998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12.38</v>
      </c>
      <c r="D57" s="143">
        <v>12.09</v>
      </c>
      <c r="E57" s="116">
        <f t="shared" ref="E57:E65" si="10">IF(D$72=0,C57*2,C57+D57)</f>
        <v>24.47</v>
      </c>
      <c r="F57" s="445" t="s">
        <v>439</v>
      </c>
      <c r="G57" s="445">
        <v>251</v>
      </c>
      <c r="H57" s="459">
        <f>'1461'!H57</f>
        <v>1047</v>
      </c>
      <c r="I57" s="101">
        <f>ROUND(E57*H57,2)</f>
        <v>25620.09</v>
      </c>
      <c r="N57" s="621" t="s">
        <v>447</v>
      </c>
      <c r="O57" s="621"/>
      <c r="P57" s="624"/>
      <c r="Q57" s="624"/>
      <c r="R57" s="451" t="s">
        <v>439</v>
      </c>
      <c r="S57" s="451">
        <v>251</v>
      </c>
      <c r="T57" s="462">
        <f>H57</f>
        <v>1047</v>
      </c>
      <c r="U57" s="476">
        <f>ROUND(P57*T57,2)</f>
        <v>0</v>
      </c>
      <c r="V57" s="426"/>
    </row>
    <row r="58" spans="1:22" x14ac:dyDescent="0.25">
      <c r="A58" s="536"/>
      <c r="B58" s="536"/>
      <c r="C58" s="143">
        <v>3.1</v>
      </c>
      <c r="D58" s="143">
        <v>2.92</v>
      </c>
      <c r="E58" s="116">
        <f t="shared" si="10"/>
        <v>6.02</v>
      </c>
      <c r="F58" s="445" t="s">
        <v>439</v>
      </c>
      <c r="G58" s="445">
        <v>252</v>
      </c>
      <c r="H58" s="459">
        <f>'1461'!H58</f>
        <v>3380</v>
      </c>
      <c r="I58" s="101">
        <f t="shared" ref="I58:I65" si="11">ROUND(E58*H58,2)</f>
        <v>20347.599999999999</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31.61</v>
      </c>
      <c r="D60" s="143">
        <v>30.5</v>
      </c>
      <c r="E60" s="116">
        <f t="shared" si="10"/>
        <v>62.11</v>
      </c>
      <c r="F60" s="446" t="s">
        <v>13</v>
      </c>
      <c r="G60" s="445">
        <v>251</v>
      </c>
      <c r="H60" s="459">
        <f>'1461'!H60</f>
        <v>1173</v>
      </c>
      <c r="I60" s="101">
        <f t="shared" si="11"/>
        <v>72855.03</v>
      </c>
      <c r="N60" s="622"/>
      <c r="O60" s="622"/>
      <c r="P60" s="625"/>
      <c r="Q60" s="625"/>
      <c r="R60" s="40" t="s">
        <v>13</v>
      </c>
      <c r="S60" s="451">
        <v>251</v>
      </c>
      <c r="T60" s="462">
        <f t="shared" si="12"/>
        <v>1173</v>
      </c>
      <c r="U60" s="476">
        <f t="shared" si="13"/>
        <v>0</v>
      </c>
      <c r="V60" s="426"/>
    </row>
    <row r="61" spans="1:22" x14ac:dyDescent="0.25">
      <c r="A61" s="536"/>
      <c r="B61" s="536"/>
      <c r="C61" s="143">
        <v>3.51</v>
      </c>
      <c r="D61" s="143">
        <v>3.41</v>
      </c>
      <c r="E61" s="116">
        <f t="shared" si="10"/>
        <v>6.92</v>
      </c>
      <c r="F61" s="446" t="s">
        <v>13</v>
      </c>
      <c r="G61" s="445">
        <v>252</v>
      </c>
      <c r="H61" s="459">
        <f>'1461'!H61</f>
        <v>3506</v>
      </c>
      <c r="I61" s="101">
        <f t="shared" si="11"/>
        <v>24261.52</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50.6</v>
      </c>
      <c r="D66" s="97">
        <f>SUM(D57:D65)</f>
        <v>48.92</v>
      </c>
      <c r="E66" s="97">
        <f>SUM(E57:E65)</f>
        <v>99.52</v>
      </c>
      <c r="F66" s="523" t="s">
        <v>448</v>
      </c>
      <c r="G66" s="523"/>
      <c r="H66" s="523"/>
      <c r="I66" s="97">
        <f>SUM(I57:I65)</f>
        <v>143084.24</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575.4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2.8300000000000001E-3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604.3365</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2.6559999999999999E-3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575.4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3.0790000000000001E-3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575.4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2.833E-3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575.4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3.0820000000000001E-3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2.833E-3</v>
      </c>
      <c r="I85" s="101">
        <f>ROUND(F85*H85,2)</f>
        <v>126537.46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2.8300000000000001E-3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3.0820000000000001E-3</v>
      </c>
      <c r="I90" s="101">
        <f>ROUND(F90*H90,2)</f>
        <v>49826.85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3.0790000000000001E-3</v>
      </c>
      <c r="I92" s="101">
        <f t="shared" ref="I92:I96" si="14">ROUND(F92*H92,2)</f>
        <v>30913.46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2.6559999999999999E-3</v>
      </c>
      <c r="I94" s="101">
        <f t="shared" si="14"/>
        <v>634777.81999999995</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2.6559999999999999E-3</v>
      </c>
      <c r="I96" s="101">
        <f t="shared" si="14"/>
        <v>-4249.72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253.17160000000001</v>
      </c>
      <c r="D101" s="518"/>
      <c r="E101" s="46">
        <f>H8</f>
        <v>1.0442</v>
      </c>
      <c r="F101" s="304">
        <f>'1461'!F101</f>
        <v>947.59</v>
      </c>
      <c r="G101" s="39" t="s">
        <v>12</v>
      </c>
      <c r="H101" s="101">
        <f>ROUND(C101*E101*F101,2)</f>
        <v>250506.58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351.16490000000005</v>
      </c>
      <c r="D102" s="518"/>
      <c r="E102" s="46">
        <f>H8</f>
        <v>1.0442</v>
      </c>
      <c r="F102" s="304">
        <f>'1461'!F102</f>
        <v>904.74</v>
      </c>
      <c r="G102" s="39" t="s">
        <v>12</v>
      </c>
      <c r="H102" s="101">
        <f>ROUND(C102*E102*F102,2)</f>
        <v>331755.84000000003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604.33650000000011</v>
      </c>
      <c r="D104" s="531"/>
      <c r="E104" s="123"/>
      <c r="F104" s="123"/>
      <c r="G104" s="123"/>
      <c r="H104" s="124" t="s">
        <v>100</v>
      </c>
      <c r="I104" s="101">
        <f>IF(A1=75,0,H103+H102+H101)</f>
        <v>582262.42000000004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1</v>
      </c>
      <c r="E110" s="116">
        <f>(C110+D110)/2</f>
        <v>0.5</v>
      </c>
      <c r="F110" s="126" t="s">
        <v>30</v>
      </c>
      <c r="G110" s="305">
        <f>'1461'!G110</f>
        <v>565</v>
      </c>
      <c r="I110" s="101">
        <f>ROUND(G110*E110,2)</f>
        <v>282.5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4806852.2700000005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4614517.6300000008</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4614517.6300000008</v>
      </c>
      <c r="I132" s="94">
        <f>ROUND(IF(E30=0,0,IF(E30&gt;250,-(((250/E30)*H132)*IF(G132="H",0.02,0.05)),IF(G132="H",-0.02*H132,-0.05*H132))),2)</f>
        <v>-40098.35</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4766753.9200000009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-812140.91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3954613.0100000007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395461.3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52192.002600000014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0.25</v>
      </c>
      <c r="D14" s="143">
        <v>0</v>
      </c>
      <c r="E14" s="187">
        <f>IF(D$30=0,C14*2,C14+D14)</f>
        <v>0.25</v>
      </c>
      <c r="F14" s="561">
        <f>'1461'!F14:G14</f>
        <v>1.1220000000000001</v>
      </c>
      <c r="G14" s="561"/>
      <c r="H14" s="145">
        <f>ROUND(E14*F14,4)</f>
        <v>0.28050000000000003</v>
      </c>
      <c r="I14" s="111">
        <f>ROUND(ROUND(ROUND(H14*$C$8,4)*($H$8),2)*(MAX($H$9,1)),2)</f>
        <v>1505.42</v>
      </c>
      <c r="N14" s="577" t="s">
        <v>20</v>
      </c>
      <c r="O14" s="577"/>
      <c r="P14" s="572">
        <f t="shared" ref="P14:P29" si="0">IF($H$130=1,E14,0)</f>
        <v>0.25</v>
      </c>
      <c r="Q14" s="572"/>
      <c r="R14" s="578">
        <v>1</v>
      </c>
      <c r="S14" s="578"/>
      <c r="T14" s="95">
        <f>ROUND(P14*R14,4)</f>
        <v>0.25</v>
      </c>
      <c r="U14" s="475">
        <f>ROUND(ROUND(ROUND(T14*$C$8,4)*($H$8),2)*(MAX($H$9,1)),2)</f>
        <v>1341.73</v>
      </c>
    </row>
    <row r="15" spans="1:21" x14ac:dyDescent="0.25">
      <c r="A15" s="520" t="s">
        <v>21</v>
      </c>
      <c r="B15" s="520"/>
      <c r="C15" s="143">
        <v>4.75</v>
      </c>
      <c r="D15" s="143">
        <v>6</v>
      </c>
      <c r="E15" s="116">
        <f t="shared" ref="E15:E29" si="1">IF(D$30=0,C15*2,C15+D15)</f>
        <v>10.75</v>
      </c>
      <c r="F15" s="558">
        <f>'1461'!F15:G15</f>
        <v>1.1220000000000001</v>
      </c>
      <c r="G15" s="558"/>
      <c r="H15" s="80">
        <f t="shared" ref="H15:H29" si="2">ROUND(E15*F15,4)</f>
        <v>12.061500000000001</v>
      </c>
      <c r="I15" s="101">
        <f t="shared" ref="I15:I29" si="3">ROUND(ROUND(ROUND(H15*$C$8,4)*($H$8),2)*(MAX($H$9,1)),2)</f>
        <v>64732.94</v>
      </c>
      <c r="J15" s="65" t="str">
        <f>IF(ROUND(E15,2)=ROUND(SUM(E57:E59),2)," ","CHECK PK-3 LINES BELOW")</f>
        <v xml:space="preserve"> </v>
      </c>
      <c r="N15" s="571" t="s">
        <v>21</v>
      </c>
      <c r="O15" s="571"/>
      <c r="P15" s="572">
        <f t="shared" si="0"/>
        <v>10.75</v>
      </c>
      <c r="Q15" s="572"/>
      <c r="R15" s="573">
        <v>1</v>
      </c>
      <c r="S15" s="573"/>
      <c r="T15" s="95">
        <f t="shared" ref="T15:T29" si="4">ROUND(P15*R15,4)</f>
        <v>10.75</v>
      </c>
      <c r="U15" s="475">
        <f t="shared" ref="U15:U29" si="5">ROUND(ROUND(ROUND(T15*$C$8,4)*($H$8),2)*(MAX($H$9,1)),2)</f>
        <v>57694.239999999998</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11</v>
      </c>
      <c r="D17" s="143">
        <v>10.5</v>
      </c>
      <c r="E17" s="116">
        <f t="shared" si="1"/>
        <v>21.5</v>
      </c>
      <c r="F17" s="558">
        <f>'1461'!F17:G17</f>
        <v>1</v>
      </c>
      <c r="G17" s="558"/>
      <c r="H17" s="80">
        <f t="shared" si="2"/>
        <v>21.5</v>
      </c>
      <c r="I17" s="101">
        <f t="shared" si="3"/>
        <v>115388.48</v>
      </c>
      <c r="J17" s="65" t="str">
        <f>IF(ROUND(E17,2)=ROUND(SUM(E60:E62),2)," ","CHECK 4-8 LINES BELOW")</f>
        <v xml:space="preserve"> </v>
      </c>
      <c r="N17" s="571" t="s">
        <v>23</v>
      </c>
      <c r="O17" s="571"/>
      <c r="P17" s="572">
        <f t="shared" si="0"/>
        <v>21.5</v>
      </c>
      <c r="Q17" s="572"/>
      <c r="R17" s="573">
        <v>1</v>
      </c>
      <c r="S17" s="573"/>
      <c r="T17" s="95">
        <f t="shared" si="4"/>
        <v>21.5</v>
      </c>
      <c r="U17" s="475">
        <f t="shared" si="5"/>
        <v>115388.48</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21.84</v>
      </c>
      <c r="D19" s="143">
        <v>24.98</v>
      </c>
      <c r="E19" s="116">
        <f t="shared" si="1"/>
        <v>46.82</v>
      </c>
      <c r="F19" s="558">
        <f>'1461'!F19:G19</f>
        <v>0.98799999999999999</v>
      </c>
      <c r="G19" s="558"/>
      <c r="H19" s="80">
        <f t="shared" si="2"/>
        <v>46.258200000000002</v>
      </c>
      <c r="I19" s="101">
        <f t="shared" si="3"/>
        <v>248263.41</v>
      </c>
      <c r="J19" s="65" t="str">
        <f>IF(ROUND(E19,2)=ROUND(SUM(E63:E65),2)," ","CHECK 4-8 LINES BELOW")</f>
        <v xml:space="preserve"> </v>
      </c>
      <c r="N19" s="571" t="s">
        <v>25</v>
      </c>
      <c r="O19" s="571"/>
      <c r="P19" s="572">
        <f t="shared" si="0"/>
        <v>46.82</v>
      </c>
      <c r="Q19" s="572"/>
      <c r="R19" s="573">
        <v>1</v>
      </c>
      <c r="S19" s="573"/>
      <c r="T19" s="95">
        <f t="shared" si="4"/>
        <v>46.82</v>
      </c>
      <c r="U19" s="474">
        <f t="shared" si="5"/>
        <v>251278.54</v>
      </c>
    </row>
    <row r="20" spans="1:21" x14ac:dyDescent="0.25">
      <c r="A20" s="520" t="s">
        <v>79</v>
      </c>
      <c r="B20" s="520"/>
      <c r="C20" s="143">
        <v>51.5</v>
      </c>
      <c r="D20" s="143">
        <v>53</v>
      </c>
      <c r="E20" s="116">
        <f t="shared" si="1"/>
        <v>104.5</v>
      </c>
      <c r="F20" s="558">
        <f>'1461'!F20:G20</f>
        <v>3.706</v>
      </c>
      <c r="G20" s="558"/>
      <c r="H20" s="80">
        <f t="shared" si="2"/>
        <v>387.27699999999999</v>
      </c>
      <c r="I20" s="101">
        <f t="shared" si="3"/>
        <v>2078479.28</v>
      </c>
      <c r="N20" s="571" t="s">
        <v>79</v>
      </c>
      <c r="O20" s="571"/>
      <c r="P20" s="572">
        <f t="shared" si="0"/>
        <v>104.5</v>
      </c>
      <c r="Q20" s="572"/>
      <c r="R20" s="573">
        <v>1</v>
      </c>
      <c r="S20" s="573"/>
      <c r="T20" s="95">
        <f t="shared" si="4"/>
        <v>104.5</v>
      </c>
      <c r="U20" s="475">
        <f t="shared" si="5"/>
        <v>560841.68000000005</v>
      </c>
    </row>
    <row r="21" spans="1:21" x14ac:dyDescent="0.25">
      <c r="A21" s="520" t="s">
        <v>80</v>
      </c>
      <c r="B21" s="520"/>
      <c r="C21" s="143">
        <v>31.5</v>
      </c>
      <c r="D21" s="143">
        <v>32</v>
      </c>
      <c r="E21" s="116">
        <f t="shared" si="1"/>
        <v>63.5</v>
      </c>
      <c r="F21" s="558">
        <f>'1461'!F21:G21</f>
        <v>3.706</v>
      </c>
      <c r="G21" s="558"/>
      <c r="H21" s="80">
        <f t="shared" si="2"/>
        <v>235.33099999999999</v>
      </c>
      <c r="I21" s="101">
        <f t="shared" si="3"/>
        <v>1262999.3700000001</v>
      </c>
      <c r="N21" s="571" t="s">
        <v>80</v>
      </c>
      <c r="O21" s="571"/>
      <c r="P21" s="572">
        <f t="shared" si="0"/>
        <v>63.5</v>
      </c>
      <c r="Q21" s="572"/>
      <c r="R21" s="573">
        <v>1</v>
      </c>
      <c r="S21" s="573"/>
      <c r="T21" s="95">
        <f t="shared" si="4"/>
        <v>63.5</v>
      </c>
      <c r="U21" s="475">
        <f t="shared" si="5"/>
        <v>340798.54</v>
      </c>
    </row>
    <row r="22" spans="1:21" x14ac:dyDescent="0.25">
      <c r="A22" s="520" t="s">
        <v>81</v>
      </c>
      <c r="B22" s="520"/>
      <c r="C22" s="143">
        <v>30.5</v>
      </c>
      <c r="D22" s="143">
        <v>30.46</v>
      </c>
      <c r="E22" s="116">
        <f t="shared" si="1"/>
        <v>60.96</v>
      </c>
      <c r="F22" s="558">
        <f>'1461'!F22:G22</f>
        <v>3.706</v>
      </c>
      <c r="G22" s="558"/>
      <c r="H22" s="80">
        <f t="shared" si="2"/>
        <v>225.9178</v>
      </c>
      <c r="I22" s="101">
        <f t="shared" si="3"/>
        <v>1212479.6100000001</v>
      </c>
      <c r="N22" s="571" t="s">
        <v>81</v>
      </c>
      <c r="O22" s="571"/>
      <c r="P22" s="572">
        <f t="shared" si="0"/>
        <v>60.96</v>
      </c>
      <c r="Q22" s="572"/>
      <c r="R22" s="573">
        <v>1</v>
      </c>
      <c r="S22" s="573"/>
      <c r="T22" s="95">
        <f t="shared" si="4"/>
        <v>60.96</v>
      </c>
      <c r="U22" s="475">
        <f t="shared" si="5"/>
        <v>327166.59000000003</v>
      </c>
    </row>
    <row r="23" spans="1:21" x14ac:dyDescent="0.25">
      <c r="A23" s="520" t="s">
        <v>82</v>
      </c>
      <c r="B23" s="520"/>
      <c r="C23" s="143">
        <v>6</v>
      </c>
      <c r="D23" s="143">
        <v>5</v>
      </c>
      <c r="E23" s="116">
        <f t="shared" si="1"/>
        <v>11</v>
      </c>
      <c r="F23" s="558">
        <f>'1461'!F23:G23</f>
        <v>5.7069999999999999</v>
      </c>
      <c r="G23" s="558"/>
      <c r="H23" s="80">
        <f t="shared" si="2"/>
        <v>62.777000000000001</v>
      </c>
      <c r="I23" s="101">
        <f t="shared" si="3"/>
        <v>336918.26</v>
      </c>
      <c r="N23" s="571" t="s">
        <v>82</v>
      </c>
      <c r="O23" s="571"/>
      <c r="P23" s="572">
        <f t="shared" si="0"/>
        <v>11</v>
      </c>
      <c r="Q23" s="572"/>
      <c r="R23" s="573">
        <v>1</v>
      </c>
      <c r="S23" s="573"/>
      <c r="T23" s="95">
        <f t="shared" si="4"/>
        <v>11</v>
      </c>
      <c r="U23" s="475">
        <f t="shared" si="5"/>
        <v>59035.97</v>
      </c>
    </row>
    <row r="24" spans="1:21" x14ac:dyDescent="0.25">
      <c r="A24" s="520" t="s">
        <v>83</v>
      </c>
      <c r="B24" s="520"/>
      <c r="C24" s="143">
        <v>19.5</v>
      </c>
      <c r="D24" s="143">
        <v>17.5</v>
      </c>
      <c r="E24" s="116">
        <f t="shared" si="1"/>
        <v>37</v>
      </c>
      <c r="F24" s="558">
        <f>'1461'!F24:G24</f>
        <v>5.7069999999999999</v>
      </c>
      <c r="G24" s="558"/>
      <c r="H24" s="80">
        <f t="shared" si="2"/>
        <v>211.15899999999999</v>
      </c>
      <c r="I24" s="101">
        <f t="shared" si="3"/>
        <v>1133270.52</v>
      </c>
      <c r="N24" s="571" t="s">
        <v>83</v>
      </c>
      <c r="O24" s="571"/>
      <c r="P24" s="572">
        <f t="shared" si="0"/>
        <v>37</v>
      </c>
      <c r="Q24" s="572"/>
      <c r="R24" s="573">
        <v>1</v>
      </c>
      <c r="S24" s="573"/>
      <c r="T24" s="95">
        <f t="shared" si="4"/>
        <v>37</v>
      </c>
      <c r="U24" s="475">
        <f t="shared" si="5"/>
        <v>198575.52</v>
      </c>
    </row>
    <row r="25" spans="1:21" x14ac:dyDescent="0.25">
      <c r="A25" s="520" t="s">
        <v>84</v>
      </c>
      <c r="B25" s="520"/>
      <c r="C25" s="143">
        <v>16</v>
      </c>
      <c r="D25" s="143">
        <v>14.18</v>
      </c>
      <c r="E25" s="116">
        <f t="shared" si="1"/>
        <v>30.18</v>
      </c>
      <c r="F25" s="558">
        <f>'1461'!F25:G25</f>
        <v>5.7069999999999999</v>
      </c>
      <c r="G25" s="558"/>
      <c r="H25" s="80">
        <f t="shared" si="2"/>
        <v>172.2373</v>
      </c>
      <c r="I25" s="101">
        <f t="shared" si="3"/>
        <v>924381.41</v>
      </c>
      <c r="N25" s="571" t="s">
        <v>84</v>
      </c>
      <c r="O25" s="571"/>
      <c r="P25" s="572">
        <f t="shared" si="0"/>
        <v>30.18</v>
      </c>
      <c r="Q25" s="572"/>
      <c r="R25" s="573">
        <v>1</v>
      </c>
      <c r="S25" s="573"/>
      <c r="T25" s="95">
        <f t="shared" si="4"/>
        <v>30.18</v>
      </c>
      <c r="U25" s="475">
        <f t="shared" si="5"/>
        <v>161973.23000000001</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192.84</v>
      </c>
      <c r="D30" s="94">
        <f>SUM(D14:D29)</f>
        <v>193.62</v>
      </c>
      <c r="E30" s="94">
        <f>SUM(E14:E29)</f>
        <v>386.46</v>
      </c>
      <c r="F30" s="539"/>
      <c r="G30" s="539"/>
      <c r="H30" s="99">
        <f>SUM(H14:H29)</f>
        <v>1374.7992999999999</v>
      </c>
      <c r="I30" s="94">
        <f>SUM(I14:I29)</f>
        <v>7378418.7000000011</v>
      </c>
      <c r="N30" s="590" t="s">
        <v>5</v>
      </c>
      <c r="O30" s="590"/>
      <c r="P30" s="591">
        <f>SUM(P14:P29)</f>
        <v>386.46</v>
      </c>
      <c r="Q30" s="591"/>
      <c r="R30" s="592"/>
      <c r="S30" s="592"/>
      <c r="T30" s="100">
        <f>SUM(T14:T29)</f>
        <v>386.46</v>
      </c>
      <c r="U30" s="475">
        <f>SUM(U14:U29)</f>
        <v>2074094.52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1374.7992999999999</v>
      </c>
      <c r="F46" s="34"/>
      <c r="G46" s="106"/>
      <c r="H46" s="107" t="s">
        <v>98</v>
      </c>
      <c r="I46" s="94">
        <f>SUM(I44,I30)</f>
        <v>7378418.7000000011</v>
      </c>
      <c r="N46" s="616" t="s">
        <v>44</v>
      </c>
      <c r="O46" s="616"/>
      <c r="P46" s="616"/>
      <c r="Q46" s="616"/>
      <c r="R46" s="35">
        <f>R44+T30</f>
        <v>386.46</v>
      </c>
      <c r="S46" s="592" t="s">
        <v>42</v>
      </c>
      <c r="T46" s="592"/>
      <c r="U46" s="108">
        <f>SUM(U44,U30)</f>
        <v>2074094.52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7378418.7000000011</v>
      </c>
      <c r="G51" s="109" t="s">
        <v>6</v>
      </c>
      <c r="H51" s="403">
        <v>4.5199999999999997E-2</v>
      </c>
      <c r="I51" s="101">
        <f>ROUND(F51*H51,2)</f>
        <v>333504.53000000003</v>
      </c>
      <c r="N51" s="408"/>
      <c r="O51" s="409" t="s">
        <v>398</v>
      </c>
      <c r="P51" s="28"/>
      <c r="Q51" s="44" t="s">
        <v>399</v>
      </c>
      <c r="R51" s="410">
        <f>U30</f>
        <v>2074094.52</v>
      </c>
      <c r="S51" s="411" t="s">
        <v>6</v>
      </c>
      <c r="T51" s="412">
        <v>4.5199999999999997E-2</v>
      </c>
      <c r="U51" s="404">
        <f>ROUND(R51*T51,2)</f>
        <v>93749.07</v>
      </c>
    </row>
    <row r="52" spans="1:22" x14ac:dyDescent="0.25">
      <c r="A52" s="26"/>
      <c r="B52" s="81" t="s">
        <v>400</v>
      </c>
      <c r="C52" s="26"/>
      <c r="D52" s="26"/>
      <c r="E52" s="43" t="s">
        <v>399</v>
      </c>
      <c r="F52" s="402">
        <f>I46</f>
        <v>7378418.7000000011</v>
      </c>
      <c r="G52" s="109" t="s">
        <v>6</v>
      </c>
      <c r="H52" s="403">
        <v>1.41E-2</v>
      </c>
      <c r="I52" s="101">
        <f>ROUND(F52*H52,2)</f>
        <v>104035.7</v>
      </c>
      <c r="N52" s="28"/>
      <c r="O52" s="385" t="s">
        <v>400</v>
      </c>
      <c r="P52" s="28"/>
      <c r="Q52" s="44" t="s">
        <v>399</v>
      </c>
      <c r="R52" s="410">
        <f>U30</f>
        <v>2074094.52</v>
      </c>
      <c r="S52" s="411" t="s">
        <v>6</v>
      </c>
      <c r="T52" s="412">
        <v>1.41E-2</v>
      </c>
      <c r="U52" s="413">
        <f>ROUND(R52*T52,2)</f>
        <v>29244.73</v>
      </c>
    </row>
    <row r="53" spans="1:22" x14ac:dyDescent="0.25">
      <c r="A53" s="26"/>
      <c r="B53" s="81" t="s">
        <v>401</v>
      </c>
      <c r="C53" s="26"/>
      <c r="D53" s="26"/>
      <c r="E53" s="43"/>
      <c r="F53" s="402"/>
      <c r="G53" s="109"/>
      <c r="H53" s="403"/>
      <c r="I53" s="97">
        <f>SUM(I51:I52)</f>
        <v>437540.23000000004</v>
      </c>
      <c r="N53" s="28"/>
      <c r="O53" s="385" t="s">
        <v>401</v>
      </c>
      <c r="P53" s="28"/>
      <c r="Q53" s="44"/>
      <c r="R53" s="410"/>
      <c r="S53" s="411"/>
      <c r="T53" s="412"/>
      <c r="U53" s="404">
        <f>SUM(U51:U52)</f>
        <v>122993.8</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4.75</v>
      </c>
      <c r="D59" s="143">
        <v>6</v>
      </c>
      <c r="E59" s="116">
        <f t="shared" si="10"/>
        <v>10.75</v>
      </c>
      <c r="F59" s="445" t="s">
        <v>439</v>
      </c>
      <c r="G59" s="445">
        <v>253</v>
      </c>
      <c r="H59" s="459">
        <f>'1461'!H59</f>
        <v>6896</v>
      </c>
      <c r="I59" s="101">
        <f t="shared" si="11"/>
        <v>74132</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11</v>
      </c>
      <c r="D62" s="143">
        <v>10.5</v>
      </c>
      <c r="E62" s="116">
        <f t="shared" si="10"/>
        <v>21.5</v>
      </c>
      <c r="F62" s="446" t="s">
        <v>13</v>
      </c>
      <c r="G62" s="445">
        <v>253</v>
      </c>
      <c r="H62" s="459">
        <f>'1461'!H62</f>
        <v>7023</v>
      </c>
      <c r="I62" s="101">
        <f t="shared" si="11"/>
        <v>150994.5</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1</v>
      </c>
      <c r="D64" s="143">
        <v>0.91</v>
      </c>
      <c r="E64" s="116">
        <f t="shared" si="10"/>
        <v>1.9100000000000001</v>
      </c>
      <c r="F64" s="446" t="s">
        <v>14</v>
      </c>
      <c r="G64" s="445">
        <v>252</v>
      </c>
      <c r="H64" s="459">
        <f>'1461'!H64</f>
        <v>3168</v>
      </c>
      <c r="I64" s="101">
        <f t="shared" si="11"/>
        <v>6050.88</v>
      </c>
      <c r="N64" s="622"/>
      <c r="O64" s="622"/>
      <c r="P64" s="625"/>
      <c r="Q64" s="625"/>
      <c r="R64" s="40" t="s">
        <v>14</v>
      </c>
      <c r="S64" s="451">
        <v>252</v>
      </c>
      <c r="T64" s="462">
        <f t="shared" si="12"/>
        <v>3168</v>
      </c>
      <c r="U64" s="476">
        <f t="shared" si="13"/>
        <v>0</v>
      </c>
      <c r="V64" s="426"/>
    </row>
    <row r="65" spans="1:22" ht="16.5" thickBot="1" x14ac:dyDescent="0.3">
      <c r="A65" s="536"/>
      <c r="B65" s="536"/>
      <c r="C65" s="143">
        <v>20.84</v>
      </c>
      <c r="D65" s="143">
        <v>24.07</v>
      </c>
      <c r="E65" s="116">
        <f t="shared" si="10"/>
        <v>44.91</v>
      </c>
      <c r="F65" s="446" t="s">
        <v>14</v>
      </c>
      <c r="G65" s="445">
        <v>253</v>
      </c>
      <c r="H65" s="459">
        <f>'1461'!H65</f>
        <v>6685</v>
      </c>
      <c r="I65" s="101">
        <f t="shared" si="11"/>
        <v>300223.34999999998</v>
      </c>
      <c r="N65" s="622"/>
      <c r="O65" s="622"/>
      <c r="P65" s="626"/>
      <c r="Q65" s="626"/>
      <c r="R65" s="40" t="s">
        <v>14</v>
      </c>
      <c r="S65" s="451">
        <v>253</v>
      </c>
      <c r="T65" s="462">
        <f t="shared" si="12"/>
        <v>6685</v>
      </c>
      <c r="U65" s="477">
        <f t="shared" si="13"/>
        <v>0</v>
      </c>
      <c r="V65" s="426"/>
    </row>
    <row r="66" spans="1:22" ht="16.5" thickBot="1" x14ac:dyDescent="0.3">
      <c r="A66" s="442"/>
      <c r="C66" s="97">
        <f>SUM(C57:C65)</f>
        <v>37.590000000000003</v>
      </c>
      <c r="D66" s="97">
        <f>SUM(D57:D65)</f>
        <v>41.480000000000004</v>
      </c>
      <c r="E66" s="97">
        <f>SUM(E57:E65)</f>
        <v>79.069999999999993</v>
      </c>
      <c r="F66" s="523" t="s">
        <v>448</v>
      </c>
      <c r="G66" s="523"/>
      <c r="H66" s="523"/>
      <c r="I66" s="97">
        <f>SUM(I57:I65)</f>
        <v>531400.73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386.46</v>
      </c>
      <c r="D69" s="533" t="s">
        <v>413</v>
      </c>
      <c r="E69" s="533"/>
      <c r="F69" s="533"/>
      <c r="G69" s="533"/>
      <c r="H69" s="301">
        <f>'1461'!H69</f>
        <v>203305.63</v>
      </c>
      <c r="I69" s="113"/>
      <c r="N69" s="594" t="s">
        <v>406</v>
      </c>
      <c r="O69" s="571"/>
      <c r="P69" s="41">
        <f>P30</f>
        <v>386.46</v>
      </c>
      <c r="Q69" s="599" t="s">
        <v>408</v>
      </c>
      <c r="R69" s="600"/>
      <c r="S69" s="600"/>
      <c r="T69" s="598">
        <f>H69</f>
        <v>203305.63</v>
      </c>
      <c r="U69" s="598"/>
    </row>
    <row r="70" spans="1:22" x14ac:dyDescent="0.25">
      <c r="B70" s="69"/>
      <c r="G70" s="42" t="s">
        <v>12</v>
      </c>
      <c r="H70" s="114">
        <f>ROUND(C69/H69,6)</f>
        <v>1.9009999999999999E-3</v>
      </c>
      <c r="I70" s="115"/>
      <c r="N70" s="571"/>
      <c r="O70" s="571"/>
      <c r="P70" s="571"/>
      <c r="Q70" s="571"/>
      <c r="R70" s="571"/>
      <c r="S70" s="571"/>
      <c r="T70" s="601">
        <f>ROUND(P69/T69,6)</f>
        <v>1.9009999999999999E-3</v>
      </c>
      <c r="U70" s="601"/>
    </row>
    <row r="71" spans="1:22" x14ac:dyDescent="0.25">
      <c r="A71" s="444" t="s">
        <v>451</v>
      </c>
      <c r="N71" s="455" t="s">
        <v>459</v>
      </c>
      <c r="O71" s="51"/>
      <c r="P71" s="51"/>
      <c r="Q71" s="51"/>
      <c r="R71" s="51"/>
      <c r="S71" s="51"/>
      <c r="T71" s="51"/>
      <c r="U71" s="51"/>
    </row>
    <row r="72" spans="1:22" x14ac:dyDescent="0.25">
      <c r="A72" s="519" t="s">
        <v>403</v>
      </c>
      <c r="B72" s="520"/>
      <c r="C72" s="112">
        <f>H30</f>
        <v>1374.7992999999999</v>
      </c>
      <c r="D72" s="533" t="s">
        <v>414</v>
      </c>
      <c r="E72" s="533"/>
      <c r="F72" s="533"/>
      <c r="G72" s="533"/>
      <c r="H72" s="302">
        <f>'1461'!H72</f>
        <v>227540.36</v>
      </c>
      <c r="I72" s="116"/>
      <c r="N72" s="594" t="s">
        <v>407</v>
      </c>
      <c r="O72" s="571"/>
      <c r="P72" s="41">
        <f>T30</f>
        <v>386.46</v>
      </c>
      <c r="Q72" s="599" t="s">
        <v>409</v>
      </c>
      <c r="R72" s="600"/>
      <c r="S72" s="600"/>
      <c r="T72" s="598">
        <f>H72</f>
        <v>227540.36</v>
      </c>
      <c r="U72" s="598"/>
    </row>
    <row r="73" spans="1:22" x14ac:dyDescent="0.25">
      <c r="G73" s="42" t="s">
        <v>12</v>
      </c>
      <c r="H73" s="114">
        <f>ROUND(C72/H72,6)</f>
        <v>6.0419999999999996E-3</v>
      </c>
      <c r="I73" s="114"/>
      <c r="N73" s="571"/>
      <c r="O73" s="571"/>
      <c r="P73" s="571"/>
      <c r="Q73" s="571"/>
      <c r="R73" s="571"/>
      <c r="S73" s="571"/>
      <c r="T73" s="601">
        <f>ROUND(P72/T72,6)</f>
        <v>1.6980000000000001E-3</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386.46</v>
      </c>
      <c r="D75" s="532" t="s">
        <v>415</v>
      </c>
      <c r="E75" s="532"/>
      <c r="F75" s="532"/>
      <c r="G75" s="532"/>
      <c r="H75" s="301">
        <f>'1461'!H75</f>
        <v>186907.73</v>
      </c>
      <c r="I75" s="113"/>
      <c r="N75" s="594" t="s">
        <v>405</v>
      </c>
      <c r="O75" s="571"/>
      <c r="P75" s="41">
        <f>P30</f>
        <v>386.46</v>
      </c>
      <c r="Q75" s="604" t="s">
        <v>410</v>
      </c>
      <c r="R75" s="605"/>
      <c r="S75" s="605"/>
      <c r="T75" s="598">
        <f>H75</f>
        <v>186907.73</v>
      </c>
      <c r="U75" s="598"/>
    </row>
    <row r="76" spans="1:22" x14ac:dyDescent="0.25">
      <c r="B76" s="69"/>
      <c r="G76" s="42" t="s">
        <v>12</v>
      </c>
      <c r="H76" s="114">
        <f>ROUND(C75/H75,6)</f>
        <v>2.068E-3</v>
      </c>
      <c r="I76" s="115"/>
      <c r="N76" s="571"/>
      <c r="O76" s="571"/>
      <c r="P76" s="571"/>
      <c r="Q76" s="571"/>
      <c r="R76" s="571"/>
      <c r="S76" s="571"/>
      <c r="T76" s="601">
        <f>ROUND(P75/T75,6)</f>
        <v>2.068E-3</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386.46</v>
      </c>
      <c r="D78" s="528" t="s">
        <v>416</v>
      </c>
      <c r="E78" s="528"/>
      <c r="F78" s="528"/>
      <c r="G78" s="528"/>
      <c r="H78" s="301">
        <f>'1461'!H78</f>
        <v>203080.55</v>
      </c>
      <c r="I78" s="113"/>
      <c r="N78" s="594" t="s">
        <v>405</v>
      </c>
      <c r="O78" s="571"/>
      <c r="P78" s="41">
        <f>P30</f>
        <v>386.46</v>
      </c>
      <c r="Q78" s="602" t="s">
        <v>411</v>
      </c>
      <c r="R78" s="603"/>
      <c r="S78" s="603"/>
      <c r="T78" s="598">
        <f>H78</f>
        <v>203080.55</v>
      </c>
      <c r="U78" s="598"/>
    </row>
    <row r="79" spans="1:22" x14ac:dyDescent="0.25">
      <c r="B79" s="69"/>
      <c r="G79" s="42" t="s">
        <v>12</v>
      </c>
      <c r="H79" s="114">
        <f>ROUND(C78/H78,6)</f>
        <v>1.903E-3</v>
      </c>
      <c r="I79" s="115"/>
      <c r="N79" s="571"/>
      <c r="O79" s="571"/>
      <c r="P79" s="571"/>
      <c r="Q79" s="571"/>
      <c r="R79" s="571"/>
      <c r="S79" s="571"/>
      <c r="T79" s="601">
        <f>ROUND(P78/T78,6)</f>
        <v>1.903E-3</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386.46</v>
      </c>
      <c r="D81" s="532" t="s">
        <v>417</v>
      </c>
      <c r="E81" s="532"/>
      <c r="F81" s="532"/>
      <c r="G81" s="532"/>
      <c r="H81" s="301">
        <f>'1461'!H81</f>
        <v>186682.65</v>
      </c>
      <c r="I81" s="113"/>
      <c r="N81" s="594" t="s">
        <v>418</v>
      </c>
      <c r="O81" s="571"/>
      <c r="P81" s="41">
        <f>P30</f>
        <v>386.46</v>
      </c>
      <c r="Q81" s="604" t="s">
        <v>419</v>
      </c>
      <c r="R81" s="605"/>
      <c r="S81" s="605"/>
      <c r="T81" s="598">
        <f>H81</f>
        <v>186682.65</v>
      </c>
      <c r="U81" s="598"/>
    </row>
    <row r="82" spans="1:21" x14ac:dyDescent="0.25">
      <c r="B82" s="69"/>
      <c r="G82" s="42" t="s">
        <v>12</v>
      </c>
      <c r="H82" s="114">
        <f>ROUND(C81/H81,6)</f>
        <v>2.0699999999999998E-3</v>
      </c>
      <c r="I82" s="115"/>
      <c r="N82" s="571"/>
      <c r="O82" s="571"/>
      <c r="P82" s="571"/>
      <c r="Q82" s="571"/>
      <c r="R82" s="571"/>
      <c r="S82" s="571"/>
      <c r="T82" s="601">
        <f>ROUND(P81/T81,6)</f>
        <v>2.0699999999999998E-3</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1.903E-3</v>
      </c>
      <c r="I85" s="101">
        <f>ROUND(F85*H85,2)</f>
        <v>84998.52</v>
      </c>
      <c r="N85" s="455" t="s">
        <v>455</v>
      </c>
      <c r="O85" s="51"/>
      <c r="P85" s="51"/>
      <c r="Q85" s="44"/>
      <c r="R85" s="421">
        <f>F85</f>
        <v>44665536</v>
      </c>
      <c r="S85" s="38" t="s">
        <v>6</v>
      </c>
      <c r="T85" s="423">
        <f>T79</f>
        <v>1.903E-3</v>
      </c>
      <c r="U85" s="475">
        <f>ROUND(R85*T85,2)</f>
        <v>84998.52</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1.9009999999999999E-3</v>
      </c>
      <c r="I88" s="101">
        <f>ROUND(F88*H88,2)</f>
        <v>0</v>
      </c>
      <c r="N88" s="606" t="s">
        <v>99</v>
      </c>
      <c r="O88" s="571"/>
      <c r="P88" s="571"/>
      <c r="Q88" s="44"/>
      <c r="R88" s="421">
        <f>F88</f>
        <v>0</v>
      </c>
      <c r="S88" s="38" t="s">
        <v>6</v>
      </c>
      <c r="T88" s="423">
        <f>T70</f>
        <v>1.9009999999999999E-3</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2.0699999999999998E-3</v>
      </c>
      <c r="I90" s="101">
        <f>ROUND(F90*H90,2)</f>
        <v>33465.800000000003</v>
      </c>
      <c r="N90" s="455" t="s">
        <v>456</v>
      </c>
      <c r="O90" s="51"/>
      <c r="P90" s="51"/>
      <c r="Q90" s="44"/>
      <c r="R90" s="421">
        <f>F90</f>
        <v>16167052</v>
      </c>
      <c r="S90" s="38" t="s">
        <v>6</v>
      </c>
      <c r="T90" s="423">
        <f>T82</f>
        <v>2.0699999999999998E-3</v>
      </c>
      <c r="U90" s="475">
        <f>ROUND(R90*T90,2)</f>
        <v>33465.800000000003</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2.068E-3</v>
      </c>
      <c r="I92" s="101">
        <f t="shared" ref="I92:I96" si="14">ROUND(F92*H92,2)</f>
        <v>20762.919999999998</v>
      </c>
      <c r="N92" s="455" t="s">
        <v>457</v>
      </c>
      <c r="O92" s="51"/>
      <c r="P92" s="51"/>
      <c r="Q92" s="44"/>
      <c r="R92" s="421">
        <f t="shared" ref="R92:R96" si="15">F92</f>
        <v>10040099</v>
      </c>
      <c r="S92" s="38" t="s">
        <v>6</v>
      </c>
      <c r="T92" s="423">
        <f>T76</f>
        <v>2.068E-3</v>
      </c>
      <c r="U92" s="475">
        <f>ROUND(R92*T92,2)</f>
        <v>20762.919999999998</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6.0419999999999996E-3</v>
      </c>
      <c r="I94" s="101">
        <f t="shared" si="14"/>
        <v>1444023.95</v>
      </c>
      <c r="N94" s="571" t="s">
        <v>421</v>
      </c>
      <c r="O94" s="571"/>
      <c r="P94" s="571"/>
      <c r="Q94" s="44"/>
      <c r="R94" s="421">
        <f t="shared" si="15"/>
        <v>238997674</v>
      </c>
      <c r="S94" s="38" t="s">
        <v>6</v>
      </c>
      <c r="T94" s="423">
        <f>T73</f>
        <v>1.6980000000000001E-3</v>
      </c>
      <c r="U94" s="475">
        <f>ROUND(R94*T94,2)</f>
        <v>405818.05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6.0419999999999996E-3</v>
      </c>
      <c r="I96" s="101">
        <f t="shared" si="14"/>
        <v>-9667.48</v>
      </c>
      <c r="N96" s="594" t="s">
        <v>422</v>
      </c>
      <c r="O96" s="571"/>
      <c r="P96" s="571"/>
      <c r="Q96" s="44"/>
      <c r="R96" s="421">
        <f t="shared" si="15"/>
        <v>-1600047</v>
      </c>
      <c r="S96" s="38" t="s">
        <v>6</v>
      </c>
      <c r="T96" s="423">
        <f>T73</f>
        <v>1.6980000000000001E-3</v>
      </c>
      <c r="U96" s="475">
        <f>ROUND(R96*T96,2)</f>
        <v>-2716.88</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462.39599999999996</v>
      </c>
      <c r="D101" s="518"/>
      <c r="E101" s="46">
        <f>H8</f>
        <v>1.0442</v>
      </c>
      <c r="F101" s="304">
        <f>'1461'!F101</f>
        <v>947.59</v>
      </c>
      <c r="G101" s="39" t="s">
        <v>12</v>
      </c>
      <c r="H101" s="101">
        <f>ROUND(C101*E101*F101,2)</f>
        <v>457528.58</v>
      </c>
      <c r="I101" s="104"/>
      <c r="N101" s="28" t="s">
        <v>17</v>
      </c>
      <c r="O101" s="47">
        <f>T14+T15+T20+T23+T26</f>
        <v>126.5</v>
      </c>
      <c r="P101" s="609">
        <f>T8</f>
        <v>1.0442</v>
      </c>
      <c r="Q101" s="609"/>
      <c r="R101" s="48">
        <f>F101</f>
        <v>947.59</v>
      </c>
      <c r="S101" s="40" t="s">
        <v>12</v>
      </c>
      <c r="T101" s="481">
        <f>ROUND(O101*P101*R101,2)</f>
        <v>125168.39</v>
      </c>
      <c r="U101" s="102"/>
    </row>
    <row r="102" spans="1:21" x14ac:dyDescent="0.25">
      <c r="A102" s="49"/>
      <c r="B102" s="49" t="s">
        <v>104</v>
      </c>
      <c r="C102" s="518">
        <f>H16+H17+H21+H24+H27</f>
        <v>467.99</v>
      </c>
      <c r="D102" s="518"/>
      <c r="E102" s="46">
        <f>H8</f>
        <v>1.0442</v>
      </c>
      <c r="F102" s="304">
        <f>'1461'!F102</f>
        <v>904.74</v>
      </c>
      <c r="G102" s="39" t="s">
        <v>12</v>
      </c>
      <c r="H102" s="101">
        <f>ROUND(C102*E102*F102,2)</f>
        <v>442123.96</v>
      </c>
      <c r="N102" s="50" t="s">
        <v>13</v>
      </c>
      <c r="O102" s="47">
        <f>T16+T17+T21+T24+T27</f>
        <v>122</v>
      </c>
      <c r="P102" s="609">
        <f>T8</f>
        <v>1.0442</v>
      </c>
      <c r="Q102" s="609"/>
      <c r="R102" s="48">
        <f>F102</f>
        <v>904.74</v>
      </c>
      <c r="S102" s="40" t="s">
        <v>12</v>
      </c>
      <c r="T102" s="481">
        <f>ROUND(O102*P102*R102,2)</f>
        <v>115257</v>
      </c>
      <c r="U102" s="51"/>
    </row>
    <row r="103" spans="1:21" ht="16.5" thickBot="1" x14ac:dyDescent="0.3">
      <c r="A103" s="52"/>
      <c r="B103" s="52" t="s">
        <v>103</v>
      </c>
      <c r="C103" s="518">
        <f>H18+H19+H22+H25+H28+H29</f>
        <v>444.41329999999999</v>
      </c>
      <c r="D103" s="518"/>
      <c r="E103" s="46">
        <f>H8</f>
        <v>1.0442</v>
      </c>
      <c r="F103" s="304">
        <f>'1461'!F103</f>
        <v>906.93</v>
      </c>
      <c r="G103" s="39" t="s">
        <v>12</v>
      </c>
      <c r="H103" s="94">
        <f>ROUND(C103*E103*F103,2)</f>
        <v>420866.64</v>
      </c>
      <c r="N103" s="53" t="s">
        <v>14</v>
      </c>
      <c r="O103" s="54">
        <f>T18+T19+T22+T25+T28+T29</f>
        <v>137.96</v>
      </c>
      <c r="P103" s="609">
        <f>T8</f>
        <v>1.0442</v>
      </c>
      <c r="Q103" s="609"/>
      <c r="R103" s="48">
        <f>F103</f>
        <v>906.93</v>
      </c>
      <c r="S103" s="40" t="s">
        <v>12</v>
      </c>
      <c r="T103" s="481">
        <f>ROUND(O103*P103*R103,2)</f>
        <v>130650.37</v>
      </c>
      <c r="U103" s="51"/>
    </row>
    <row r="104" spans="1:21" ht="16.5" thickBot="1" x14ac:dyDescent="0.3">
      <c r="A104" s="55"/>
      <c r="B104" s="122" t="s">
        <v>102</v>
      </c>
      <c r="C104" s="531">
        <f>SUM(C101:C103)</f>
        <v>1374.7992999999999</v>
      </c>
      <c r="D104" s="531"/>
      <c r="E104" s="123"/>
      <c r="F104" s="123"/>
      <c r="G104" s="123"/>
      <c r="H104" s="124" t="s">
        <v>100</v>
      </c>
      <c r="I104" s="101">
        <f>IF(A1=75,0,H103+H102+H101)</f>
        <v>1320519.1800000002</v>
      </c>
      <c r="N104" s="56" t="s">
        <v>89</v>
      </c>
      <c r="O104" s="57">
        <f>SUM(O101:O103)</f>
        <v>386.46000000000004</v>
      </c>
      <c r="P104" s="610" t="s">
        <v>16</v>
      </c>
      <c r="Q104" s="611"/>
      <c r="R104" s="611"/>
      <c r="S104" s="611"/>
      <c r="T104" s="611"/>
      <c r="U104" s="475">
        <f>IF(N1=75,0,T103+T102+T101)</f>
        <v>371075.76</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1</v>
      </c>
      <c r="E110" s="116">
        <f>(C110+D110)/2</f>
        <v>0.5</v>
      </c>
      <c r="F110" s="126" t="s">
        <v>30</v>
      </c>
      <c r="G110" s="305">
        <f>'1461'!G110</f>
        <v>565</v>
      </c>
      <c r="I110" s="101">
        <f>ROUND(G110*E110,2)</f>
        <v>282.5</v>
      </c>
      <c r="N110" s="620" t="s">
        <v>52</v>
      </c>
      <c r="O110" s="620"/>
      <c r="P110" s="608">
        <f>IF(H130=1,E110,0)</f>
        <v>0.5</v>
      </c>
      <c r="Q110" s="608"/>
      <c r="R110" s="608"/>
      <c r="S110" s="83" t="s">
        <v>30</v>
      </c>
      <c r="T110" s="58">
        <f>G110</f>
        <v>565</v>
      </c>
      <c r="U110" s="475">
        <f>ROUND(T110*P110,2)</f>
        <v>282.5</v>
      </c>
    </row>
    <row r="111" spans="1:21" x14ac:dyDescent="0.25">
      <c r="A111" s="532" t="s">
        <v>380</v>
      </c>
      <c r="B111" s="553"/>
      <c r="C111" s="143">
        <v>0</v>
      </c>
      <c r="D111" s="143">
        <v>1</v>
      </c>
      <c r="E111" s="116">
        <f>(C111+D111)/2</f>
        <v>0.5</v>
      </c>
      <c r="F111" s="126" t="s">
        <v>30</v>
      </c>
      <c r="G111" s="305">
        <f>'1461'!G111</f>
        <v>1762</v>
      </c>
      <c r="I111" s="101">
        <f>ROUND(G111*E111,2)</f>
        <v>881</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10805085.82</v>
      </c>
      <c r="N125" s="455"/>
      <c r="O125" s="454"/>
      <c r="P125" s="454"/>
      <c r="Q125" s="307"/>
      <c r="R125" s="307"/>
      <c r="S125" s="307"/>
      <c r="T125" s="307"/>
      <c r="U125" s="482">
        <f>SUM(U30,U85,U88,U90,U92,U94,U96,U104,U110,U111,U121,U123)</f>
        <v>2987781.1899999995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10367545.59</v>
      </c>
      <c r="N127" s="616" t="s">
        <v>33</v>
      </c>
      <c r="O127" s="616"/>
      <c r="P127" s="616"/>
      <c r="Q127" s="616"/>
      <c r="R127" s="616"/>
      <c r="S127" s="616"/>
      <c r="T127" s="616"/>
      <c r="U127" s="473">
        <f>U125-U53</f>
        <v>2864787.3899999997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2864787.3899999997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2864787.3899999997</v>
      </c>
      <c r="I132" s="94">
        <f>ROUND(IF(E30=0,0,IF(E30&gt;250,-(((250/E30)*H132)*IF(G132="H",0.02,0.05)),IF(G132="H",-0.02*H132,-0.05*H132))),2)</f>
        <v>-92661.19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10712424.630000001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-1787937.49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8924487.1400000006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892448.71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50578.179499999998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321</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5.5</v>
      </c>
      <c r="D19" s="143">
        <v>5</v>
      </c>
      <c r="E19" s="116">
        <f t="shared" si="1"/>
        <v>10.5</v>
      </c>
      <c r="F19" s="558">
        <f>'1461'!F19:G19</f>
        <v>0.98799999999999999</v>
      </c>
      <c r="G19" s="558"/>
      <c r="H19" s="80">
        <f t="shared" si="2"/>
        <v>10.374000000000001</v>
      </c>
      <c r="I19" s="101">
        <f t="shared" si="3"/>
        <v>55676.28</v>
      </c>
      <c r="J19" s="65" t="str">
        <f>IF(ROUND(E19,2)=ROUND(SUM(E63:E65),2)," ","CHECK 4-8 LINES BELOW")</f>
        <v xml:space="preserve"> </v>
      </c>
      <c r="N19" s="571" t="s">
        <v>25</v>
      </c>
      <c r="O19" s="571"/>
      <c r="P19" s="572">
        <f t="shared" si="0"/>
        <v>10.5</v>
      </c>
      <c r="Q19" s="572"/>
      <c r="R19" s="573">
        <v>1</v>
      </c>
      <c r="S19" s="573"/>
      <c r="T19" s="95">
        <f t="shared" si="4"/>
        <v>10.5</v>
      </c>
      <c r="U19" s="474">
        <f t="shared" si="5"/>
        <v>56352.51</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24</v>
      </c>
      <c r="D22" s="143">
        <v>23.5</v>
      </c>
      <c r="E22" s="116">
        <f t="shared" si="1"/>
        <v>47.5</v>
      </c>
      <c r="F22" s="558">
        <f>'1461'!F22:G22</f>
        <v>3.706</v>
      </c>
      <c r="G22" s="558"/>
      <c r="H22" s="80">
        <f t="shared" si="2"/>
        <v>176.035</v>
      </c>
      <c r="I22" s="101">
        <f t="shared" si="3"/>
        <v>944763.31</v>
      </c>
      <c r="N22" s="571" t="s">
        <v>81</v>
      </c>
      <c r="O22" s="571"/>
      <c r="P22" s="572">
        <f t="shared" si="0"/>
        <v>47.5</v>
      </c>
      <c r="Q22" s="572"/>
      <c r="R22" s="573">
        <v>1</v>
      </c>
      <c r="S22" s="573"/>
      <c r="T22" s="95">
        <f t="shared" si="4"/>
        <v>47.5</v>
      </c>
      <c r="U22" s="475">
        <f t="shared" si="5"/>
        <v>254928.04</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32.5</v>
      </c>
      <c r="D25" s="143">
        <v>33.5</v>
      </c>
      <c r="E25" s="116">
        <f t="shared" si="1"/>
        <v>66</v>
      </c>
      <c r="F25" s="558">
        <f>'1461'!F25:G25</f>
        <v>5.7069999999999999</v>
      </c>
      <c r="G25" s="558"/>
      <c r="H25" s="80">
        <f t="shared" si="2"/>
        <v>376.66199999999998</v>
      </c>
      <c r="I25" s="101">
        <f t="shared" si="3"/>
        <v>2021509.57</v>
      </c>
      <c r="N25" s="571" t="s">
        <v>84</v>
      </c>
      <c r="O25" s="571"/>
      <c r="P25" s="572">
        <f t="shared" si="0"/>
        <v>66</v>
      </c>
      <c r="Q25" s="572"/>
      <c r="R25" s="573">
        <v>1</v>
      </c>
      <c r="S25" s="573"/>
      <c r="T25" s="95">
        <f t="shared" si="4"/>
        <v>66</v>
      </c>
      <c r="U25" s="475">
        <f t="shared" si="5"/>
        <v>354215.8</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62</v>
      </c>
      <c r="D30" s="94">
        <f>SUM(D14:D29)</f>
        <v>62</v>
      </c>
      <c r="E30" s="94">
        <f>SUM(E14:E29)</f>
        <v>124</v>
      </c>
      <c r="F30" s="539"/>
      <c r="G30" s="539"/>
      <c r="H30" s="99">
        <f>SUM(H14:H29)</f>
        <v>563.07099999999991</v>
      </c>
      <c r="I30" s="94">
        <f>SUM(I14:I29)</f>
        <v>3021949.16</v>
      </c>
      <c r="N30" s="590" t="s">
        <v>5</v>
      </c>
      <c r="O30" s="590"/>
      <c r="P30" s="591">
        <f>SUM(P14:P29)</f>
        <v>124</v>
      </c>
      <c r="Q30" s="591"/>
      <c r="R30" s="592"/>
      <c r="S30" s="592"/>
      <c r="T30" s="100">
        <f>SUM(T14:T29)</f>
        <v>124</v>
      </c>
      <c r="U30" s="475">
        <f>SUM(U14:U29)</f>
        <v>665496.35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563.07099999999991</v>
      </c>
      <c r="F46" s="34"/>
      <c r="G46" s="106"/>
      <c r="H46" s="107" t="s">
        <v>98</v>
      </c>
      <c r="I46" s="94">
        <f>SUM(I44,I30)</f>
        <v>3021949.16</v>
      </c>
      <c r="N46" s="616" t="s">
        <v>44</v>
      </c>
      <c r="O46" s="616"/>
      <c r="P46" s="616"/>
      <c r="Q46" s="616"/>
      <c r="R46" s="35">
        <f>R44+T30</f>
        <v>124</v>
      </c>
      <c r="S46" s="592" t="s">
        <v>42</v>
      </c>
      <c r="T46" s="592"/>
      <c r="U46" s="108">
        <f>SUM(U44,U30)</f>
        <v>665496.35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3021949.16</v>
      </c>
      <c r="G51" s="109" t="s">
        <v>6</v>
      </c>
      <c r="H51" s="403">
        <v>4.5199999999999997E-2</v>
      </c>
      <c r="I51" s="101">
        <f>ROUND(F51*H51,2)</f>
        <v>136592.1</v>
      </c>
      <c r="N51" s="408"/>
      <c r="O51" s="409" t="s">
        <v>398</v>
      </c>
      <c r="P51" s="28"/>
      <c r="Q51" s="44" t="s">
        <v>399</v>
      </c>
      <c r="R51" s="410">
        <f>U30</f>
        <v>665496.35</v>
      </c>
      <c r="S51" s="411" t="s">
        <v>6</v>
      </c>
      <c r="T51" s="412">
        <v>4.5199999999999997E-2</v>
      </c>
      <c r="U51" s="404">
        <f>ROUND(R51*T51,2)</f>
        <v>30080.44</v>
      </c>
    </row>
    <row r="52" spans="1:22" x14ac:dyDescent="0.25">
      <c r="A52" s="26"/>
      <c r="B52" s="81" t="s">
        <v>400</v>
      </c>
      <c r="C52" s="26"/>
      <c r="D52" s="26"/>
      <c r="E52" s="43" t="s">
        <v>399</v>
      </c>
      <c r="F52" s="402">
        <f>I46</f>
        <v>3021949.16</v>
      </c>
      <c r="G52" s="109" t="s">
        <v>6</v>
      </c>
      <c r="H52" s="403">
        <v>1.41E-2</v>
      </c>
      <c r="I52" s="101">
        <f>ROUND(F52*H52,2)</f>
        <v>42609.48</v>
      </c>
      <c r="N52" s="28"/>
      <c r="O52" s="385" t="s">
        <v>400</v>
      </c>
      <c r="P52" s="28"/>
      <c r="Q52" s="44" t="s">
        <v>399</v>
      </c>
      <c r="R52" s="410">
        <f>U30</f>
        <v>665496.35</v>
      </c>
      <c r="S52" s="411" t="s">
        <v>6</v>
      </c>
      <c r="T52" s="412">
        <v>1.41E-2</v>
      </c>
      <c r="U52" s="413">
        <f>ROUND(R52*T52,2)</f>
        <v>9383.5</v>
      </c>
    </row>
    <row r="53" spans="1:22" x14ac:dyDescent="0.25">
      <c r="A53" s="26"/>
      <c r="B53" s="81" t="s">
        <v>401</v>
      </c>
      <c r="C53" s="26"/>
      <c r="D53" s="26"/>
      <c r="E53" s="43"/>
      <c r="F53" s="402"/>
      <c r="G53" s="109"/>
      <c r="H53" s="403"/>
      <c r="I53" s="97">
        <f>SUM(I51:I52)</f>
        <v>179201.58000000002</v>
      </c>
      <c r="N53" s="28"/>
      <c r="O53" s="385" t="s">
        <v>401</v>
      </c>
      <c r="P53" s="28"/>
      <c r="Q53" s="44"/>
      <c r="R53" s="410"/>
      <c r="S53" s="411"/>
      <c r="T53" s="412"/>
      <c r="U53" s="404">
        <f>SUM(U51:U52)</f>
        <v>39463.94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5.5</v>
      </c>
      <c r="D65" s="143">
        <v>5</v>
      </c>
      <c r="E65" s="116">
        <f t="shared" si="10"/>
        <v>10.5</v>
      </c>
      <c r="F65" s="446" t="s">
        <v>14</v>
      </c>
      <c r="G65" s="445">
        <v>253</v>
      </c>
      <c r="H65" s="459">
        <f>'1461'!H65</f>
        <v>6685</v>
      </c>
      <c r="I65" s="101">
        <f t="shared" si="11"/>
        <v>70192.5</v>
      </c>
      <c r="N65" s="622"/>
      <c r="O65" s="622"/>
      <c r="P65" s="626"/>
      <c r="Q65" s="626"/>
      <c r="R65" s="40" t="s">
        <v>14</v>
      </c>
      <c r="S65" s="451">
        <v>253</v>
      </c>
      <c r="T65" s="462">
        <f t="shared" si="12"/>
        <v>6685</v>
      </c>
      <c r="U65" s="477">
        <f t="shared" si="13"/>
        <v>0</v>
      </c>
      <c r="V65" s="426"/>
    </row>
    <row r="66" spans="1:22" ht="16.5" thickBot="1" x14ac:dyDescent="0.3">
      <c r="A66" s="442"/>
      <c r="C66" s="97">
        <f>SUM(C57:C65)</f>
        <v>5.5</v>
      </c>
      <c r="D66" s="97">
        <f>SUM(D57:D65)</f>
        <v>5</v>
      </c>
      <c r="E66" s="97">
        <f>SUM(E57:E65)</f>
        <v>10.5</v>
      </c>
      <c r="F66" s="523" t="s">
        <v>448</v>
      </c>
      <c r="G66" s="523"/>
      <c r="H66" s="523"/>
      <c r="I66" s="97">
        <f>SUM(I57:I65)</f>
        <v>70192.5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124</v>
      </c>
      <c r="D69" s="533" t="s">
        <v>413</v>
      </c>
      <c r="E69" s="533"/>
      <c r="F69" s="533"/>
      <c r="G69" s="533"/>
      <c r="H69" s="301">
        <f>'1461'!H69</f>
        <v>203305.63</v>
      </c>
      <c r="I69" s="113"/>
      <c r="N69" s="594" t="s">
        <v>406</v>
      </c>
      <c r="O69" s="571"/>
      <c r="P69" s="41">
        <f>P30</f>
        <v>124</v>
      </c>
      <c r="Q69" s="599" t="s">
        <v>408</v>
      </c>
      <c r="R69" s="600"/>
      <c r="S69" s="600"/>
      <c r="T69" s="598">
        <f>H69</f>
        <v>203305.63</v>
      </c>
      <c r="U69" s="598"/>
    </row>
    <row r="70" spans="1:22" x14ac:dyDescent="0.25">
      <c r="B70" s="69"/>
      <c r="G70" s="42" t="s">
        <v>12</v>
      </c>
      <c r="H70" s="114">
        <f>ROUND(C69/H69,6)</f>
        <v>6.0999999999999997E-4</v>
      </c>
      <c r="I70" s="115"/>
      <c r="N70" s="571"/>
      <c r="O70" s="571"/>
      <c r="P70" s="571"/>
      <c r="Q70" s="571"/>
      <c r="R70" s="571"/>
      <c r="S70" s="571"/>
      <c r="T70" s="601">
        <f>ROUND(P69/T69,6)</f>
        <v>6.0999999999999997E-4</v>
      </c>
      <c r="U70" s="601"/>
    </row>
    <row r="71" spans="1:22" x14ac:dyDescent="0.25">
      <c r="A71" s="444" t="s">
        <v>451</v>
      </c>
      <c r="N71" s="455" t="s">
        <v>459</v>
      </c>
      <c r="O71" s="51"/>
      <c r="P71" s="51"/>
      <c r="Q71" s="51"/>
      <c r="R71" s="51"/>
      <c r="S71" s="51"/>
      <c r="T71" s="51"/>
      <c r="U71" s="51"/>
    </row>
    <row r="72" spans="1:22" x14ac:dyDescent="0.25">
      <c r="A72" s="519" t="s">
        <v>403</v>
      </c>
      <c r="B72" s="520"/>
      <c r="C72" s="112">
        <f>H30</f>
        <v>563.07099999999991</v>
      </c>
      <c r="D72" s="533" t="s">
        <v>414</v>
      </c>
      <c r="E72" s="533"/>
      <c r="F72" s="533"/>
      <c r="G72" s="533"/>
      <c r="H72" s="302">
        <f>'1461'!H72</f>
        <v>227540.36</v>
      </c>
      <c r="I72" s="116"/>
      <c r="N72" s="594" t="s">
        <v>407</v>
      </c>
      <c r="O72" s="571"/>
      <c r="P72" s="41">
        <f>T30</f>
        <v>124</v>
      </c>
      <c r="Q72" s="599" t="s">
        <v>409</v>
      </c>
      <c r="R72" s="600"/>
      <c r="S72" s="600"/>
      <c r="T72" s="598">
        <f>H72</f>
        <v>227540.36</v>
      </c>
      <c r="U72" s="598"/>
    </row>
    <row r="73" spans="1:22" x14ac:dyDescent="0.25">
      <c r="G73" s="42" t="s">
        <v>12</v>
      </c>
      <c r="H73" s="114">
        <f>ROUND(C72/H72,6)</f>
        <v>2.4750000000000002E-3</v>
      </c>
      <c r="I73" s="114"/>
      <c r="N73" s="571"/>
      <c r="O73" s="571"/>
      <c r="P73" s="571"/>
      <c r="Q73" s="571"/>
      <c r="R73" s="571"/>
      <c r="S73" s="571"/>
      <c r="T73" s="601">
        <f>ROUND(P72/T72,6)</f>
        <v>5.4500000000000002E-4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124</v>
      </c>
      <c r="D75" s="532" t="s">
        <v>415</v>
      </c>
      <c r="E75" s="532"/>
      <c r="F75" s="532"/>
      <c r="G75" s="532"/>
      <c r="H75" s="301">
        <f>'1461'!H75</f>
        <v>186907.73</v>
      </c>
      <c r="I75" s="113"/>
      <c r="N75" s="594" t="s">
        <v>405</v>
      </c>
      <c r="O75" s="571"/>
      <c r="P75" s="41">
        <f>P30</f>
        <v>124</v>
      </c>
      <c r="Q75" s="604" t="s">
        <v>410</v>
      </c>
      <c r="R75" s="605"/>
      <c r="S75" s="605"/>
      <c r="T75" s="598">
        <f>H75</f>
        <v>186907.73</v>
      </c>
      <c r="U75" s="598"/>
    </row>
    <row r="76" spans="1:22" x14ac:dyDescent="0.25">
      <c r="B76" s="69"/>
      <c r="G76" s="42" t="s">
        <v>12</v>
      </c>
      <c r="H76" s="114">
        <f>ROUND(C75/H75,6)</f>
        <v>6.6299999999999996E-4</v>
      </c>
      <c r="I76" s="115"/>
      <c r="N76" s="571"/>
      <c r="O76" s="571"/>
      <c r="P76" s="571"/>
      <c r="Q76" s="571"/>
      <c r="R76" s="571"/>
      <c r="S76" s="571"/>
      <c r="T76" s="601">
        <f>ROUND(P75/T75,6)</f>
        <v>6.6299999999999996E-4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124</v>
      </c>
      <c r="D78" s="528" t="s">
        <v>416</v>
      </c>
      <c r="E78" s="528"/>
      <c r="F78" s="528"/>
      <c r="G78" s="528"/>
      <c r="H78" s="301">
        <f>'1461'!H78</f>
        <v>203080.55</v>
      </c>
      <c r="I78" s="113"/>
      <c r="N78" s="594" t="s">
        <v>405</v>
      </c>
      <c r="O78" s="571"/>
      <c r="P78" s="41">
        <f>P30</f>
        <v>124</v>
      </c>
      <c r="Q78" s="602" t="s">
        <v>411</v>
      </c>
      <c r="R78" s="603"/>
      <c r="S78" s="603"/>
      <c r="T78" s="598">
        <f>H78</f>
        <v>203080.55</v>
      </c>
      <c r="U78" s="598"/>
    </row>
    <row r="79" spans="1:22" x14ac:dyDescent="0.25">
      <c r="B79" s="69"/>
      <c r="G79" s="42" t="s">
        <v>12</v>
      </c>
      <c r="H79" s="114">
        <f>ROUND(C78/H78,6)</f>
        <v>6.11E-4</v>
      </c>
      <c r="I79" s="115"/>
      <c r="N79" s="571"/>
      <c r="O79" s="571"/>
      <c r="P79" s="571"/>
      <c r="Q79" s="571"/>
      <c r="R79" s="571"/>
      <c r="S79" s="571"/>
      <c r="T79" s="601">
        <f>ROUND(P78/T78,6)</f>
        <v>6.11E-4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124</v>
      </c>
      <c r="D81" s="532" t="s">
        <v>417</v>
      </c>
      <c r="E81" s="532"/>
      <c r="F81" s="532"/>
      <c r="G81" s="532"/>
      <c r="H81" s="301">
        <f>'1461'!H81</f>
        <v>186682.65</v>
      </c>
      <c r="I81" s="113"/>
      <c r="N81" s="594" t="s">
        <v>418</v>
      </c>
      <c r="O81" s="571"/>
      <c r="P81" s="41">
        <f>P30</f>
        <v>124</v>
      </c>
      <c r="Q81" s="604" t="s">
        <v>419</v>
      </c>
      <c r="R81" s="605"/>
      <c r="S81" s="605"/>
      <c r="T81" s="598">
        <f>H81</f>
        <v>186682.65</v>
      </c>
      <c r="U81" s="598"/>
    </row>
    <row r="82" spans="1:21" x14ac:dyDescent="0.25">
      <c r="B82" s="69"/>
      <c r="G82" s="42" t="s">
        <v>12</v>
      </c>
      <c r="H82" s="114">
        <f>ROUND(C81/H81,6)</f>
        <v>6.6399999999999999E-4</v>
      </c>
      <c r="I82" s="115"/>
      <c r="N82" s="571"/>
      <c r="O82" s="571"/>
      <c r="P82" s="571"/>
      <c r="Q82" s="571"/>
      <c r="R82" s="571"/>
      <c r="S82" s="571"/>
      <c r="T82" s="601">
        <f>ROUND(P81/T81,6)</f>
        <v>6.6399999999999999E-4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6.11E-4</v>
      </c>
      <c r="I85" s="101">
        <f>ROUND(F85*H85,2)</f>
        <v>27290.639999999999</v>
      </c>
      <c r="N85" s="455" t="s">
        <v>455</v>
      </c>
      <c r="O85" s="51"/>
      <c r="P85" s="51"/>
      <c r="Q85" s="44"/>
      <c r="R85" s="421">
        <f>F85</f>
        <v>44665536</v>
      </c>
      <c r="S85" s="38" t="s">
        <v>6</v>
      </c>
      <c r="T85" s="423">
        <f>T79</f>
        <v>6.11E-4</v>
      </c>
      <c r="U85" s="475">
        <f>ROUND(R85*T85,2)</f>
        <v>27290.639999999999</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6.0999999999999997E-4</v>
      </c>
      <c r="I88" s="101">
        <f>ROUND(F88*H88,2)</f>
        <v>0</v>
      </c>
      <c r="N88" s="606" t="s">
        <v>99</v>
      </c>
      <c r="O88" s="571"/>
      <c r="P88" s="571"/>
      <c r="Q88" s="44"/>
      <c r="R88" s="421">
        <f>F88</f>
        <v>0</v>
      </c>
      <c r="S88" s="38" t="s">
        <v>6</v>
      </c>
      <c r="T88" s="423">
        <f>T70</f>
        <v>6.0999999999999997E-4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6.6399999999999999E-4</v>
      </c>
      <c r="I90" s="101">
        <f>ROUND(F90*H90,2)</f>
        <v>10734.92</v>
      </c>
      <c r="N90" s="455" t="s">
        <v>456</v>
      </c>
      <c r="O90" s="51"/>
      <c r="P90" s="51"/>
      <c r="Q90" s="44"/>
      <c r="R90" s="421">
        <f>F90</f>
        <v>16167052</v>
      </c>
      <c r="S90" s="38" t="s">
        <v>6</v>
      </c>
      <c r="T90" s="423">
        <f>T82</f>
        <v>6.6399999999999999E-4</v>
      </c>
      <c r="U90" s="475">
        <f>ROUND(R90*T90,2)</f>
        <v>10734.92</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6.6299999999999996E-4</v>
      </c>
      <c r="I92" s="101">
        <f t="shared" ref="I92:I96" si="14">ROUND(F92*H92,2)</f>
        <v>6656.59</v>
      </c>
      <c r="N92" s="455" t="s">
        <v>457</v>
      </c>
      <c r="O92" s="51"/>
      <c r="P92" s="51"/>
      <c r="Q92" s="44"/>
      <c r="R92" s="421">
        <f t="shared" ref="R92:R96" si="15">F92</f>
        <v>10040099</v>
      </c>
      <c r="S92" s="38" t="s">
        <v>6</v>
      </c>
      <c r="T92" s="423">
        <f>T76</f>
        <v>6.6299999999999996E-4</v>
      </c>
      <c r="U92" s="475">
        <f>ROUND(R92*T92,2)</f>
        <v>6656.59</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2.4750000000000002E-3</v>
      </c>
      <c r="I94" s="101">
        <f t="shared" si="14"/>
        <v>591519.24</v>
      </c>
      <c r="N94" s="571" t="s">
        <v>421</v>
      </c>
      <c r="O94" s="571"/>
      <c r="P94" s="571"/>
      <c r="Q94" s="44"/>
      <c r="R94" s="421">
        <f t="shared" si="15"/>
        <v>238997674</v>
      </c>
      <c r="S94" s="38" t="s">
        <v>6</v>
      </c>
      <c r="T94" s="423">
        <f>T73</f>
        <v>5.4500000000000002E-4</v>
      </c>
      <c r="U94" s="475">
        <f>ROUND(R94*T94,2)</f>
        <v>130253.73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2.4750000000000002E-3</v>
      </c>
      <c r="I96" s="101">
        <f t="shared" si="14"/>
        <v>-3960.12</v>
      </c>
      <c r="N96" s="594" t="s">
        <v>422</v>
      </c>
      <c r="O96" s="571"/>
      <c r="P96" s="571"/>
      <c r="Q96" s="44"/>
      <c r="R96" s="421">
        <f t="shared" si="15"/>
        <v>-1600047</v>
      </c>
      <c r="S96" s="38" t="s">
        <v>6</v>
      </c>
      <c r="T96" s="423">
        <f>T73</f>
        <v>5.4500000000000002E-4</v>
      </c>
      <c r="U96" s="475">
        <f>ROUND(R96*T96,2)</f>
        <v>-872.03</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563.07099999999991</v>
      </c>
      <c r="D103" s="518"/>
      <c r="E103" s="46">
        <f>H8</f>
        <v>1.0442</v>
      </c>
      <c r="F103" s="304">
        <f>'1461'!F103</f>
        <v>906.93</v>
      </c>
      <c r="G103" s="39" t="s">
        <v>12</v>
      </c>
      <c r="H103" s="94">
        <f>ROUND(C103*E103*F103,2)</f>
        <v>533237.42000000004</v>
      </c>
      <c r="N103" s="53" t="s">
        <v>14</v>
      </c>
      <c r="O103" s="54">
        <f>T18+T19+T22+T25+T28+T29</f>
        <v>124</v>
      </c>
      <c r="P103" s="609">
        <f>T8</f>
        <v>1.0442</v>
      </c>
      <c r="Q103" s="609"/>
      <c r="R103" s="48">
        <f>F103</f>
        <v>906.93</v>
      </c>
      <c r="S103" s="40" t="s">
        <v>12</v>
      </c>
      <c r="T103" s="481">
        <f>ROUND(O103*P103*R103,2)</f>
        <v>117430.02</v>
      </c>
      <c r="U103" s="51"/>
    </row>
    <row r="104" spans="1:21" ht="16.5" thickBot="1" x14ac:dyDescent="0.3">
      <c r="A104" s="55"/>
      <c r="B104" s="122" t="s">
        <v>102</v>
      </c>
      <c r="C104" s="531">
        <f>SUM(C101:C103)</f>
        <v>563.07099999999991</v>
      </c>
      <c r="D104" s="531"/>
      <c r="E104" s="123"/>
      <c r="F104" s="123"/>
      <c r="G104" s="123"/>
      <c r="H104" s="124" t="s">
        <v>100</v>
      </c>
      <c r="I104" s="101">
        <f>IF(A1=75,0,H103+H102+H101)</f>
        <v>533237.42000000004</v>
      </c>
      <c r="N104" s="56" t="s">
        <v>89</v>
      </c>
      <c r="O104" s="57">
        <f>SUM(O101:O103)</f>
        <v>124</v>
      </c>
      <c r="P104" s="610" t="s">
        <v>16</v>
      </c>
      <c r="Q104" s="611"/>
      <c r="R104" s="611"/>
      <c r="S104" s="611"/>
      <c r="T104" s="611"/>
      <c r="U104" s="475">
        <f>IF(N1=75,0,T103+T102+T101)</f>
        <v>117430.02</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4257620.3499999996</v>
      </c>
      <c r="N125" s="455"/>
      <c r="O125" s="454"/>
      <c r="P125" s="454"/>
      <c r="Q125" s="307"/>
      <c r="R125" s="307"/>
      <c r="S125" s="307"/>
      <c r="T125" s="307"/>
      <c r="U125" s="482">
        <f>SUM(U30,U85,U88,U90,U92,U94,U96,U104,U110,U111,U121,U123)</f>
        <v>956990.22</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4078418.7699999996</v>
      </c>
      <c r="N127" s="616" t="s">
        <v>33</v>
      </c>
      <c r="O127" s="616"/>
      <c r="P127" s="616"/>
      <c r="Q127" s="616"/>
      <c r="R127" s="616"/>
      <c r="S127" s="616"/>
      <c r="T127" s="616"/>
      <c r="U127" s="132">
        <f>U125-U53</f>
        <v>917526.28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917526.28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917526.28</v>
      </c>
      <c r="I132" s="94">
        <f>ROUND(IF(E30=0,0,IF(E30&gt;250,-(((250/E30)*H132)*IF(G132="H",0.02,0.05)),IF(G132="H",-0.02*H132,-0.05*H132))),2)</f>
        <v>-45876.31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4211744.04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-710982.64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3500761.4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350076.14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361</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23.5</v>
      </c>
      <c r="D19" s="143">
        <v>25.94</v>
      </c>
      <c r="E19" s="116">
        <f t="shared" si="1"/>
        <v>49.44</v>
      </c>
      <c r="F19" s="558">
        <f>'1461'!F19:G19</f>
        <v>0.98799999999999999</v>
      </c>
      <c r="G19" s="558"/>
      <c r="H19" s="80">
        <f t="shared" si="2"/>
        <v>48.846699999999998</v>
      </c>
      <c r="I19" s="101">
        <f t="shared" si="3"/>
        <v>262155.65000000002</v>
      </c>
      <c r="J19" s="65" t="str">
        <f>IF(ROUND(E19,2)=ROUND(SUM(E63:E65),2)," ","CHECK 4-8 LINES BELOW")</f>
        <v xml:space="preserve"> </v>
      </c>
      <c r="N19" s="571" t="s">
        <v>25</v>
      </c>
      <c r="O19" s="571"/>
      <c r="P19" s="572">
        <f t="shared" si="0"/>
        <v>49.44</v>
      </c>
      <c r="Q19" s="572"/>
      <c r="R19" s="573">
        <v>1</v>
      </c>
      <c r="S19" s="573"/>
      <c r="T19" s="95">
        <f t="shared" si="4"/>
        <v>49.44</v>
      </c>
      <c r="U19" s="474">
        <f t="shared" si="5"/>
        <v>265339.84000000003</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23.5</v>
      </c>
      <c r="D30" s="94">
        <f>SUM(D14:D29)</f>
        <v>25.94</v>
      </c>
      <c r="E30" s="94">
        <f>SUM(E14:E29)</f>
        <v>49.44</v>
      </c>
      <c r="F30" s="539"/>
      <c r="G30" s="539"/>
      <c r="H30" s="99">
        <f>SUM(H14:H29)</f>
        <v>48.846699999999998</v>
      </c>
      <c r="I30" s="94">
        <f>SUM(I14:I29)</f>
        <v>262155.65000000002</v>
      </c>
      <c r="N30" s="590" t="s">
        <v>5</v>
      </c>
      <c r="O30" s="590"/>
      <c r="P30" s="591">
        <f>SUM(P14:P29)</f>
        <v>49.44</v>
      </c>
      <c r="Q30" s="591"/>
      <c r="R30" s="592"/>
      <c r="S30" s="592"/>
      <c r="T30" s="100">
        <f>SUM(T14:T29)</f>
        <v>49.44</v>
      </c>
      <c r="U30" s="475">
        <f>SUM(U14:U29)</f>
        <v>265339.84000000003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48.846699999999998</v>
      </c>
      <c r="F46" s="34"/>
      <c r="G46" s="106"/>
      <c r="H46" s="107" t="s">
        <v>98</v>
      </c>
      <c r="I46" s="94">
        <f>SUM(I44,I30)</f>
        <v>262155.65000000002</v>
      </c>
      <c r="N46" s="616" t="s">
        <v>44</v>
      </c>
      <c r="O46" s="616"/>
      <c r="P46" s="616"/>
      <c r="Q46" s="616"/>
      <c r="R46" s="35">
        <f>R44+T30</f>
        <v>49.44</v>
      </c>
      <c r="S46" s="592" t="s">
        <v>42</v>
      </c>
      <c r="T46" s="592"/>
      <c r="U46" s="108">
        <f>SUM(U44,U30)</f>
        <v>265339.84000000003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262155.65000000002</v>
      </c>
      <c r="G51" s="109" t="s">
        <v>6</v>
      </c>
      <c r="H51" s="403">
        <v>4.5199999999999997E-2</v>
      </c>
      <c r="I51" s="101">
        <f>ROUND(F51*H51,2)</f>
        <v>11849.44</v>
      </c>
      <c r="N51" s="408"/>
      <c r="O51" s="409" t="s">
        <v>398</v>
      </c>
      <c r="P51" s="28"/>
      <c r="Q51" s="44" t="s">
        <v>399</v>
      </c>
      <c r="R51" s="410">
        <f>U30</f>
        <v>265339.84000000003</v>
      </c>
      <c r="S51" s="411" t="s">
        <v>6</v>
      </c>
      <c r="T51" s="412">
        <v>4.5199999999999997E-2</v>
      </c>
      <c r="U51" s="404">
        <f>ROUND(R51*T51,2)</f>
        <v>11993.36</v>
      </c>
    </row>
    <row r="52" spans="1:22" x14ac:dyDescent="0.25">
      <c r="A52" s="26"/>
      <c r="B52" s="81" t="s">
        <v>400</v>
      </c>
      <c r="C52" s="26"/>
      <c r="D52" s="26"/>
      <c r="E52" s="43" t="s">
        <v>399</v>
      </c>
      <c r="F52" s="402">
        <f>I46</f>
        <v>262155.65000000002</v>
      </c>
      <c r="G52" s="109" t="s">
        <v>6</v>
      </c>
      <c r="H52" s="403">
        <v>1.41E-2</v>
      </c>
      <c r="I52" s="101">
        <f>ROUND(F52*H52,2)</f>
        <v>3696.39</v>
      </c>
      <c r="N52" s="28"/>
      <c r="O52" s="385" t="s">
        <v>400</v>
      </c>
      <c r="P52" s="28"/>
      <c r="Q52" s="44" t="s">
        <v>399</v>
      </c>
      <c r="R52" s="410">
        <f>U30</f>
        <v>265339.84000000003</v>
      </c>
      <c r="S52" s="411" t="s">
        <v>6</v>
      </c>
      <c r="T52" s="412">
        <v>1.41E-2</v>
      </c>
      <c r="U52" s="413">
        <f>ROUND(R52*T52,2)</f>
        <v>3741.29</v>
      </c>
    </row>
    <row r="53" spans="1:22" x14ac:dyDescent="0.25">
      <c r="A53" s="26"/>
      <c r="B53" s="81" t="s">
        <v>401</v>
      </c>
      <c r="C53" s="26"/>
      <c r="D53" s="26"/>
      <c r="E53" s="43"/>
      <c r="F53" s="402"/>
      <c r="G53" s="109"/>
      <c r="H53" s="403"/>
      <c r="I53" s="97">
        <f>SUM(I51:I52)</f>
        <v>15545.83</v>
      </c>
      <c r="N53" s="28"/>
      <c r="O53" s="385" t="s">
        <v>401</v>
      </c>
      <c r="P53" s="28"/>
      <c r="Q53" s="44"/>
      <c r="R53" s="410"/>
      <c r="S53" s="411"/>
      <c r="T53" s="412"/>
      <c r="U53" s="404">
        <f>SUM(U51:U52)</f>
        <v>15734.650000000001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3</v>
      </c>
      <c r="D64" s="143">
        <v>2.5</v>
      </c>
      <c r="E64" s="116">
        <f t="shared" si="10"/>
        <v>5.5</v>
      </c>
      <c r="F64" s="446" t="s">
        <v>14</v>
      </c>
      <c r="G64" s="445">
        <v>252</v>
      </c>
      <c r="H64" s="459">
        <f>'1461'!H64</f>
        <v>3168</v>
      </c>
      <c r="I64" s="101">
        <f t="shared" si="11"/>
        <v>17424</v>
      </c>
      <c r="N64" s="622"/>
      <c r="O64" s="622"/>
      <c r="P64" s="625"/>
      <c r="Q64" s="625"/>
      <c r="R64" s="40" t="s">
        <v>14</v>
      </c>
      <c r="S64" s="451">
        <v>252</v>
      </c>
      <c r="T64" s="462">
        <f t="shared" si="12"/>
        <v>3168</v>
      </c>
      <c r="U64" s="476">
        <f t="shared" si="13"/>
        <v>0</v>
      </c>
      <c r="V64" s="426"/>
    </row>
    <row r="65" spans="1:22" ht="16.5" thickBot="1" x14ac:dyDescent="0.3">
      <c r="A65" s="536"/>
      <c r="B65" s="536"/>
      <c r="C65" s="143">
        <v>20.5</v>
      </c>
      <c r="D65" s="143">
        <v>23.44</v>
      </c>
      <c r="E65" s="116">
        <f t="shared" si="10"/>
        <v>43.94</v>
      </c>
      <c r="F65" s="446" t="s">
        <v>14</v>
      </c>
      <c r="G65" s="445">
        <v>253</v>
      </c>
      <c r="H65" s="459">
        <f>'1461'!H65</f>
        <v>6685</v>
      </c>
      <c r="I65" s="101">
        <f t="shared" si="11"/>
        <v>293738.90000000002</v>
      </c>
      <c r="N65" s="622"/>
      <c r="O65" s="622"/>
      <c r="P65" s="626"/>
      <c r="Q65" s="626"/>
      <c r="R65" s="40" t="s">
        <v>14</v>
      </c>
      <c r="S65" s="451">
        <v>253</v>
      </c>
      <c r="T65" s="462">
        <f t="shared" si="12"/>
        <v>6685</v>
      </c>
      <c r="U65" s="477">
        <f t="shared" si="13"/>
        <v>0</v>
      </c>
      <c r="V65" s="426"/>
    </row>
    <row r="66" spans="1:22" ht="16.5" thickBot="1" x14ac:dyDescent="0.3">
      <c r="A66" s="442"/>
      <c r="C66" s="97">
        <f>SUM(C57:C65)</f>
        <v>23.5</v>
      </c>
      <c r="D66" s="97">
        <f>SUM(D57:D65)</f>
        <v>25.94</v>
      </c>
      <c r="E66" s="97">
        <f>SUM(E57:E65)</f>
        <v>49.44</v>
      </c>
      <c r="F66" s="523" t="s">
        <v>448</v>
      </c>
      <c r="G66" s="523"/>
      <c r="H66" s="523"/>
      <c r="I66" s="97">
        <f>SUM(I57:I65)</f>
        <v>311162.90000000002</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49.44</v>
      </c>
      <c r="D69" s="533" t="s">
        <v>413</v>
      </c>
      <c r="E69" s="533"/>
      <c r="F69" s="533"/>
      <c r="G69" s="533"/>
      <c r="H69" s="301">
        <f>'1461'!H69</f>
        <v>203305.63</v>
      </c>
      <c r="I69" s="113"/>
      <c r="N69" s="594" t="s">
        <v>406</v>
      </c>
      <c r="O69" s="571"/>
      <c r="P69" s="41">
        <f>P30</f>
        <v>49.44</v>
      </c>
      <c r="Q69" s="599" t="s">
        <v>408</v>
      </c>
      <c r="R69" s="600"/>
      <c r="S69" s="600"/>
      <c r="T69" s="598">
        <f>H69</f>
        <v>203305.63</v>
      </c>
      <c r="U69" s="598"/>
    </row>
    <row r="70" spans="1:22" x14ac:dyDescent="0.25">
      <c r="B70" s="69"/>
      <c r="G70" s="42" t="s">
        <v>12</v>
      </c>
      <c r="H70" s="114">
        <f>ROUND(C69/H69,6)</f>
        <v>2.43E-4</v>
      </c>
      <c r="I70" s="115"/>
      <c r="N70" s="571"/>
      <c r="O70" s="571"/>
      <c r="P70" s="571"/>
      <c r="Q70" s="571"/>
      <c r="R70" s="571"/>
      <c r="S70" s="571"/>
      <c r="T70" s="601">
        <f>ROUND(P69/T69,6)</f>
        <v>2.43E-4</v>
      </c>
      <c r="U70" s="601"/>
    </row>
    <row r="71" spans="1:22" x14ac:dyDescent="0.25">
      <c r="A71" s="444" t="s">
        <v>451</v>
      </c>
      <c r="N71" s="455" t="s">
        <v>459</v>
      </c>
      <c r="O71" s="51"/>
      <c r="P71" s="51"/>
      <c r="Q71" s="51"/>
      <c r="R71" s="51"/>
      <c r="S71" s="51"/>
      <c r="T71" s="51"/>
      <c r="U71" s="51"/>
    </row>
    <row r="72" spans="1:22" x14ac:dyDescent="0.25">
      <c r="A72" s="519" t="s">
        <v>403</v>
      </c>
      <c r="B72" s="520"/>
      <c r="C72" s="112">
        <f>H30</f>
        <v>48.846699999999998</v>
      </c>
      <c r="D72" s="533" t="s">
        <v>414</v>
      </c>
      <c r="E72" s="533"/>
      <c r="F72" s="533"/>
      <c r="G72" s="533"/>
      <c r="H72" s="302">
        <f>'1461'!H72</f>
        <v>227540.36</v>
      </c>
      <c r="I72" s="116"/>
      <c r="N72" s="594" t="s">
        <v>407</v>
      </c>
      <c r="O72" s="571"/>
      <c r="P72" s="41">
        <f>T30</f>
        <v>49.44</v>
      </c>
      <c r="Q72" s="599" t="s">
        <v>409</v>
      </c>
      <c r="R72" s="600"/>
      <c r="S72" s="600"/>
      <c r="T72" s="598">
        <f>H72</f>
        <v>227540.36</v>
      </c>
      <c r="U72" s="598"/>
    </row>
    <row r="73" spans="1:22" x14ac:dyDescent="0.25">
      <c r="G73" s="42" t="s">
        <v>12</v>
      </c>
      <c r="H73" s="114">
        <f>ROUND(C72/H72,6)</f>
        <v>2.1499999999999999E-4</v>
      </c>
      <c r="I73" s="114"/>
      <c r="N73" s="571"/>
      <c r="O73" s="571"/>
      <c r="P73" s="571"/>
      <c r="Q73" s="571"/>
      <c r="R73" s="571"/>
      <c r="S73" s="571"/>
      <c r="T73" s="601">
        <f>ROUND(P72/T72,6)</f>
        <v>2.1699999999999999E-4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49.44</v>
      </c>
      <c r="D75" s="532" t="s">
        <v>415</v>
      </c>
      <c r="E75" s="532"/>
      <c r="F75" s="532"/>
      <c r="G75" s="532"/>
      <c r="H75" s="301">
        <f>'1461'!H75</f>
        <v>186907.73</v>
      </c>
      <c r="I75" s="113"/>
      <c r="N75" s="594" t="s">
        <v>405</v>
      </c>
      <c r="O75" s="571"/>
      <c r="P75" s="41">
        <f>P30</f>
        <v>49.44</v>
      </c>
      <c r="Q75" s="604" t="s">
        <v>410</v>
      </c>
      <c r="R75" s="605"/>
      <c r="S75" s="605"/>
      <c r="T75" s="598">
        <f>H75</f>
        <v>186907.73</v>
      </c>
      <c r="U75" s="598"/>
    </row>
    <row r="76" spans="1:22" x14ac:dyDescent="0.25">
      <c r="B76" s="69"/>
      <c r="G76" s="42" t="s">
        <v>12</v>
      </c>
      <c r="H76" s="114">
        <f>ROUND(C75/H75,6)</f>
        <v>2.6499999999999999E-4</v>
      </c>
      <c r="I76" s="115"/>
      <c r="N76" s="571"/>
      <c r="O76" s="571"/>
      <c r="P76" s="571"/>
      <c r="Q76" s="571"/>
      <c r="R76" s="571"/>
      <c r="S76" s="571"/>
      <c r="T76" s="601">
        <f>ROUND(P75/T75,6)</f>
        <v>2.6499999999999999E-4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49.44</v>
      </c>
      <c r="D78" s="528" t="s">
        <v>416</v>
      </c>
      <c r="E78" s="528"/>
      <c r="F78" s="528"/>
      <c r="G78" s="528"/>
      <c r="H78" s="301">
        <f>'1461'!H78</f>
        <v>203080.55</v>
      </c>
      <c r="I78" s="113"/>
      <c r="N78" s="594" t="s">
        <v>405</v>
      </c>
      <c r="O78" s="571"/>
      <c r="P78" s="41">
        <f>P30</f>
        <v>49.44</v>
      </c>
      <c r="Q78" s="602" t="s">
        <v>411</v>
      </c>
      <c r="R78" s="603"/>
      <c r="S78" s="603"/>
      <c r="T78" s="598">
        <f>H78</f>
        <v>203080.55</v>
      </c>
      <c r="U78" s="598"/>
    </row>
    <row r="79" spans="1:22" x14ac:dyDescent="0.25">
      <c r="B79" s="69"/>
      <c r="G79" s="42" t="s">
        <v>12</v>
      </c>
      <c r="H79" s="114">
        <f>ROUND(C78/H78,6)</f>
        <v>2.43E-4</v>
      </c>
      <c r="I79" s="115"/>
      <c r="N79" s="571"/>
      <c r="O79" s="571"/>
      <c r="P79" s="571"/>
      <c r="Q79" s="571"/>
      <c r="R79" s="571"/>
      <c r="S79" s="571"/>
      <c r="T79" s="601">
        <f>ROUND(P78/T78,6)</f>
        <v>2.43E-4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49.44</v>
      </c>
      <c r="D81" s="532" t="s">
        <v>417</v>
      </c>
      <c r="E81" s="532"/>
      <c r="F81" s="532"/>
      <c r="G81" s="532"/>
      <c r="H81" s="301">
        <f>'1461'!H81</f>
        <v>186682.65</v>
      </c>
      <c r="I81" s="113"/>
      <c r="N81" s="594" t="s">
        <v>418</v>
      </c>
      <c r="O81" s="571"/>
      <c r="P81" s="41">
        <f>P30</f>
        <v>49.44</v>
      </c>
      <c r="Q81" s="604" t="s">
        <v>419</v>
      </c>
      <c r="R81" s="605"/>
      <c r="S81" s="605"/>
      <c r="T81" s="598">
        <f>H81</f>
        <v>186682.65</v>
      </c>
      <c r="U81" s="598"/>
    </row>
    <row r="82" spans="1:21" x14ac:dyDescent="0.25">
      <c r="B82" s="69"/>
      <c r="G82" s="42" t="s">
        <v>12</v>
      </c>
      <c r="H82" s="114">
        <f>ROUND(C81/H81,6)</f>
        <v>2.6499999999999999E-4</v>
      </c>
      <c r="I82" s="115"/>
      <c r="N82" s="571"/>
      <c r="O82" s="571"/>
      <c r="P82" s="571"/>
      <c r="Q82" s="571"/>
      <c r="R82" s="571"/>
      <c r="S82" s="571"/>
      <c r="T82" s="601">
        <f>ROUND(P81/T81,6)</f>
        <v>2.6499999999999999E-4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2.43E-4</v>
      </c>
      <c r="I85" s="101">
        <f>ROUND(F85*H85,2)</f>
        <v>10853.73</v>
      </c>
      <c r="N85" s="455" t="s">
        <v>455</v>
      </c>
      <c r="O85" s="51"/>
      <c r="P85" s="51"/>
      <c r="Q85" s="44"/>
      <c r="R85" s="421">
        <f>F85</f>
        <v>44665536</v>
      </c>
      <c r="S85" s="38" t="s">
        <v>6</v>
      </c>
      <c r="T85" s="423">
        <f>T79</f>
        <v>2.43E-4</v>
      </c>
      <c r="U85" s="475">
        <f>ROUND(R85*T85,2)</f>
        <v>10853.73</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2.43E-4</v>
      </c>
      <c r="I88" s="101">
        <f>ROUND(F88*H88,2)</f>
        <v>0</v>
      </c>
      <c r="N88" s="606" t="s">
        <v>99</v>
      </c>
      <c r="O88" s="571"/>
      <c r="P88" s="571"/>
      <c r="Q88" s="44"/>
      <c r="R88" s="421">
        <f>F88</f>
        <v>0</v>
      </c>
      <c r="S88" s="38" t="s">
        <v>6</v>
      </c>
      <c r="T88" s="423">
        <f>T70</f>
        <v>2.43E-4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2.6499999999999999E-4</v>
      </c>
      <c r="I90" s="101">
        <f>ROUND(F90*H90,2)</f>
        <v>4284.2700000000004</v>
      </c>
      <c r="N90" s="455" t="s">
        <v>456</v>
      </c>
      <c r="O90" s="51"/>
      <c r="P90" s="51"/>
      <c r="Q90" s="44"/>
      <c r="R90" s="421">
        <f>F90</f>
        <v>16167052</v>
      </c>
      <c r="S90" s="38" t="s">
        <v>6</v>
      </c>
      <c r="T90" s="423">
        <f>T82</f>
        <v>2.6499999999999999E-4</v>
      </c>
      <c r="U90" s="475">
        <f>ROUND(R90*T90,2)</f>
        <v>4284.2700000000004</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2.6499999999999999E-4</v>
      </c>
      <c r="I92" s="101">
        <f t="shared" ref="I92:I96" si="14">ROUND(F92*H92,2)</f>
        <v>2660.63</v>
      </c>
      <c r="N92" s="455" t="s">
        <v>457</v>
      </c>
      <c r="O92" s="51"/>
      <c r="P92" s="51"/>
      <c r="Q92" s="44"/>
      <c r="R92" s="421">
        <f t="shared" ref="R92:R96" si="15">F92</f>
        <v>10040099</v>
      </c>
      <c r="S92" s="38" t="s">
        <v>6</v>
      </c>
      <c r="T92" s="423">
        <f>T76</f>
        <v>2.6499999999999999E-4</v>
      </c>
      <c r="U92" s="475">
        <f>ROUND(R92*T92,2)</f>
        <v>2660.63</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2.1499999999999999E-4</v>
      </c>
      <c r="I94" s="101">
        <f t="shared" si="14"/>
        <v>51384.5</v>
      </c>
      <c r="N94" s="571" t="s">
        <v>421</v>
      </c>
      <c r="O94" s="571"/>
      <c r="P94" s="571"/>
      <c r="Q94" s="44"/>
      <c r="R94" s="421">
        <f t="shared" si="15"/>
        <v>238997674</v>
      </c>
      <c r="S94" s="38" t="s">
        <v>6</v>
      </c>
      <c r="T94" s="423">
        <f>T73</f>
        <v>2.1699999999999999E-4</v>
      </c>
      <c r="U94" s="475">
        <f>ROUND(R94*T94,2)</f>
        <v>51862.5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2.1499999999999999E-4</v>
      </c>
      <c r="I96" s="101">
        <f t="shared" si="14"/>
        <v>-344.01</v>
      </c>
      <c r="N96" s="594" t="s">
        <v>422</v>
      </c>
      <c r="O96" s="571"/>
      <c r="P96" s="571"/>
      <c r="Q96" s="44"/>
      <c r="R96" s="421">
        <f t="shared" si="15"/>
        <v>-1600047</v>
      </c>
      <c r="S96" s="38" t="s">
        <v>6</v>
      </c>
      <c r="T96" s="423">
        <f>T73</f>
        <v>2.1699999999999999E-4</v>
      </c>
      <c r="U96" s="475">
        <f>ROUND(R96*T96,2)</f>
        <v>-347.21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48.846699999999998</v>
      </c>
      <c r="D103" s="518"/>
      <c r="E103" s="46">
        <f>H8</f>
        <v>1.0442</v>
      </c>
      <c r="F103" s="304">
        <f>'1461'!F103</f>
        <v>906.93</v>
      </c>
      <c r="G103" s="39" t="s">
        <v>12</v>
      </c>
      <c r="H103" s="94">
        <f>ROUND(C103*E103*F103,2)</f>
        <v>46258.62</v>
      </c>
      <c r="N103" s="53" t="s">
        <v>14</v>
      </c>
      <c r="O103" s="54">
        <f>T18+T19+T22+T25+T28+T29</f>
        <v>49.44</v>
      </c>
      <c r="P103" s="609">
        <f>T8</f>
        <v>1.0442</v>
      </c>
      <c r="Q103" s="609"/>
      <c r="R103" s="48">
        <f>F103</f>
        <v>906.93</v>
      </c>
      <c r="S103" s="40" t="s">
        <v>12</v>
      </c>
      <c r="T103" s="481">
        <f>ROUND(O103*P103*R103,2)</f>
        <v>46820.49</v>
      </c>
      <c r="U103" s="51"/>
    </row>
    <row r="104" spans="1:21" ht="16.5" thickBot="1" x14ac:dyDescent="0.3">
      <c r="A104" s="55"/>
      <c r="B104" s="122" t="s">
        <v>102</v>
      </c>
      <c r="C104" s="531">
        <f>SUM(C101:C103)</f>
        <v>48.846699999999998</v>
      </c>
      <c r="D104" s="531"/>
      <c r="E104" s="123"/>
      <c r="F104" s="123"/>
      <c r="G104" s="123"/>
      <c r="H104" s="124" t="s">
        <v>100</v>
      </c>
      <c r="I104" s="101">
        <f>IF(A1=75,0,H103+H102+H101)</f>
        <v>46258.62</v>
      </c>
      <c r="N104" s="56" t="s">
        <v>89</v>
      </c>
      <c r="O104" s="57">
        <f>SUM(O101:O103)</f>
        <v>49.44</v>
      </c>
      <c r="P104" s="610" t="s">
        <v>16</v>
      </c>
      <c r="Q104" s="611"/>
      <c r="R104" s="611"/>
      <c r="S104" s="611"/>
      <c r="T104" s="611"/>
      <c r="U104" s="475">
        <f>IF(N1=75,0,T103+T102+T101)</f>
        <v>46820.49</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47</v>
      </c>
      <c r="D110" s="143">
        <v>50</v>
      </c>
      <c r="E110" s="116">
        <f>(C110+D110)/2</f>
        <v>48.5</v>
      </c>
      <c r="F110" s="126" t="s">
        <v>30</v>
      </c>
      <c r="G110" s="305">
        <f>'1461'!G110</f>
        <v>565</v>
      </c>
      <c r="I110" s="101">
        <f>ROUND(G110*E110,2)</f>
        <v>27402.5</v>
      </c>
      <c r="N110" s="620" t="s">
        <v>52</v>
      </c>
      <c r="O110" s="620"/>
      <c r="P110" s="608">
        <f>IF(H130=1,E110,0)</f>
        <v>48.5</v>
      </c>
      <c r="Q110" s="608"/>
      <c r="R110" s="608"/>
      <c r="S110" s="83" t="s">
        <v>30</v>
      </c>
      <c r="T110" s="58">
        <f>G110</f>
        <v>565</v>
      </c>
      <c r="U110" s="475">
        <f>ROUND(T110*P110,2)</f>
        <v>27402.5</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715818.79</v>
      </c>
      <c r="N125" s="455"/>
      <c r="O125" s="454"/>
      <c r="P125" s="454"/>
      <c r="Q125" s="307"/>
      <c r="R125" s="307"/>
      <c r="S125" s="307"/>
      <c r="T125" s="307"/>
      <c r="U125" s="482">
        <f>SUM(U30,U85,U88,U90,U92,U94,U96,U104,U110,U111,U121,U123)</f>
        <v>408876.75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700272.96000000008</v>
      </c>
      <c r="N127" s="616" t="s">
        <v>33</v>
      </c>
      <c r="O127" s="616"/>
      <c r="P127" s="616"/>
      <c r="Q127" s="616"/>
      <c r="R127" s="616"/>
      <c r="S127" s="616"/>
      <c r="T127" s="616"/>
      <c r="U127" s="132">
        <f>U125-U53</f>
        <v>393142.1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393142.1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393142.1</v>
      </c>
      <c r="I132" s="94">
        <f>ROUND(IF(E30=0,0,IF(E30&gt;250,-(((250/E30)*H132)*IF(G132="H",0.02,0.05)),IF(G132="H",-0.02*H132,-0.05*H132))),2)</f>
        <v>-19657.11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696161.68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-100468.52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595693.16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59569.32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116</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191.79</v>
      </c>
      <c r="D14" s="141">
        <v>186</v>
      </c>
      <c r="E14" s="187">
        <f>IF(D$30=0,C14*2,C14+D14)</f>
        <v>377.78999999999996</v>
      </c>
      <c r="F14" s="561">
        <f>'1461'!F14:G14</f>
        <v>1.1220000000000001</v>
      </c>
      <c r="G14" s="561"/>
      <c r="H14" s="145">
        <f>ROUND(E14*F14,4)</f>
        <v>423.88040000000001</v>
      </c>
      <c r="I14" s="111">
        <f>ROUND(ROUND(ROUND(H14*$C$8,4)*($H$8),2)*(MAX($H$9,1)),2)</f>
        <v>2274926.29</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33.5</v>
      </c>
      <c r="D15" s="143">
        <v>42.27</v>
      </c>
      <c r="E15" s="116">
        <f t="shared" ref="E15:E29" si="1">IF(D$30=0,C15*2,C15+D15)</f>
        <v>75.77000000000001</v>
      </c>
      <c r="F15" s="558">
        <f>'1461'!F15:G15</f>
        <v>1.1220000000000001</v>
      </c>
      <c r="G15" s="558"/>
      <c r="H15" s="80">
        <f t="shared" ref="H15:H29" si="2">ROUND(E15*F15,4)</f>
        <v>85.013900000000007</v>
      </c>
      <c r="I15" s="101">
        <f t="shared" ref="I15:I29" si="3">ROUND(ROUND(ROUND(H15*$C$8,4)*($H$8),2)*(MAX($H$9,1)),2)</f>
        <v>456261.62</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224.82</v>
      </c>
      <c r="D16" s="143">
        <v>225.24</v>
      </c>
      <c r="E16" s="116">
        <f t="shared" si="1"/>
        <v>450.06</v>
      </c>
      <c r="F16" s="558">
        <f>'1461'!F16:G16</f>
        <v>1</v>
      </c>
      <c r="G16" s="558"/>
      <c r="H16" s="80">
        <f t="shared" si="2"/>
        <v>450.06</v>
      </c>
      <c r="I16" s="101">
        <f t="shared" si="3"/>
        <v>2415429.7400000002</v>
      </c>
      <c r="N16" s="571" t="s">
        <v>22</v>
      </c>
      <c r="O16" s="571"/>
      <c r="P16" s="572">
        <f t="shared" si="0"/>
        <v>0</v>
      </c>
      <c r="Q16" s="572"/>
      <c r="R16" s="573">
        <v>1</v>
      </c>
      <c r="S16" s="573"/>
      <c r="T16" s="95">
        <f t="shared" si="4"/>
        <v>0</v>
      </c>
      <c r="U16" s="475">
        <f t="shared" si="5"/>
        <v>0</v>
      </c>
    </row>
    <row r="17" spans="1:21" x14ac:dyDescent="0.25">
      <c r="A17" s="520" t="s">
        <v>23</v>
      </c>
      <c r="B17" s="520"/>
      <c r="C17" s="143">
        <v>57</v>
      </c>
      <c r="D17" s="143">
        <v>55.33</v>
      </c>
      <c r="E17" s="116">
        <f t="shared" si="1"/>
        <v>112.33</v>
      </c>
      <c r="F17" s="558">
        <f>'1461'!F17:G17</f>
        <v>1</v>
      </c>
      <c r="G17" s="558"/>
      <c r="H17" s="80">
        <f t="shared" si="2"/>
        <v>112.33</v>
      </c>
      <c r="I17" s="101">
        <f t="shared" si="3"/>
        <v>602864.56000000006</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13.71</v>
      </c>
      <c r="D26" s="143">
        <v>12.9</v>
      </c>
      <c r="E26" s="116">
        <f t="shared" si="1"/>
        <v>26.61</v>
      </c>
      <c r="F26" s="558">
        <f>'1461'!F26:G26</f>
        <v>1.208</v>
      </c>
      <c r="G26" s="558"/>
      <c r="H26" s="80">
        <f t="shared" si="2"/>
        <v>32.1449</v>
      </c>
      <c r="I26" s="101">
        <f t="shared" si="3"/>
        <v>172518.66</v>
      </c>
      <c r="N26" s="571" t="s">
        <v>85</v>
      </c>
      <c r="O26" s="571"/>
      <c r="P26" s="572">
        <f t="shared" si="0"/>
        <v>0</v>
      </c>
      <c r="Q26" s="572"/>
      <c r="R26" s="573">
        <v>1</v>
      </c>
      <c r="S26" s="573"/>
      <c r="T26" s="95">
        <f t="shared" si="4"/>
        <v>0</v>
      </c>
      <c r="U26" s="475">
        <f t="shared" si="5"/>
        <v>0</v>
      </c>
    </row>
    <row r="27" spans="1:21" x14ac:dyDescent="0.25">
      <c r="A27" s="520" t="s">
        <v>86</v>
      </c>
      <c r="B27" s="520"/>
      <c r="C27" s="143">
        <v>1.98</v>
      </c>
      <c r="D27" s="143">
        <v>1.98</v>
      </c>
      <c r="E27" s="116">
        <f t="shared" si="1"/>
        <v>3.96</v>
      </c>
      <c r="F27" s="558">
        <f>'1461'!F27:G27</f>
        <v>1.208</v>
      </c>
      <c r="G27" s="558"/>
      <c r="H27" s="80">
        <f t="shared" si="2"/>
        <v>4.7836999999999996</v>
      </c>
      <c r="I27" s="101">
        <f t="shared" si="3"/>
        <v>25673.67</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522.80000000000007</v>
      </c>
      <c r="D30" s="94">
        <f>SUM(D14:D29)</f>
        <v>523.72</v>
      </c>
      <c r="E30" s="94">
        <f>SUM(E14:E29)</f>
        <v>1046.52</v>
      </c>
      <c r="F30" s="539"/>
      <c r="G30" s="539"/>
      <c r="H30" s="99">
        <f>SUM(H14:H29)</f>
        <v>1108.2129</v>
      </c>
      <c r="I30" s="94">
        <f>SUM(I14:I29)</f>
        <v>5947674.540000001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1108.2129</v>
      </c>
      <c r="F46" s="34"/>
      <c r="G46" s="106"/>
      <c r="H46" s="107" t="s">
        <v>98</v>
      </c>
      <c r="I46" s="94">
        <f>SUM(I44,I30)</f>
        <v>5947674.540000001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5947674.540000001</v>
      </c>
      <c r="G51" s="109" t="s">
        <v>6</v>
      </c>
      <c r="H51" s="403">
        <v>4.5199999999999997E-2</v>
      </c>
      <c r="I51" s="101">
        <f>ROUND(F51*H51,2)</f>
        <v>268834.89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5947674.540000001</v>
      </c>
      <c r="G52" s="109" t="s">
        <v>6</v>
      </c>
      <c r="H52" s="403">
        <v>1.41E-2</v>
      </c>
      <c r="I52" s="101">
        <f>ROUND(F52*H52,2)</f>
        <v>83862.210000000006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352697.10000000003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31.5</v>
      </c>
      <c r="D57" s="143">
        <v>39.85</v>
      </c>
      <c r="E57" s="116">
        <f t="shared" ref="E57:E65" si="10">IF(D$72=0,C57*2,C57+D57)</f>
        <v>71.349999999999994</v>
      </c>
      <c r="F57" s="445" t="s">
        <v>439</v>
      </c>
      <c r="G57" s="445">
        <v>251</v>
      </c>
      <c r="H57" s="459">
        <f>'1461'!H57</f>
        <v>1047</v>
      </c>
      <c r="I57" s="101">
        <f>ROUND(E57*H57,2)</f>
        <v>74703.45</v>
      </c>
      <c r="N57" s="621" t="s">
        <v>447</v>
      </c>
      <c r="O57" s="621"/>
      <c r="P57" s="624"/>
      <c r="Q57" s="624"/>
      <c r="R57" s="451" t="s">
        <v>439</v>
      </c>
      <c r="S57" s="451">
        <v>251</v>
      </c>
      <c r="T57" s="462">
        <f>H57</f>
        <v>1047</v>
      </c>
      <c r="U57" s="476">
        <f>ROUND(P57*T57,2)</f>
        <v>0</v>
      </c>
      <c r="V57" s="426"/>
    </row>
    <row r="58" spans="1:22" x14ac:dyDescent="0.25">
      <c r="A58" s="536"/>
      <c r="B58" s="536"/>
      <c r="C58" s="143">
        <v>2</v>
      </c>
      <c r="D58" s="143">
        <v>2.42</v>
      </c>
      <c r="E58" s="116">
        <f t="shared" si="10"/>
        <v>4.42</v>
      </c>
      <c r="F58" s="445" t="s">
        <v>439</v>
      </c>
      <c r="G58" s="445">
        <v>252</v>
      </c>
      <c r="H58" s="459">
        <f>'1461'!H58</f>
        <v>3380</v>
      </c>
      <c r="I58" s="101">
        <f t="shared" ref="I58:I65" si="11">ROUND(E58*H58,2)</f>
        <v>14939.6</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55</v>
      </c>
      <c r="D60" s="143">
        <v>53.43</v>
      </c>
      <c r="E60" s="116">
        <f t="shared" si="10"/>
        <v>108.43</v>
      </c>
      <c r="F60" s="446" t="s">
        <v>13</v>
      </c>
      <c r="G60" s="445">
        <v>251</v>
      </c>
      <c r="H60" s="459">
        <f>'1461'!H60</f>
        <v>1173</v>
      </c>
      <c r="I60" s="101">
        <f t="shared" si="11"/>
        <v>127188.39</v>
      </c>
      <c r="N60" s="622"/>
      <c r="O60" s="622"/>
      <c r="P60" s="625"/>
      <c r="Q60" s="625"/>
      <c r="R60" s="40" t="s">
        <v>13</v>
      </c>
      <c r="S60" s="451">
        <v>251</v>
      </c>
      <c r="T60" s="462">
        <f t="shared" si="12"/>
        <v>1173</v>
      </c>
      <c r="U60" s="476">
        <f t="shared" si="13"/>
        <v>0</v>
      </c>
      <c r="V60" s="426"/>
    </row>
    <row r="61" spans="1:22" x14ac:dyDescent="0.25">
      <c r="A61" s="536"/>
      <c r="B61" s="536"/>
      <c r="C61" s="143">
        <v>2</v>
      </c>
      <c r="D61" s="143">
        <v>1.9</v>
      </c>
      <c r="E61" s="116">
        <f t="shared" si="10"/>
        <v>3.9</v>
      </c>
      <c r="F61" s="446" t="s">
        <v>13</v>
      </c>
      <c r="G61" s="445">
        <v>252</v>
      </c>
      <c r="H61" s="459">
        <f>'1461'!H61</f>
        <v>3506</v>
      </c>
      <c r="I61" s="101">
        <f t="shared" si="11"/>
        <v>13673.4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90.5</v>
      </c>
      <c r="D66" s="97">
        <f>SUM(D57:D65)</f>
        <v>97.600000000000009</v>
      </c>
      <c r="E66" s="97">
        <f>SUM(E57:E65)</f>
        <v>188.1</v>
      </c>
      <c r="F66" s="523" t="s">
        <v>448</v>
      </c>
      <c r="G66" s="523"/>
      <c r="H66" s="523"/>
      <c r="I66" s="97">
        <f>SUM(I57:I65)</f>
        <v>230504.84</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1046.52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5.1479999999999998E-3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1108.2129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4.8700000000000002E-3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1046.52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5.5989999999999998E-3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1046.52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5.1529999999999996E-3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1046.52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5.6059999999999999E-3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5.1529999999999996E-3</v>
      </c>
      <c r="I85" s="101">
        <f>ROUND(F85*H85,2)</f>
        <v>230161.51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5.1479999999999998E-3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5.6059999999999999E-3</v>
      </c>
      <c r="I90" s="101">
        <f>ROUND(F90*H90,2)</f>
        <v>90632.49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5.5989999999999998E-3</v>
      </c>
      <c r="I92" s="101">
        <f t="shared" ref="I92:I96" si="14">ROUND(F92*H92,2)</f>
        <v>56214.51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4.8700000000000002E-3</v>
      </c>
      <c r="I94" s="101">
        <f t="shared" si="14"/>
        <v>1163918.67</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4.8700000000000002E-3</v>
      </c>
      <c r="I96" s="101">
        <f t="shared" si="14"/>
        <v>-7792.23</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541.03920000000005</v>
      </c>
      <c r="D101" s="518"/>
      <c r="E101" s="46">
        <f>H8</f>
        <v>1.0442</v>
      </c>
      <c r="F101" s="304">
        <f>'1461'!F101</f>
        <v>947.59</v>
      </c>
      <c r="G101" s="39" t="s">
        <v>12</v>
      </c>
      <c r="H101" s="101">
        <f>ROUND(C101*E101*F101,2)</f>
        <v>535343.93999999994</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567.17369999999994</v>
      </c>
      <c r="D102" s="518"/>
      <c r="E102" s="46">
        <f>H8</f>
        <v>1.0442</v>
      </c>
      <c r="F102" s="304">
        <f>'1461'!F102</f>
        <v>904.74</v>
      </c>
      <c r="G102" s="39" t="s">
        <v>12</v>
      </c>
      <c r="H102" s="101">
        <f>ROUND(C102*E102*F102,2)</f>
        <v>535825.73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1108.2129</v>
      </c>
      <c r="D104" s="531"/>
      <c r="E104" s="123"/>
      <c r="F104" s="123"/>
      <c r="G104" s="123"/>
      <c r="H104" s="124" t="s">
        <v>100</v>
      </c>
      <c r="I104" s="101">
        <f>IF(A1=75,0,H103+H102+H101)</f>
        <v>1071169.67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71</v>
      </c>
      <c r="D110" s="143">
        <v>78</v>
      </c>
      <c r="E110" s="116">
        <f>(C110+D110)/2</f>
        <v>74.5</v>
      </c>
      <c r="F110" s="126" t="s">
        <v>30</v>
      </c>
      <c r="G110" s="305">
        <f>'1461'!G110</f>
        <v>565</v>
      </c>
      <c r="I110" s="101">
        <f>ROUND(G110*E110,2)</f>
        <v>42092.5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8824576.5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8471879.4000000004</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8471879.4000000004</v>
      </c>
      <c r="I132" s="94">
        <f>ROUND(IF(E30=0,0,IF(E30&gt;250,-(((250/E30)*H132)*IF(G132="H",0.02,0.05)),IF(G132="H",-0.02*H132,-0.05*H132))),2)</f>
        <v>-40476.43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8784100.0700000003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-1499797.14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7284302.9300000006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728430.29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128961.16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117</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51.08</v>
      </c>
      <c r="D14" s="141">
        <v>49.85</v>
      </c>
      <c r="E14" s="187">
        <f>IF(D$30=0,C14*2,C14+D14)</f>
        <v>100.93</v>
      </c>
      <c r="F14" s="561">
        <f>'1461'!F14:G14</f>
        <v>1.1220000000000001</v>
      </c>
      <c r="G14" s="561"/>
      <c r="H14" s="145">
        <f>ROUND(E14*F14,4)</f>
        <v>113.2435</v>
      </c>
      <c r="I14" s="111">
        <f>ROUND(ROUND(ROUND(H14*$C$8,4)*($H$8),2)*(MAX($H$9,1)),2)</f>
        <v>607767.23</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7</v>
      </c>
      <c r="D15" s="143">
        <v>7.91</v>
      </c>
      <c r="E15" s="116">
        <f t="shared" ref="E15:E29" si="1">IF(D$30=0,C15*2,C15+D15)</f>
        <v>14.91</v>
      </c>
      <c r="F15" s="558">
        <f>'1461'!F15:G15</f>
        <v>1.1220000000000001</v>
      </c>
      <c r="G15" s="558"/>
      <c r="H15" s="80">
        <f t="shared" ref="H15:H29" si="2">ROUND(E15*F15,4)</f>
        <v>16.728999999999999</v>
      </c>
      <c r="I15" s="101">
        <f t="shared" ref="I15:I29" si="3">ROUND(ROUND(ROUND(H15*$C$8,4)*($H$8),2)*(MAX($H$9,1)),2)</f>
        <v>89782.97</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60</v>
      </c>
      <c r="D16" s="143">
        <v>60.58</v>
      </c>
      <c r="E16" s="116">
        <f t="shared" si="1"/>
        <v>120.58</v>
      </c>
      <c r="F16" s="558">
        <f>'1461'!F16:G16</f>
        <v>1</v>
      </c>
      <c r="G16" s="558"/>
      <c r="H16" s="80">
        <f t="shared" si="2"/>
        <v>120.58</v>
      </c>
      <c r="I16" s="101">
        <f t="shared" si="3"/>
        <v>647141.53</v>
      </c>
      <c r="N16" s="571" t="s">
        <v>22</v>
      </c>
      <c r="O16" s="571"/>
      <c r="P16" s="572">
        <f t="shared" si="0"/>
        <v>0</v>
      </c>
      <c r="Q16" s="572"/>
      <c r="R16" s="573">
        <v>1</v>
      </c>
      <c r="S16" s="573"/>
      <c r="T16" s="95">
        <f t="shared" si="4"/>
        <v>0</v>
      </c>
      <c r="U16" s="475">
        <f t="shared" si="5"/>
        <v>0</v>
      </c>
    </row>
    <row r="17" spans="1:21" x14ac:dyDescent="0.25">
      <c r="A17" s="520" t="s">
        <v>23</v>
      </c>
      <c r="B17" s="520"/>
      <c r="C17" s="143">
        <v>12</v>
      </c>
      <c r="D17" s="143">
        <v>11</v>
      </c>
      <c r="E17" s="116">
        <f t="shared" si="1"/>
        <v>23</v>
      </c>
      <c r="F17" s="558">
        <f>'1461'!F17:G17</f>
        <v>1</v>
      </c>
      <c r="G17" s="558"/>
      <c r="H17" s="80">
        <f t="shared" si="2"/>
        <v>23</v>
      </c>
      <c r="I17" s="101">
        <f t="shared" si="3"/>
        <v>123438.84</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0.92</v>
      </c>
      <c r="D26" s="143">
        <v>0.92</v>
      </c>
      <c r="E26" s="116">
        <f t="shared" si="1"/>
        <v>1.84</v>
      </c>
      <c r="F26" s="558">
        <f>'1461'!F26:G26</f>
        <v>1.208</v>
      </c>
      <c r="G26" s="558"/>
      <c r="H26" s="80">
        <f t="shared" si="2"/>
        <v>2.2227000000000001</v>
      </c>
      <c r="I26" s="101">
        <f t="shared" si="3"/>
        <v>11929.02</v>
      </c>
      <c r="N26" s="571" t="s">
        <v>85</v>
      </c>
      <c r="O26" s="571"/>
      <c r="P26" s="572">
        <f t="shared" si="0"/>
        <v>0</v>
      </c>
      <c r="Q26" s="572"/>
      <c r="R26" s="573">
        <v>1</v>
      </c>
      <c r="S26" s="573"/>
      <c r="T26" s="95">
        <f t="shared" si="4"/>
        <v>0</v>
      </c>
      <c r="U26" s="475">
        <f t="shared" si="5"/>
        <v>0</v>
      </c>
    </row>
    <row r="27" spans="1:21" x14ac:dyDescent="0.25">
      <c r="A27" s="520" t="s">
        <v>86</v>
      </c>
      <c r="B27" s="520"/>
      <c r="C27" s="143">
        <v>2.5</v>
      </c>
      <c r="D27" s="143">
        <v>0.42</v>
      </c>
      <c r="E27" s="116">
        <f t="shared" si="1"/>
        <v>2.92</v>
      </c>
      <c r="F27" s="558">
        <f>'1461'!F27:G27</f>
        <v>1.208</v>
      </c>
      <c r="G27" s="558"/>
      <c r="H27" s="80">
        <f t="shared" si="2"/>
        <v>3.5274000000000001</v>
      </c>
      <c r="I27" s="101">
        <f t="shared" si="3"/>
        <v>18931.22</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133.49999999999997</v>
      </c>
      <c r="D30" s="94">
        <f>SUM(D14:D29)</f>
        <v>130.67999999999998</v>
      </c>
      <c r="E30" s="94">
        <f>SUM(E14:E29)</f>
        <v>264.18</v>
      </c>
      <c r="F30" s="539"/>
      <c r="G30" s="539"/>
      <c r="H30" s="99">
        <f>SUM(H14:H29)</f>
        <v>279.30259999999998</v>
      </c>
      <c r="I30" s="94">
        <f>SUM(I14:I29)</f>
        <v>1498990.81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279.30259999999998</v>
      </c>
      <c r="F46" s="34"/>
      <c r="G46" s="106"/>
      <c r="H46" s="107" t="s">
        <v>98</v>
      </c>
      <c r="I46" s="94">
        <f>SUM(I44,I30)</f>
        <v>1498990.81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1498990.81</v>
      </c>
      <c r="G51" s="109" t="s">
        <v>6</v>
      </c>
      <c r="H51" s="403">
        <v>4.5199999999999997E-2</v>
      </c>
      <c r="I51" s="101">
        <f>ROUND(F51*H51,2)</f>
        <v>67754.38</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1498990.81</v>
      </c>
      <c r="G52" s="109" t="s">
        <v>6</v>
      </c>
      <c r="H52" s="403">
        <v>1.41E-2</v>
      </c>
      <c r="I52" s="101">
        <f>ROUND(F52*H52,2)</f>
        <v>21135.77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88890.150000000009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7</v>
      </c>
      <c r="D57" s="143">
        <v>7.91</v>
      </c>
      <c r="E57" s="116">
        <f t="shared" ref="E57:E65" si="10">IF(D$72=0,C57*2,C57+D57)</f>
        <v>14.91</v>
      </c>
      <c r="F57" s="445" t="s">
        <v>439</v>
      </c>
      <c r="G57" s="445">
        <v>251</v>
      </c>
      <c r="H57" s="459">
        <f>'1461'!H57</f>
        <v>1047</v>
      </c>
      <c r="I57" s="101">
        <f>ROUND(E57*H57,2)</f>
        <v>15610.77</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12</v>
      </c>
      <c r="D60" s="143">
        <v>11</v>
      </c>
      <c r="E60" s="116">
        <f t="shared" si="10"/>
        <v>23</v>
      </c>
      <c r="F60" s="446" t="s">
        <v>13</v>
      </c>
      <c r="G60" s="445">
        <v>251</v>
      </c>
      <c r="H60" s="459">
        <f>'1461'!H60</f>
        <v>1173</v>
      </c>
      <c r="I60" s="101">
        <f t="shared" si="11"/>
        <v>26979</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19</v>
      </c>
      <c r="D66" s="97">
        <f>SUM(D57:D65)</f>
        <v>18.91</v>
      </c>
      <c r="E66" s="97">
        <f>SUM(E57:E65)</f>
        <v>37.909999999999997</v>
      </c>
      <c r="F66" s="523" t="s">
        <v>448</v>
      </c>
      <c r="G66" s="523"/>
      <c r="H66" s="523"/>
      <c r="I66" s="97">
        <f>SUM(I57:I65)</f>
        <v>42589.770000000004</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264.18</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1.299E-3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279.30259999999998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1.227E-3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264.18</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1.413E-3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264.18</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1.3010000000000001E-3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264.18</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1.415E-3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1.3010000000000001E-3</v>
      </c>
      <c r="I85" s="101">
        <f>ROUND(F85*H85,2)</f>
        <v>58109.86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1.299E-3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1.415E-3</v>
      </c>
      <c r="I90" s="101">
        <f>ROUND(F90*H90,2)</f>
        <v>22876.38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1.413E-3</v>
      </c>
      <c r="I92" s="101">
        <f t="shared" ref="I92:I96" si="14">ROUND(F92*H92,2)</f>
        <v>14186.66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1.227E-3</v>
      </c>
      <c r="I94" s="101">
        <f t="shared" si="14"/>
        <v>293250.15000000002</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1.227E-3</v>
      </c>
      <c r="I96" s="101">
        <f t="shared" si="14"/>
        <v>-1963.26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132.1952</v>
      </c>
      <c r="D101" s="518"/>
      <c r="E101" s="46">
        <f>H8</f>
        <v>1.0442</v>
      </c>
      <c r="F101" s="304">
        <f>'1461'!F101</f>
        <v>947.59</v>
      </c>
      <c r="G101" s="39" t="s">
        <v>12</v>
      </c>
      <c r="H101" s="101">
        <f>ROUND(C101*E101*F101,2)</f>
        <v>130803.64</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147.10739999999998</v>
      </c>
      <c r="D102" s="518"/>
      <c r="E102" s="46">
        <f>H8</f>
        <v>1.0442</v>
      </c>
      <c r="F102" s="304">
        <f>'1461'!F102</f>
        <v>904.74</v>
      </c>
      <c r="G102" s="39" t="s">
        <v>12</v>
      </c>
      <c r="H102" s="101">
        <f>ROUND(C102*E102*F102,2)</f>
        <v>138976.70000000001</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279.30259999999998</v>
      </c>
      <c r="D104" s="531"/>
      <c r="E104" s="123"/>
      <c r="F104" s="123"/>
      <c r="G104" s="123"/>
      <c r="H104" s="124" t="s">
        <v>100</v>
      </c>
      <c r="I104" s="101">
        <f>IF(A1=75,0,H103+H102+H101)</f>
        <v>269780.34000000003</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182</v>
      </c>
      <c r="D110" s="143">
        <v>253</v>
      </c>
      <c r="E110" s="116">
        <f>(C110+D110)/2</f>
        <v>217.5</v>
      </c>
      <c r="F110" s="126" t="s">
        <v>30</v>
      </c>
      <c r="G110" s="305">
        <f>'1461'!G110</f>
        <v>565</v>
      </c>
      <c r="I110" s="101">
        <f>ROUND(G110*E110,2)</f>
        <v>122887.5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2320708.21</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2231818.06</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2231818.06</v>
      </c>
      <c r="I132" s="94">
        <f>ROUND(IF(E30=0,0,IF(E30&gt;250,-(((250/E30)*H132)*IF(G132="H",0.02,0.05)),IF(G132="H",-0.02*H132,-0.05*H132))),2)</f>
        <v>-105601.2</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2215107.0099999998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-377598.46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1837508.5499999998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183750.86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5989.7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1.5</v>
      </c>
      <c r="D17" s="143">
        <v>1</v>
      </c>
      <c r="E17" s="116">
        <f t="shared" si="1"/>
        <v>2.5</v>
      </c>
      <c r="F17" s="558">
        <f>'1461'!F17:G17</f>
        <v>1</v>
      </c>
      <c r="G17" s="558"/>
      <c r="H17" s="80">
        <f t="shared" si="2"/>
        <v>2.5</v>
      </c>
      <c r="I17" s="101">
        <f t="shared" si="3"/>
        <v>13417.27</v>
      </c>
      <c r="J17" s="65" t="str">
        <f>IF(ROUND(E17,2)=ROUND(SUM(E60:E62),2)," ","CHECK 4-8 LINES BELOW")</f>
        <v xml:space="preserve"> </v>
      </c>
      <c r="N17" s="571" t="s">
        <v>23</v>
      </c>
      <c r="O17" s="571"/>
      <c r="P17" s="572">
        <f t="shared" si="0"/>
        <v>2.5</v>
      </c>
      <c r="Q17" s="572"/>
      <c r="R17" s="573">
        <v>1</v>
      </c>
      <c r="S17" s="573"/>
      <c r="T17" s="95">
        <f t="shared" si="4"/>
        <v>2.5</v>
      </c>
      <c r="U17" s="475">
        <f t="shared" si="5"/>
        <v>13417.27</v>
      </c>
    </row>
    <row r="18" spans="1:21" x14ac:dyDescent="0.25">
      <c r="A18" s="520" t="s">
        <v>24</v>
      </c>
      <c r="B18" s="520"/>
      <c r="C18" s="143">
        <v>0</v>
      </c>
      <c r="D18" s="143"/>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15</v>
      </c>
      <c r="D19" s="143">
        <v>14.96</v>
      </c>
      <c r="E19" s="116">
        <f t="shared" si="1"/>
        <v>29.96</v>
      </c>
      <c r="F19" s="558">
        <f>'1461'!F19:G19</f>
        <v>0.98799999999999999</v>
      </c>
      <c r="G19" s="558"/>
      <c r="H19" s="80">
        <f t="shared" si="2"/>
        <v>29.6005</v>
      </c>
      <c r="I19" s="101">
        <f t="shared" si="3"/>
        <v>158863.1</v>
      </c>
      <c r="J19" s="65" t="str">
        <f>IF(ROUND(E19,2)=ROUND(SUM(E63:E65),2)," ","CHECK 4-8 LINES BELOW")</f>
        <v xml:space="preserve"> </v>
      </c>
      <c r="N19" s="571" t="s">
        <v>25</v>
      </c>
      <c r="O19" s="571"/>
      <c r="P19" s="572">
        <f t="shared" si="0"/>
        <v>29.96</v>
      </c>
      <c r="Q19" s="572"/>
      <c r="R19" s="573">
        <v>1</v>
      </c>
      <c r="S19" s="573"/>
      <c r="T19" s="95">
        <f t="shared" si="4"/>
        <v>29.96</v>
      </c>
      <c r="U19" s="474">
        <f t="shared" si="5"/>
        <v>160792.51</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16.5</v>
      </c>
      <c r="D30" s="94">
        <f>SUM(D14:D29)</f>
        <v>15.96</v>
      </c>
      <c r="E30" s="94">
        <f>SUM(E14:E29)</f>
        <v>32.46</v>
      </c>
      <c r="F30" s="539"/>
      <c r="G30" s="539"/>
      <c r="H30" s="99">
        <f>SUM(H14:H29)</f>
        <v>32.100499999999997</v>
      </c>
      <c r="I30" s="94">
        <f>SUM(I14:I29)</f>
        <v>172280.37</v>
      </c>
      <c r="N30" s="590" t="s">
        <v>5</v>
      </c>
      <c r="O30" s="590"/>
      <c r="P30" s="591">
        <f>SUM(P14:P29)</f>
        <v>32.46</v>
      </c>
      <c r="Q30" s="591"/>
      <c r="R30" s="592"/>
      <c r="S30" s="592"/>
      <c r="T30" s="100">
        <f>SUM(T14:T29)</f>
        <v>32.46</v>
      </c>
      <c r="U30" s="475">
        <f>SUM(U14:U29)</f>
        <v>174209.78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32.100499999999997</v>
      </c>
      <c r="F46" s="34"/>
      <c r="G46" s="106"/>
      <c r="H46" s="107" t="s">
        <v>98</v>
      </c>
      <c r="I46" s="94">
        <f>SUM(I44,I30)</f>
        <v>172280.37</v>
      </c>
      <c r="N46" s="616" t="s">
        <v>44</v>
      </c>
      <c r="O46" s="616"/>
      <c r="P46" s="616"/>
      <c r="Q46" s="616"/>
      <c r="R46" s="35">
        <f>R44+T30</f>
        <v>32.46</v>
      </c>
      <c r="S46" s="592" t="s">
        <v>42</v>
      </c>
      <c r="T46" s="592"/>
      <c r="U46" s="108">
        <f>SUM(U44,U30)</f>
        <v>174209.78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172280.37</v>
      </c>
      <c r="G51" s="109" t="s">
        <v>6</v>
      </c>
      <c r="H51" s="403">
        <v>4.5199999999999997E-2</v>
      </c>
      <c r="I51" s="101">
        <f>ROUND(F51*H51,2)</f>
        <v>7787.07</v>
      </c>
      <c r="N51" s="408"/>
      <c r="O51" s="409" t="s">
        <v>398</v>
      </c>
      <c r="P51" s="28"/>
      <c r="Q51" s="44" t="s">
        <v>399</v>
      </c>
      <c r="R51" s="410">
        <f>U30</f>
        <v>174209.78</v>
      </c>
      <c r="S51" s="411" t="s">
        <v>6</v>
      </c>
      <c r="T51" s="412">
        <v>4.5199999999999997E-2</v>
      </c>
      <c r="U51" s="404">
        <f>ROUND(R51*T51,2)</f>
        <v>7874.28</v>
      </c>
    </row>
    <row r="52" spans="1:22" x14ac:dyDescent="0.25">
      <c r="A52" s="26"/>
      <c r="B52" s="81" t="s">
        <v>400</v>
      </c>
      <c r="C52" s="26"/>
      <c r="D52" s="26"/>
      <c r="E52" s="43" t="s">
        <v>399</v>
      </c>
      <c r="F52" s="402">
        <f>I46</f>
        <v>172280.37</v>
      </c>
      <c r="G52" s="109" t="s">
        <v>6</v>
      </c>
      <c r="H52" s="403">
        <v>1.41E-2</v>
      </c>
      <c r="I52" s="101">
        <f>ROUND(F52*H52,2)</f>
        <v>2429.15</v>
      </c>
      <c r="N52" s="28"/>
      <c r="O52" s="385" t="s">
        <v>400</v>
      </c>
      <c r="P52" s="28"/>
      <c r="Q52" s="44" t="s">
        <v>399</v>
      </c>
      <c r="R52" s="410">
        <f>U30</f>
        <v>174209.78</v>
      </c>
      <c r="S52" s="411" t="s">
        <v>6</v>
      </c>
      <c r="T52" s="412">
        <v>1.41E-2</v>
      </c>
      <c r="U52" s="413">
        <f>ROUND(R52*T52,2)</f>
        <v>2456.36</v>
      </c>
    </row>
    <row r="53" spans="1:22" x14ac:dyDescent="0.25">
      <c r="A53" s="26"/>
      <c r="B53" s="81" t="s">
        <v>401</v>
      </c>
      <c r="C53" s="26"/>
      <c r="D53" s="26"/>
      <c r="E53" s="43"/>
      <c r="F53" s="402"/>
      <c r="G53" s="109"/>
      <c r="H53" s="403"/>
      <c r="I53" s="97">
        <f>SUM(I51:I52)</f>
        <v>10216.219999999999</v>
      </c>
      <c r="N53" s="28"/>
      <c r="O53" s="385" t="s">
        <v>401</v>
      </c>
      <c r="P53" s="28"/>
      <c r="Q53" s="44"/>
      <c r="R53" s="410"/>
      <c r="S53" s="411"/>
      <c r="T53" s="412"/>
      <c r="U53" s="404">
        <f>SUM(U51:U52)</f>
        <v>10330.64</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1.5</v>
      </c>
      <c r="D62" s="143">
        <v>1</v>
      </c>
      <c r="E62" s="116">
        <f t="shared" si="10"/>
        <v>2.5</v>
      </c>
      <c r="F62" s="446" t="s">
        <v>13</v>
      </c>
      <c r="G62" s="445">
        <v>253</v>
      </c>
      <c r="H62" s="459">
        <f>'1461'!H62</f>
        <v>7023</v>
      </c>
      <c r="I62" s="101">
        <f t="shared" si="11"/>
        <v>17557.5</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1.5</v>
      </c>
      <c r="D64" s="143">
        <v>0.91</v>
      </c>
      <c r="E64" s="116">
        <f t="shared" si="10"/>
        <v>2.41</v>
      </c>
      <c r="F64" s="446" t="s">
        <v>14</v>
      </c>
      <c r="G64" s="445">
        <v>252</v>
      </c>
      <c r="H64" s="459">
        <f>'1461'!H64</f>
        <v>3168</v>
      </c>
      <c r="I64" s="101">
        <f t="shared" si="11"/>
        <v>7634.88</v>
      </c>
      <c r="N64" s="622"/>
      <c r="O64" s="622"/>
      <c r="P64" s="625"/>
      <c r="Q64" s="625"/>
      <c r="R64" s="40" t="s">
        <v>14</v>
      </c>
      <c r="S64" s="451">
        <v>252</v>
      </c>
      <c r="T64" s="462">
        <f t="shared" si="12"/>
        <v>3168</v>
      </c>
      <c r="U64" s="476">
        <f t="shared" si="13"/>
        <v>0</v>
      </c>
      <c r="V64" s="426"/>
    </row>
    <row r="65" spans="1:22" ht="16.5" thickBot="1" x14ac:dyDescent="0.3">
      <c r="A65" s="536"/>
      <c r="B65" s="536"/>
      <c r="C65" s="143">
        <v>13.5</v>
      </c>
      <c r="D65" s="143">
        <v>14.05</v>
      </c>
      <c r="E65" s="116">
        <f t="shared" si="10"/>
        <v>27.55</v>
      </c>
      <c r="F65" s="446" t="s">
        <v>14</v>
      </c>
      <c r="G65" s="445">
        <v>253</v>
      </c>
      <c r="H65" s="459">
        <f>'1461'!H65</f>
        <v>6685</v>
      </c>
      <c r="I65" s="101">
        <f t="shared" si="11"/>
        <v>184171.75</v>
      </c>
      <c r="N65" s="622"/>
      <c r="O65" s="622"/>
      <c r="P65" s="626"/>
      <c r="Q65" s="626"/>
      <c r="R65" s="40" t="s">
        <v>14</v>
      </c>
      <c r="S65" s="451">
        <v>253</v>
      </c>
      <c r="T65" s="462">
        <f t="shared" si="12"/>
        <v>6685</v>
      </c>
      <c r="U65" s="477">
        <f t="shared" si="13"/>
        <v>0</v>
      </c>
      <c r="V65" s="426"/>
    </row>
    <row r="66" spans="1:22" ht="16.5" thickBot="1" x14ac:dyDescent="0.3">
      <c r="A66" s="442"/>
      <c r="C66" s="97">
        <f>SUM(C57:C65)</f>
        <v>16.5</v>
      </c>
      <c r="D66" s="97">
        <f>SUM(D57:D65)</f>
        <v>15.96</v>
      </c>
      <c r="E66" s="97">
        <f>SUM(E57:E65)</f>
        <v>32.46</v>
      </c>
      <c r="F66" s="523" t="s">
        <v>448</v>
      </c>
      <c r="G66" s="523"/>
      <c r="H66" s="523"/>
      <c r="I66" s="97">
        <f>SUM(I57:I65)</f>
        <v>209364.13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32.46</v>
      </c>
      <c r="D69" s="533" t="s">
        <v>413</v>
      </c>
      <c r="E69" s="533"/>
      <c r="F69" s="533"/>
      <c r="G69" s="533"/>
      <c r="H69" s="301">
        <f>'1461'!H69</f>
        <v>203305.63</v>
      </c>
      <c r="I69" s="113"/>
      <c r="N69" s="594" t="s">
        <v>406</v>
      </c>
      <c r="O69" s="571"/>
      <c r="P69" s="41">
        <f>P30</f>
        <v>32.46</v>
      </c>
      <c r="Q69" s="599" t="s">
        <v>408</v>
      </c>
      <c r="R69" s="600"/>
      <c r="S69" s="600"/>
      <c r="T69" s="598">
        <f>H69</f>
        <v>203305.63</v>
      </c>
      <c r="U69" s="598"/>
    </row>
    <row r="70" spans="1:22" x14ac:dyDescent="0.25">
      <c r="B70" s="69"/>
      <c r="G70" s="42" t="s">
        <v>12</v>
      </c>
      <c r="H70" s="114">
        <f>ROUND(C69/H69,6)</f>
        <v>1.6000000000000001E-4</v>
      </c>
      <c r="I70" s="115"/>
      <c r="N70" s="571"/>
      <c r="O70" s="571"/>
      <c r="P70" s="571"/>
      <c r="Q70" s="571"/>
      <c r="R70" s="571"/>
      <c r="S70" s="571"/>
      <c r="T70" s="601">
        <f>ROUND(P69/T69,6)</f>
        <v>1.6000000000000001E-4</v>
      </c>
      <c r="U70" s="601"/>
    </row>
    <row r="71" spans="1:22" x14ac:dyDescent="0.25">
      <c r="A71" s="444" t="s">
        <v>451</v>
      </c>
      <c r="N71" s="455" t="s">
        <v>459</v>
      </c>
      <c r="O71" s="51"/>
      <c r="P71" s="51"/>
      <c r="Q71" s="51"/>
      <c r="R71" s="51"/>
      <c r="S71" s="51"/>
      <c r="T71" s="51"/>
      <c r="U71" s="51"/>
    </row>
    <row r="72" spans="1:22" x14ac:dyDescent="0.25">
      <c r="A72" s="519" t="s">
        <v>403</v>
      </c>
      <c r="B72" s="520"/>
      <c r="C72" s="112">
        <f>H30</f>
        <v>32.100499999999997</v>
      </c>
      <c r="D72" s="533" t="s">
        <v>414</v>
      </c>
      <c r="E72" s="533"/>
      <c r="F72" s="533"/>
      <c r="G72" s="533"/>
      <c r="H72" s="302">
        <f>'1461'!H72</f>
        <v>227540.36</v>
      </c>
      <c r="I72" s="116"/>
      <c r="N72" s="594" t="s">
        <v>407</v>
      </c>
      <c r="O72" s="571"/>
      <c r="P72" s="41">
        <f>T30</f>
        <v>32.46</v>
      </c>
      <c r="Q72" s="599" t="s">
        <v>409</v>
      </c>
      <c r="R72" s="600"/>
      <c r="S72" s="600"/>
      <c r="T72" s="598">
        <f>H72</f>
        <v>227540.36</v>
      </c>
      <c r="U72" s="598"/>
    </row>
    <row r="73" spans="1:22" x14ac:dyDescent="0.25">
      <c r="G73" s="42" t="s">
        <v>12</v>
      </c>
      <c r="H73" s="114">
        <f>ROUND(C72/H72,6)</f>
        <v>1.4100000000000001E-4</v>
      </c>
      <c r="I73" s="114"/>
      <c r="N73" s="571"/>
      <c r="O73" s="571"/>
      <c r="P73" s="571"/>
      <c r="Q73" s="571"/>
      <c r="R73" s="571"/>
      <c r="S73" s="571"/>
      <c r="T73" s="601">
        <f>ROUND(P72/T72,6)</f>
        <v>1.4300000000000001E-4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32.46</v>
      </c>
      <c r="D75" s="532" t="s">
        <v>415</v>
      </c>
      <c r="E75" s="532"/>
      <c r="F75" s="532"/>
      <c r="G75" s="532"/>
      <c r="H75" s="301">
        <f>'1461'!H75</f>
        <v>186907.73</v>
      </c>
      <c r="I75" s="113"/>
      <c r="N75" s="594" t="s">
        <v>405</v>
      </c>
      <c r="O75" s="571"/>
      <c r="P75" s="41">
        <f>P30</f>
        <v>32.46</v>
      </c>
      <c r="Q75" s="604" t="s">
        <v>410</v>
      </c>
      <c r="R75" s="605"/>
      <c r="S75" s="605"/>
      <c r="T75" s="598">
        <f>H75</f>
        <v>186907.73</v>
      </c>
      <c r="U75" s="598"/>
    </row>
    <row r="76" spans="1:22" x14ac:dyDescent="0.25">
      <c r="B76" s="69"/>
      <c r="G76" s="42" t="s">
        <v>12</v>
      </c>
      <c r="H76" s="114">
        <f>ROUND(C75/H75,6)</f>
        <v>1.74E-4</v>
      </c>
      <c r="I76" s="115"/>
      <c r="N76" s="571"/>
      <c r="O76" s="571"/>
      <c r="P76" s="571"/>
      <c r="Q76" s="571"/>
      <c r="R76" s="571"/>
      <c r="S76" s="571"/>
      <c r="T76" s="601">
        <f>ROUND(P75/T75,6)</f>
        <v>1.74E-4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32.46</v>
      </c>
      <c r="D78" s="528" t="s">
        <v>416</v>
      </c>
      <c r="E78" s="528"/>
      <c r="F78" s="528"/>
      <c r="G78" s="528"/>
      <c r="H78" s="301">
        <f>'1461'!H78</f>
        <v>203080.55</v>
      </c>
      <c r="I78" s="113"/>
      <c r="N78" s="594" t="s">
        <v>405</v>
      </c>
      <c r="O78" s="571"/>
      <c r="P78" s="41">
        <f>P30</f>
        <v>32.46</v>
      </c>
      <c r="Q78" s="602" t="s">
        <v>411</v>
      </c>
      <c r="R78" s="603"/>
      <c r="S78" s="603"/>
      <c r="T78" s="598">
        <f>H78</f>
        <v>203080.55</v>
      </c>
      <c r="U78" s="598"/>
    </row>
    <row r="79" spans="1:22" x14ac:dyDescent="0.25">
      <c r="B79" s="69"/>
      <c r="G79" s="42" t="s">
        <v>12</v>
      </c>
      <c r="H79" s="114">
        <f>ROUND(C78/H78,6)</f>
        <v>1.6000000000000001E-4</v>
      </c>
      <c r="I79" s="115"/>
      <c r="N79" s="571"/>
      <c r="O79" s="571"/>
      <c r="P79" s="571"/>
      <c r="Q79" s="571"/>
      <c r="R79" s="571"/>
      <c r="S79" s="571"/>
      <c r="T79" s="601">
        <f>ROUND(P78/T78,6)</f>
        <v>1.6000000000000001E-4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32.46</v>
      </c>
      <c r="D81" s="532" t="s">
        <v>417</v>
      </c>
      <c r="E81" s="532"/>
      <c r="F81" s="532"/>
      <c r="G81" s="532"/>
      <c r="H81" s="301">
        <f>'1461'!H81</f>
        <v>186682.65</v>
      </c>
      <c r="I81" s="113"/>
      <c r="N81" s="594" t="s">
        <v>418</v>
      </c>
      <c r="O81" s="571"/>
      <c r="P81" s="41">
        <f>P30</f>
        <v>32.46</v>
      </c>
      <c r="Q81" s="604" t="s">
        <v>419</v>
      </c>
      <c r="R81" s="605"/>
      <c r="S81" s="605"/>
      <c r="T81" s="598">
        <f>H81</f>
        <v>186682.65</v>
      </c>
      <c r="U81" s="598"/>
    </row>
    <row r="82" spans="1:21" x14ac:dyDescent="0.25">
      <c r="B82" s="69"/>
      <c r="G82" s="42" t="s">
        <v>12</v>
      </c>
      <c r="H82" s="114">
        <f>ROUND(C81/H81,6)</f>
        <v>1.74E-4</v>
      </c>
      <c r="I82" s="115"/>
      <c r="N82" s="571"/>
      <c r="O82" s="571"/>
      <c r="P82" s="571"/>
      <c r="Q82" s="571"/>
      <c r="R82" s="571"/>
      <c r="S82" s="571"/>
      <c r="T82" s="601">
        <f>ROUND(P81/T81,6)</f>
        <v>1.74E-4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1.6000000000000001E-4</v>
      </c>
      <c r="I85" s="101">
        <f>ROUND(F85*H85,2)</f>
        <v>7146.49</v>
      </c>
      <c r="N85" s="455" t="s">
        <v>455</v>
      </c>
      <c r="O85" s="51"/>
      <c r="P85" s="51"/>
      <c r="Q85" s="44"/>
      <c r="R85" s="421">
        <f>F85</f>
        <v>44665536</v>
      </c>
      <c r="S85" s="38" t="s">
        <v>6</v>
      </c>
      <c r="T85" s="423">
        <f>T79</f>
        <v>1.6000000000000001E-4</v>
      </c>
      <c r="U85" s="475">
        <f>ROUND(R85*T85,2)</f>
        <v>7146.49</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1.6000000000000001E-4</v>
      </c>
      <c r="I88" s="101">
        <f>ROUND(F88*H88,2)</f>
        <v>0</v>
      </c>
      <c r="N88" s="606" t="s">
        <v>99</v>
      </c>
      <c r="O88" s="571"/>
      <c r="P88" s="571"/>
      <c r="Q88" s="44"/>
      <c r="R88" s="421">
        <f>F88</f>
        <v>0</v>
      </c>
      <c r="S88" s="38" t="s">
        <v>6</v>
      </c>
      <c r="T88" s="423">
        <f>T70</f>
        <v>1.6000000000000001E-4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1.74E-4</v>
      </c>
      <c r="I90" s="101">
        <f>ROUND(F90*H90,2)</f>
        <v>2813.07</v>
      </c>
      <c r="N90" s="455" t="s">
        <v>456</v>
      </c>
      <c r="O90" s="51"/>
      <c r="P90" s="51"/>
      <c r="Q90" s="44"/>
      <c r="R90" s="421">
        <f>F90</f>
        <v>16167052</v>
      </c>
      <c r="S90" s="38" t="s">
        <v>6</v>
      </c>
      <c r="T90" s="423">
        <f>T82</f>
        <v>1.74E-4</v>
      </c>
      <c r="U90" s="475">
        <f>ROUND(R90*T90,2)</f>
        <v>2813.07</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1.74E-4</v>
      </c>
      <c r="I92" s="101">
        <f t="shared" ref="I92:I96" si="14">ROUND(F92*H92,2)</f>
        <v>1746.98</v>
      </c>
      <c r="N92" s="455" t="s">
        <v>457</v>
      </c>
      <c r="O92" s="51"/>
      <c r="P92" s="51"/>
      <c r="Q92" s="44"/>
      <c r="R92" s="421">
        <f t="shared" ref="R92:R96" si="15">F92</f>
        <v>10040099</v>
      </c>
      <c r="S92" s="38" t="s">
        <v>6</v>
      </c>
      <c r="T92" s="423">
        <f>T76</f>
        <v>1.74E-4</v>
      </c>
      <c r="U92" s="475">
        <f>ROUND(R92*T92,2)</f>
        <v>1746.98</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1.4100000000000001E-4</v>
      </c>
      <c r="I94" s="101">
        <f t="shared" si="14"/>
        <v>33698.67</v>
      </c>
      <c r="N94" s="571" t="s">
        <v>421</v>
      </c>
      <c r="O94" s="571"/>
      <c r="P94" s="571"/>
      <c r="Q94" s="44"/>
      <c r="R94" s="421">
        <f t="shared" si="15"/>
        <v>238997674</v>
      </c>
      <c r="S94" s="38" t="s">
        <v>6</v>
      </c>
      <c r="T94" s="423">
        <f>T73</f>
        <v>1.4300000000000001E-4</v>
      </c>
      <c r="U94" s="475">
        <f>ROUND(R94*T94,2)</f>
        <v>34176.67</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1.4100000000000001E-4</v>
      </c>
      <c r="I96" s="101">
        <f t="shared" si="14"/>
        <v>-225.61</v>
      </c>
      <c r="N96" s="594" t="s">
        <v>422</v>
      </c>
      <c r="O96" s="571"/>
      <c r="P96" s="571"/>
      <c r="Q96" s="44"/>
      <c r="R96" s="421">
        <f t="shared" si="15"/>
        <v>-1600047</v>
      </c>
      <c r="S96" s="38" t="s">
        <v>6</v>
      </c>
      <c r="T96" s="423">
        <f>T73</f>
        <v>1.4300000000000001E-4</v>
      </c>
      <c r="U96" s="475">
        <f>ROUND(R96*T96,2)</f>
        <v>-228.81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2.5</v>
      </c>
      <c r="D102" s="518"/>
      <c r="E102" s="46">
        <f>H8</f>
        <v>1.0442</v>
      </c>
      <c r="F102" s="304">
        <f>'1461'!F102</f>
        <v>904.74</v>
      </c>
      <c r="G102" s="39" t="s">
        <v>12</v>
      </c>
      <c r="H102" s="101">
        <f>ROUND(C102*E102*F102,2)</f>
        <v>2361.8200000000002</v>
      </c>
      <c r="N102" s="50" t="s">
        <v>13</v>
      </c>
      <c r="O102" s="47">
        <f>T16+T17+T21+T24+T27</f>
        <v>2.5</v>
      </c>
      <c r="P102" s="609">
        <f>T8</f>
        <v>1.0442</v>
      </c>
      <c r="Q102" s="609"/>
      <c r="R102" s="48">
        <f>F102</f>
        <v>904.74</v>
      </c>
      <c r="S102" s="40" t="s">
        <v>12</v>
      </c>
      <c r="T102" s="481">
        <f>ROUND(O102*P102*R102,2)</f>
        <v>2361.8200000000002</v>
      </c>
      <c r="U102" s="51"/>
    </row>
    <row r="103" spans="1:21" ht="16.5" thickBot="1" x14ac:dyDescent="0.3">
      <c r="A103" s="52"/>
      <c r="B103" s="52" t="s">
        <v>103</v>
      </c>
      <c r="C103" s="518">
        <f>H18+H19+H22+H25+H28+H29</f>
        <v>29.6005</v>
      </c>
      <c r="D103" s="518"/>
      <c r="E103" s="46">
        <f>H8</f>
        <v>1.0442</v>
      </c>
      <c r="F103" s="304">
        <f>'1461'!F103</f>
        <v>906.93</v>
      </c>
      <c r="G103" s="39" t="s">
        <v>12</v>
      </c>
      <c r="H103" s="94">
        <f>ROUND(C103*E103*F103,2)</f>
        <v>28032.16</v>
      </c>
      <c r="N103" s="53" t="s">
        <v>14</v>
      </c>
      <c r="O103" s="54">
        <f>T18+T19+T22+T25+T28+T29</f>
        <v>29.96</v>
      </c>
      <c r="P103" s="609">
        <f>T8</f>
        <v>1.0442</v>
      </c>
      <c r="Q103" s="609"/>
      <c r="R103" s="48">
        <f>F103</f>
        <v>906.93</v>
      </c>
      <c r="S103" s="40" t="s">
        <v>12</v>
      </c>
      <c r="T103" s="481">
        <f>ROUND(O103*P103*R103,2)</f>
        <v>28372.61</v>
      </c>
      <c r="U103" s="51"/>
    </row>
    <row r="104" spans="1:21" ht="16.5" thickBot="1" x14ac:dyDescent="0.3">
      <c r="A104" s="55"/>
      <c r="B104" s="122" t="s">
        <v>102</v>
      </c>
      <c r="C104" s="531">
        <f>SUM(C101:C103)</f>
        <v>32.100499999999997</v>
      </c>
      <c r="D104" s="531"/>
      <c r="E104" s="123"/>
      <c r="F104" s="123"/>
      <c r="G104" s="123"/>
      <c r="H104" s="124" t="s">
        <v>100</v>
      </c>
      <c r="I104" s="101">
        <f>IF(A1=75,0,H103+H102+H101)</f>
        <v>30393.98</v>
      </c>
      <c r="N104" s="56" t="s">
        <v>89</v>
      </c>
      <c r="O104" s="57">
        <f>SUM(O101:O103)</f>
        <v>32.46</v>
      </c>
      <c r="P104" s="610" t="s">
        <v>16</v>
      </c>
      <c r="Q104" s="611"/>
      <c r="R104" s="611"/>
      <c r="S104" s="611"/>
      <c r="T104" s="611"/>
      <c r="U104" s="475">
        <f>IF(N1=75,0,T103+T102+T101)</f>
        <v>30734.43</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31</v>
      </c>
      <c r="D110" s="143">
        <v>28</v>
      </c>
      <c r="E110" s="116">
        <f>(C110+D110)/2</f>
        <v>29.5</v>
      </c>
      <c r="F110" s="126" t="s">
        <v>30</v>
      </c>
      <c r="G110" s="305">
        <f>'1461'!G110</f>
        <v>565</v>
      </c>
      <c r="I110" s="101">
        <f>ROUND(G110*E110,2)</f>
        <v>16667.5</v>
      </c>
      <c r="N110" s="620" t="s">
        <v>52</v>
      </c>
      <c r="O110" s="620"/>
      <c r="P110" s="608">
        <f>IF(H130=1,E110,0)</f>
        <v>29.5</v>
      </c>
      <c r="Q110" s="608"/>
      <c r="R110" s="608"/>
      <c r="S110" s="83" t="s">
        <v>30</v>
      </c>
      <c r="T110" s="58">
        <f>G110</f>
        <v>565</v>
      </c>
      <c r="U110" s="475">
        <f>ROUND(T110*P110,2)</f>
        <v>16667.5</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473885.57999999996</v>
      </c>
      <c r="N125" s="455"/>
      <c r="O125" s="454"/>
      <c r="P125" s="454"/>
      <c r="Q125" s="307"/>
      <c r="R125" s="307"/>
      <c r="S125" s="307"/>
      <c r="T125" s="307"/>
      <c r="U125" s="482">
        <f>SUM(U30,U85,U88,U90,U92,U94,U96,U104,U110,U111,U121,U123)</f>
        <v>267266.11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463669.36</v>
      </c>
      <c r="N127" s="616" t="s">
        <v>33</v>
      </c>
      <c r="O127" s="616"/>
      <c r="P127" s="616"/>
      <c r="Q127" s="616"/>
      <c r="R127" s="616"/>
      <c r="S127" s="616"/>
      <c r="T127" s="616"/>
      <c r="U127" s="132">
        <f>U125-U53</f>
        <v>256935.46999999997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v>1</v>
      </c>
      <c r="I130" s="116">
        <f>U127</f>
        <v>256935.46999999997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256935.46999999997</v>
      </c>
      <c r="I132" s="94">
        <f>ROUND(IF(E30=0,0,IF(E30&gt;250,-(((250/E30)*H132)*IF(G132="H",0.02,0.05)),IF(G132="H",-0.02*H132,-0.05*H132))),2)</f>
        <v>-12846.77</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461038.80999999994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-66241.600000000006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394797.20999999996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39479.72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119</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37.03</v>
      </c>
      <c r="D14" s="141">
        <v>37.479999999999997</v>
      </c>
      <c r="E14" s="187">
        <f>IF(D$30=0,C14*2,C14+D14)</f>
        <v>74.509999999999991</v>
      </c>
      <c r="F14" s="561">
        <f>'1461'!F14:G14</f>
        <v>1.1220000000000001</v>
      </c>
      <c r="G14" s="561"/>
      <c r="H14" s="145">
        <f>ROUND(E14*F14,4)</f>
        <v>83.600200000000001</v>
      </c>
      <c r="I14" s="111">
        <f>ROUND(ROUND(ROUND(H14*$C$8,4)*($H$8),2)*(MAX($H$9,1)),2)</f>
        <v>448674.42</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9.5</v>
      </c>
      <c r="D15" s="143">
        <v>8</v>
      </c>
      <c r="E15" s="116">
        <f t="shared" ref="E15:E29" si="1">IF(D$30=0,C15*2,C15+D15)</f>
        <v>17.5</v>
      </c>
      <c r="F15" s="558">
        <f>'1461'!F15:G15</f>
        <v>1.1220000000000001</v>
      </c>
      <c r="G15" s="558"/>
      <c r="H15" s="80">
        <f t="shared" ref="H15:H29" si="2">ROUND(E15*F15,4)</f>
        <v>19.635000000000002</v>
      </c>
      <c r="I15" s="101">
        <f t="shared" ref="I15:I29" si="3">ROUND(ROUND(ROUND(H15*$C$8,4)*($H$8),2)*(MAX($H$9,1)),2)</f>
        <v>105379.2</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14.81</v>
      </c>
      <c r="D16" s="143">
        <v>15.85</v>
      </c>
      <c r="E16" s="116">
        <f t="shared" si="1"/>
        <v>30.66</v>
      </c>
      <c r="F16" s="558">
        <f>'1461'!F16:G16</f>
        <v>1</v>
      </c>
      <c r="G16" s="558"/>
      <c r="H16" s="80">
        <f t="shared" si="2"/>
        <v>30.66</v>
      </c>
      <c r="I16" s="101">
        <f t="shared" si="3"/>
        <v>164549.34</v>
      </c>
      <c r="N16" s="571" t="s">
        <v>22</v>
      </c>
      <c r="O16" s="571"/>
      <c r="P16" s="572">
        <f t="shared" si="0"/>
        <v>0</v>
      </c>
      <c r="Q16" s="572"/>
      <c r="R16" s="573">
        <v>1</v>
      </c>
      <c r="S16" s="573"/>
      <c r="T16" s="95">
        <f t="shared" si="4"/>
        <v>0</v>
      </c>
      <c r="U16" s="475">
        <f t="shared" si="5"/>
        <v>0</v>
      </c>
    </row>
    <row r="17" spans="1:21" x14ac:dyDescent="0.25">
      <c r="A17" s="520" t="s">
        <v>23</v>
      </c>
      <c r="B17" s="520"/>
      <c r="C17" s="143">
        <v>5</v>
      </c>
      <c r="D17" s="143">
        <v>5.44</v>
      </c>
      <c r="E17" s="116">
        <f t="shared" si="1"/>
        <v>10.440000000000001</v>
      </c>
      <c r="F17" s="558">
        <f>'1461'!F17:G17</f>
        <v>1</v>
      </c>
      <c r="G17" s="558"/>
      <c r="H17" s="80">
        <f t="shared" si="2"/>
        <v>10.44</v>
      </c>
      <c r="I17" s="101">
        <f t="shared" si="3"/>
        <v>56030.5</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25.47</v>
      </c>
      <c r="D26" s="143">
        <v>24.56</v>
      </c>
      <c r="E26" s="116">
        <f t="shared" si="1"/>
        <v>50.03</v>
      </c>
      <c r="F26" s="558">
        <f>'1461'!F26:G26</f>
        <v>1.208</v>
      </c>
      <c r="G26" s="558"/>
      <c r="H26" s="80">
        <f t="shared" si="2"/>
        <v>60.436199999999999</v>
      </c>
      <c r="I26" s="101">
        <f t="shared" si="3"/>
        <v>324355.40999999997</v>
      </c>
      <c r="N26" s="571" t="s">
        <v>85</v>
      </c>
      <c r="O26" s="571"/>
      <c r="P26" s="572">
        <f t="shared" si="0"/>
        <v>0</v>
      </c>
      <c r="Q26" s="572"/>
      <c r="R26" s="573">
        <v>1</v>
      </c>
      <c r="S26" s="573"/>
      <c r="T26" s="95">
        <f t="shared" si="4"/>
        <v>0</v>
      </c>
      <c r="U26" s="475">
        <f t="shared" si="5"/>
        <v>0</v>
      </c>
    </row>
    <row r="27" spans="1:21" x14ac:dyDescent="0.25">
      <c r="A27" s="520" t="s">
        <v>86</v>
      </c>
      <c r="B27" s="520"/>
      <c r="C27" s="143">
        <v>8.19</v>
      </c>
      <c r="D27" s="143">
        <v>8.59</v>
      </c>
      <c r="E27" s="116">
        <f t="shared" si="1"/>
        <v>16.78</v>
      </c>
      <c r="F27" s="558">
        <f>'1461'!F27:G27</f>
        <v>1.208</v>
      </c>
      <c r="G27" s="558"/>
      <c r="H27" s="80">
        <f t="shared" si="2"/>
        <v>20.270199999999999</v>
      </c>
      <c r="I27" s="101">
        <f t="shared" si="3"/>
        <v>108788.26</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100</v>
      </c>
      <c r="D30" s="94">
        <f>SUM(D14:D29)</f>
        <v>99.92</v>
      </c>
      <c r="E30" s="94">
        <f>SUM(E14:E29)</f>
        <v>199.92</v>
      </c>
      <c r="F30" s="539"/>
      <c r="G30" s="539"/>
      <c r="H30" s="99">
        <f>SUM(H14:H29)</f>
        <v>225.04160000000002</v>
      </c>
      <c r="I30" s="94">
        <f>SUM(I14:I29)</f>
        <v>1207777.1299999999</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225.04160000000002</v>
      </c>
      <c r="F46" s="34"/>
      <c r="G46" s="106"/>
      <c r="H46" s="107" t="s">
        <v>98</v>
      </c>
      <c r="I46" s="94">
        <f>SUM(I44,I30)</f>
        <v>1207777.1299999999</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1207777.1299999999</v>
      </c>
      <c r="G51" s="109" t="s">
        <v>6</v>
      </c>
      <c r="H51" s="403">
        <v>4.5199999999999997E-2</v>
      </c>
      <c r="I51" s="101">
        <f>ROUND(F51*H51,2)</f>
        <v>54591.53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1207777.1299999999</v>
      </c>
      <c r="G52" s="109" t="s">
        <v>6</v>
      </c>
      <c r="H52" s="403">
        <v>1.41E-2</v>
      </c>
      <c r="I52" s="101">
        <f>ROUND(F52*H52,2)</f>
        <v>17029.66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71621.19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9</v>
      </c>
      <c r="D57" s="143">
        <v>7.5</v>
      </c>
      <c r="E57" s="116">
        <f t="shared" ref="E57:E65" si="10">IF(D$72=0,C57*2,C57+D57)</f>
        <v>16.5</v>
      </c>
      <c r="F57" s="445" t="s">
        <v>439</v>
      </c>
      <c r="G57" s="445">
        <v>251</v>
      </c>
      <c r="H57" s="459">
        <f>'1461'!H57</f>
        <v>1047</v>
      </c>
      <c r="I57" s="101">
        <f>ROUND(E57*H57,2)</f>
        <v>17275.5</v>
      </c>
      <c r="N57" s="621" t="s">
        <v>447</v>
      </c>
      <c r="O57" s="621"/>
      <c r="P57" s="624"/>
      <c r="Q57" s="624"/>
      <c r="R57" s="451" t="s">
        <v>439</v>
      </c>
      <c r="S57" s="451">
        <v>251</v>
      </c>
      <c r="T57" s="462">
        <f>H57</f>
        <v>1047</v>
      </c>
      <c r="U57" s="476">
        <f>ROUND(P57*T57,2)</f>
        <v>0</v>
      </c>
      <c r="V57" s="426"/>
    </row>
    <row r="58" spans="1:22" x14ac:dyDescent="0.25">
      <c r="A58" s="536"/>
      <c r="B58" s="536"/>
      <c r="C58" s="143">
        <v>0.5</v>
      </c>
      <c r="D58" s="143">
        <v>0.5</v>
      </c>
      <c r="E58" s="116">
        <f t="shared" si="10"/>
        <v>1</v>
      </c>
      <c r="F58" s="445" t="s">
        <v>439</v>
      </c>
      <c r="G58" s="445">
        <v>252</v>
      </c>
      <c r="H58" s="459">
        <f>'1461'!H58</f>
        <v>3380</v>
      </c>
      <c r="I58" s="101">
        <f t="shared" ref="I58:I65" si="11">ROUND(E58*H58,2)</f>
        <v>3380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4.5</v>
      </c>
      <c r="D60" s="143">
        <v>4.5199999999999996</v>
      </c>
      <c r="E60" s="116">
        <f t="shared" si="10"/>
        <v>9.02</v>
      </c>
      <c r="F60" s="446" t="s">
        <v>13</v>
      </c>
      <c r="G60" s="445">
        <v>251</v>
      </c>
      <c r="H60" s="459">
        <f>'1461'!H60</f>
        <v>1173</v>
      </c>
      <c r="I60" s="101">
        <f t="shared" si="11"/>
        <v>10580.46</v>
      </c>
      <c r="N60" s="622"/>
      <c r="O60" s="622"/>
      <c r="P60" s="625"/>
      <c r="Q60" s="625"/>
      <c r="R60" s="40" t="s">
        <v>13</v>
      </c>
      <c r="S60" s="451">
        <v>251</v>
      </c>
      <c r="T60" s="462">
        <f t="shared" si="12"/>
        <v>1173</v>
      </c>
      <c r="U60" s="476">
        <f t="shared" si="13"/>
        <v>0</v>
      </c>
      <c r="V60" s="426"/>
    </row>
    <row r="61" spans="1:22" x14ac:dyDescent="0.25">
      <c r="A61" s="536"/>
      <c r="B61" s="536"/>
      <c r="C61" s="143">
        <v>0.5</v>
      </c>
      <c r="D61" s="143">
        <v>0.92</v>
      </c>
      <c r="E61" s="116">
        <f t="shared" si="10"/>
        <v>1.42</v>
      </c>
      <c r="F61" s="446" t="s">
        <v>13</v>
      </c>
      <c r="G61" s="445">
        <v>252</v>
      </c>
      <c r="H61" s="459">
        <f>'1461'!H61</f>
        <v>3506</v>
      </c>
      <c r="I61" s="101">
        <f t="shared" si="11"/>
        <v>4978.5200000000004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14.5</v>
      </c>
      <c r="D66" s="97">
        <f>SUM(D57:D65)</f>
        <v>13.44</v>
      </c>
      <c r="E66" s="97">
        <f>SUM(E57:E65)</f>
        <v>27.939999999999998</v>
      </c>
      <c r="F66" s="523" t="s">
        <v>448</v>
      </c>
      <c r="G66" s="523"/>
      <c r="H66" s="523"/>
      <c r="I66" s="97">
        <f>SUM(I57:I65)</f>
        <v>36214.479999999996</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199.92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9.8299999999999993E-4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225.04160000000002</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9.8900000000000008E-4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199.92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1.07E-3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199.92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9.8400000000000007E-4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199.92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1.0709999999999999E-3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9.8400000000000007E-4</v>
      </c>
      <c r="I85" s="101">
        <f>ROUND(F85*H85,2)</f>
        <v>43950.89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9.8299999999999993E-4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1.0709999999999999E-3</v>
      </c>
      <c r="I90" s="101">
        <f>ROUND(F90*H90,2)</f>
        <v>17314.91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1.07E-3</v>
      </c>
      <c r="I92" s="101">
        <f t="shared" ref="I92:I96" si="14">ROUND(F92*H92,2)</f>
        <v>10742.91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9.8900000000000008E-4</v>
      </c>
      <c r="I94" s="101">
        <f t="shared" si="14"/>
        <v>236368.7</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9.8900000000000008E-4</v>
      </c>
      <c r="I96" s="101">
        <f t="shared" si="14"/>
        <v>-1582.45</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163.67140000000001</v>
      </c>
      <c r="D101" s="518"/>
      <c r="E101" s="46">
        <f>H8</f>
        <v>1.0442</v>
      </c>
      <c r="F101" s="304">
        <f>'1461'!F101</f>
        <v>947.59</v>
      </c>
      <c r="G101" s="39" t="s">
        <v>12</v>
      </c>
      <c r="H101" s="101">
        <f>ROUND(C101*E101*F101,2)</f>
        <v>161948.51</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61.370199999999997</v>
      </c>
      <c r="D102" s="518"/>
      <c r="E102" s="46">
        <f>H8</f>
        <v>1.0442</v>
      </c>
      <c r="F102" s="304">
        <f>'1461'!F102</f>
        <v>904.74</v>
      </c>
      <c r="G102" s="39" t="s">
        <v>12</v>
      </c>
      <c r="H102" s="101">
        <f>ROUND(C102*E102*F102,2)</f>
        <v>57978.239999999998</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225.04160000000002</v>
      </c>
      <c r="D104" s="531"/>
      <c r="E104" s="123"/>
      <c r="F104" s="123"/>
      <c r="G104" s="123"/>
      <c r="H104" s="124" t="s">
        <v>100</v>
      </c>
      <c r="I104" s="101">
        <f>IF(A1=75,0,H103+H102+H101)</f>
        <v>219926.75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11</v>
      </c>
      <c r="D110" s="143">
        <v>14</v>
      </c>
      <c r="E110" s="116">
        <f>(C110+D110)/2</f>
        <v>12.5</v>
      </c>
      <c r="F110" s="126" t="s">
        <v>30</v>
      </c>
      <c r="G110" s="305">
        <f>'1461'!G110</f>
        <v>565</v>
      </c>
      <c r="I110" s="101">
        <f>ROUND(G110*E110,2)</f>
        <v>7062.5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1777775.8199999996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1706154.6299999997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1706154.6299999997</v>
      </c>
      <c r="I132" s="94">
        <f>ROUND(IF(E30=0,0,IF(E30&gt;250,-(((250/E30)*H132)*IF(G132="H",0.02,0.05)),IF(G132="H",-0.02*H132,-0.05*H132))),2)</f>
        <v>-85307.73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1692468.0899999996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-288335.7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1404132.3899999997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140413.24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287</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79.8</v>
      </c>
      <c r="D14" s="141">
        <v>77.48</v>
      </c>
      <c r="E14" s="187">
        <f>IF(D$30=0,C14*2,C14+D14)</f>
        <v>157.28</v>
      </c>
      <c r="F14" s="561">
        <f>'1461'!F14:G14</f>
        <v>1.1220000000000001</v>
      </c>
      <c r="G14" s="561"/>
      <c r="H14" s="145">
        <f>ROUND(E14*F14,4)</f>
        <v>176.4682</v>
      </c>
      <c r="I14" s="111">
        <f>ROUND(ROUND(ROUND(H14*$C$8,4)*($H$8),2)*(MAX($H$9,1)),2)</f>
        <v>947088.25</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10.5</v>
      </c>
      <c r="D15" s="143">
        <v>10</v>
      </c>
      <c r="E15" s="116">
        <f t="shared" ref="E15:E29" si="1">IF(D$30=0,C15*2,C15+D15)</f>
        <v>20.5</v>
      </c>
      <c r="F15" s="558">
        <f>'1461'!F15:G15</f>
        <v>1.1220000000000001</v>
      </c>
      <c r="G15" s="558"/>
      <c r="H15" s="80">
        <f t="shared" ref="H15:H29" si="2">ROUND(E15*F15,4)</f>
        <v>23.001000000000001</v>
      </c>
      <c r="I15" s="101">
        <f t="shared" ref="I15:I29" si="3">ROUND(ROUND(ROUND(H15*$C$8,4)*($H$8),2)*(MAX($H$9,1)),2)</f>
        <v>123444.21</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101.63</v>
      </c>
      <c r="D16" s="143">
        <v>105.36</v>
      </c>
      <c r="E16" s="116">
        <f t="shared" si="1"/>
        <v>206.99</v>
      </c>
      <c r="F16" s="558">
        <f>'1461'!F16:G16</f>
        <v>1</v>
      </c>
      <c r="G16" s="558"/>
      <c r="H16" s="80">
        <f t="shared" si="2"/>
        <v>206.99</v>
      </c>
      <c r="I16" s="101">
        <f t="shared" si="3"/>
        <v>1110895.8899999999</v>
      </c>
      <c r="N16" s="571" t="s">
        <v>22</v>
      </c>
      <c r="O16" s="571"/>
      <c r="P16" s="572">
        <f t="shared" si="0"/>
        <v>0</v>
      </c>
      <c r="Q16" s="572"/>
      <c r="R16" s="573">
        <v>1</v>
      </c>
      <c r="S16" s="573"/>
      <c r="T16" s="95">
        <f t="shared" si="4"/>
        <v>0</v>
      </c>
      <c r="U16" s="475">
        <f t="shared" si="5"/>
        <v>0</v>
      </c>
    </row>
    <row r="17" spans="1:21" x14ac:dyDescent="0.25">
      <c r="A17" s="520" t="s">
        <v>23</v>
      </c>
      <c r="B17" s="520"/>
      <c r="C17" s="143">
        <v>19.5</v>
      </c>
      <c r="D17" s="143">
        <v>19.5</v>
      </c>
      <c r="E17" s="116">
        <f t="shared" si="1"/>
        <v>39</v>
      </c>
      <c r="F17" s="558">
        <f>'1461'!F17:G17</f>
        <v>1</v>
      </c>
      <c r="G17" s="558"/>
      <c r="H17" s="80">
        <f t="shared" si="2"/>
        <v>39</v>
      </c>
      <c r="I17" s="101">
        <f t="shared" si="3"/>
        <v>209309.34</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31.2</v>
      </c>
      <c r="D26" s="143">
        <v>31.98</v>
      </c>
      <c r="E26" s="116">
        <f t="shared" si="1"/>
        <v>63.18</v>
      </c>
      <c r="F26" s="558">
        <f>'1461'!F26:G26</f>
        <v>1.208</v>
      </c>
      <c r="G26" s="558"/>
      <c r="H26" s="80">
        <f t="shared" si="2"/>
        <v>76.321399999999997</v>
      </c>
      <c r="I26" s="101">
        <f t="shared" si="3"/>
        <v>409609.78</v>
      </c>
      <c r="N26" s="571" t="s">
        <v>85</v>
      </c>
      <c r="O26" s="571"/>
      <c r="P26" s="572">
        <f t="shared" si="0"/>
        <v>0</v>
      </c>
      <c r="Q26" s="572"/>
      <c r="R26" s="573">
        <v>1</v>
      </c>
      <c r="S26" s="573"/>
      <c r="T26" s="95">
        <f t="shared" si="4"/>
        <v>0</v>
      </c>
      <c r="U26" s="475">
        <f t="shared" si="5"/>
        <v>0</v>
      </c>
    </row>
    <row r="27" spans="1:21" x14ac:dyDescent="0.25">
      <c r="A27" s="520" t="s">
        <v>86</v>
      </c>
      <c r="B27" s="520"/>
      <c r="C27" s="143">
        <v>12.08</v>
      </c>
      <c r="D27" s="143">
        <v>11.08</v>
      </c>
      <c r="E27" s="116">
        <f t="shared" si="1"/>
        <v>23.16</v>
      </c>
      <c r="F27" s="558">
        <f>'1461'!F27:G27</f>
        <v>1.208</v>
      </c>
      <c r="G27" s="558"/>
      <c r="H27" s="80">
        <f t="shared" si="2"/>
        <v>27.9773</v>
      </c>
      <c r="I27" s="101">
        <f t="shared" si="3"/>
        <v>150151.54</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254.71</v>
      </c>
      <c r="D30" s="94">
        <f>SUM(D14:D29)</f>
        <v>255.4</v>
      </c>
      <c r="E30" s="94">
        <f>SUM(E14:E29)</f>
        <v>510.11</v>
      </c>
      <c r="F30" s="539"/>
      <c r="G30" s="539"/>
      <c r="H30" s="99">
        <f>SUM(H14:H29)</f>
        <v>549.75790000000006</v>
      </c>
      <c r="I30" s="94">
        <f>SUM(I14:I29)</f>
        <v>2950499.01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549.75790000000006</v>
      </c>
      <c r="F46" s="34"/>
      <c r="G46" s="106"/>
      <c r="H46" s="107" t="s">
        <v>98</v>
      </c>
      <c r="I46" s="94">
        <f>SUM(I44,I30)</f>
        <v>2950499.01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2950499.01</v>
      </c>
      <c r="G51" s="109" t="s">
        <v>6</v>
      </c>
      <c r="H51" s="403">
        <v>4.5199999999999997E-2</v>
      </c>
      <c r="I51" s="101">
        <f>ROUND(F51*H51,2)</f>
        <v>133362.56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2950499.01</v>
      </c>
      <c r="G52" s="109" t="s">
        <v>6</v>
      </c>
      <c r="H52" s="403">
        <v>1.41E-2</v>
      </c>
      <c r="I52" s="101">
        <f>ROUND(F52*H52,2)</f>
        <v>41602.04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174964.6</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10.5</v>
      </c>
      <c r="D57" s="143">
        <v>10</v>
      </c>
      <c r="E57" s="116">
        <f t="shared" ref="E57:E65" si="10">IF(D$72=0,C57*2,C57+D57)</f>
        <v>20.5</v>
      </c>
      <c r="F57" s="445" t="s">
        <v>439</v>
      </c>
      <c r="G57" s="445">
        <v>251</v>
      </c>
      <c r="H57" s="459">
        <f>'1461'!H57</f>
        <v>1047</v>
      </c>
      <c r="I57" s="101">
        <f>ROUND(E57*H57,2)</f>
        <v>21463.5</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19.5</v>
      </c>
      <c r="D60" s="143">
        <v>19</v>
      </c>
      <c r="E60" s="116">
        <f t="shared" si="10"/>
        <v>38.5</v>
      </c>
      <c r="F60" s="446" t="s">
        <v>13</v>
      </c>
      <c r="G60" s="445">
        <v>251</v>
      </c>
      <c r="H60" s="459">
        <f>'1461'!H60</f>
        <v>1173</v>
      </c>
      <c r="I60" s="101">
        <f t="shared" si="11"/>
        <v>45160.5</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0.5</v>
      </c>
      <c r="E62" s="116">
        <f t="shared" si="10"/>
        <v>0.5</v>
      </c>
      <c r="F62" s="446" t="s">
        <v>13</v>
      </c>
      <c r="G62" s="445">
        <v>253</v>
      </c>
      <c r="H62" s="459">
        <f>'1461'!H62</f>
        <v>7023</v>
      </c>
      <c r="I62" s="101">
        <f t="shared" si="11"/>
        <v>3511.5</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30</v>
      </c>
      <c r="D66" s="97">
        <f>SUM(D57:D65)</f>
        <v>29.5</v>
      </c>
      <c r="E66" s="97">
        <f>SUM(E57:E65)</f>
        <v>59.5</v>
      </c>
      <c r="F66" s="523" t="s">
        <v>448</v>
      </c>
      <c r="G66" s="523"/>
      <c r="H66" s="523"/>
      <c r="I66" s="97">
        <f>SUM(I57:I65)</f>
        <v>70135.5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510.11</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2.5089999999999999E-3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549.75790000000006</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2.4160000000000002E-3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510.11</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2.7290000000000001E-3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510.11</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2.5119999999999999E-3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510.11</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2.7320000000000001E-3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2.5119999999999999E-3</v>
      </c>
      <c r="I85" s="101">
        <f>ROUND(F85*H85,2)</f>
        <v>112199.83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2.5089999999999999E-3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2.7320000000000001E-3</v>
      </c>
      <c r="I90" s="101">
        <f>ROUND(F90*H90,2)</f>
        <v>44168.39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2.7290000000000001E-3</v>
      </c>
      <c r="I92" s="101">
        <f t="shared" ref="I92:I96" si="14">ROUND(F92*H92,2)</f>
        <v>27399.43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2.4160000000000002E-3</v>
      </c>
      <c r="I94" s="101">
        <f t="shared" si="14"/>
        <v>577418.38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2.4160000000000002E-3</v>
      </c>
      <c r="I96" s="101">
        <f t="shared" si="14"/>
        <v>-3865.71</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275.79059999999998</v>
      </c>
      <c r="D101" s="518"/>
      <c r="E101" s="46">
        <f>H8</f>
        <v>1.0442</v>
      </c>
      <c r="F101" s="304">
        <f>'1461'!F101</f>
        <v>947.59</v>
      </c>
      <c r="G101" s="39" t="s">
        <v>12</v>
      </c>
      <c r="H101" s="101">
        <f>ROUND(C101*E101*F101,2)</f>
        <v>272887.48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273.96730000000002</v>
      </c>
      <c r="D102" s="518"/>
      <c r="E102" s="46">
        <f>H8</f>
        <v>1.0442</v>
      </c>
      <c r="F102" s="304">
        <f>'1461'!F102</f>
        <v>904.74</v>
      </c>
      <c r="G102" s="39" t="s">
        <v>12</v>
      </c>
      <c r="H102" s="101">
        <f>ROUND(C102*E102*F102,2)</f>
        <v>258824.99</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549.75790000000006</v>
      </c>
      <c r="D104" s="531"/>
      <c r="E104" s="123"/>
      <c r="F104" s="123"/>
      <c r="G104" s="123"/>
      <c r="H104" s="124" t="s">
        <v>100</v>
      </c>
      <c r="I104" s="101">
        <f>IF(A1=75,0,H103+H102+H101)</f>
        <v>531712.47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27</v>
      </c>
      <c r="D110" s="143">
        <v>29</v>
      </c>
      <c r="E110" s="116">
        <f>(C110+D110)/2</f>
        <v>28</v>
      </c>
      <c r="F110" s="126" t="s">
        <v>30</v>
      </c>
      <c r="G110" s="305">
        <f>'1461'!G110</f>
        <v>565</v>
      </c>
      <c r="I110" s="101">
        <f>ROUND(G110*E110,2)</f>
        <v>15820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4325487.3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4150522.6999999997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4150522.6999999997</v>
      </c>
      <c r="I132" s="94">
        <f>ROUND(IF(E30=0,0,IF(E30&gt;250,-(((250/E30)*H132)*IF(G132="H",0.02,0.05)),IF(G132="H",-0.02*H132,-0.05*H132))),2)</f>
        <v>-101706.56</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4223780.74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-719753.09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3504027.6500000004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350402.77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105819.58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120</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295.82</v>
      </c>
      <c r="D18" s="143">
        <v>282.86</v>
      </c>
      <c r="E18" s="116">
        <f t="shared" si="1"/>
        <v>578.68000000000006</v>
      </c>
      <c r="F18" s="558">
        <f>'1461'!F18:G18</f>
        <v>0.98799999999999999</v>
      </c>
      <c r="G18" s="558"/>
      <c r="H18" s="80">
        <f t="shared" si="2"/>
        <v>571.73580000000004</v>
      </c>
      <c r="I18" s="101">
        <f t="shared" si="3"/>
        <v>3068452.33</v>
      </c>
      <c r="N18" s="571" t="s">
        <v>24</v>
      </c>
      <c r="O18" s="571"/>
      <c r="P18" s="572">
        <f t="shared" si="0"/>
        <v>0</v>
      </c>
      <c r="Q18" s="572"/>
      <c r="R18" s="573">
        <v>1</v>
      </c>
      <c r="S18" s="573"/>
      <c r="T18" s="95">
        <f t="shared" si="4"/>
        <v>0</v>
      </c>
      <c r="U18" s="475">
        <f t="shared" si="5"/>
        <v>0</v>
      </c>
    </row>
    <row r="19" spans="1:21" x14ac:dyDescent="0.25">
      <c r="A19" s="520" t="s">
        <v>25</v>
      </c>
      <c r="B19" s="520"/>
      <c r="C19" s="143">
        <v>41.5</v>
      </c>
      <c r="D19" s="143">
        <v>42.4</v>
      </c>
      <c r="E19" s="116">
        <f t="shared" si="1"/>
        <v>83.9</v>
      </c>
      <c r="F19" s="558">
        <f>'1461'!F19:G19</f>
        <v>0.98799999999999999</v>
      </c>
      <c r="G19" s="558"/>
      <c r="H19" s="80">
        <f t="shared" si="2"/>
        <v>82.893199999999993</v>
      </c>
      <c r="I19" s="101">
        <f t="shared" si="3"/>
        <v>444880.02</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4.91</v>
      </c>
      <c r="D28" s="143">
        <v>7.27</v>
      </c>
      <c r="E28" s="116">
        <f t="shared" si="1"/>
        <v>12.18</v>
      </c>
      <c r="F28" s="558">
        <f>'1461'!F28:G28</f>
        <v>1.208</v>
      </c>
      <c r="G28" s="558"/>
      <c r="H28" s="80">
        <f t="shared" si="2"/>
        <v>14.7134</v>
      </c>
      <c r="I28" s="101">
        <f t="shared" si="3"/>
        <v>78965.440000000002</v>
      </c>
      <c r="N28" s="571" t="s">
        <v>87</v>
      </c>
      <c r="O28" s="571"/>
      <c r="P28" s="572">
        <f t="shared" si="0"/>
        <v>0</v>
      </c>
      <c r="Q28" s="572"/>
      <c r="R28" s="573">
        <v>1</v>
      </c>
      <c r="S28" s="573"/>
      <c r="T28" s="95">
        <f t="shared" si="4"/>
        <v>0</v>
      </c>
      <c r="U28" s="475">
        <f t="shared" si="5"/>
        <v>0</v>
      </c>
    </row>
    <row r="29" spans="1:21" x14ac:dyDescent="0.25">
      <c r="A29" s="520" t="s">
        <v>88</v>
      </c>
      <c r="B29" s="520"/>
      <c r="C29" s="110">
        <v>32.79</v>
      </c>
      <c r="D29" s="110">
        <v>31.55</v>
      </c>
      <c r="E29" s="116">
        <f t="shared" si="1"/>
        <v>64.34</v>
      </c>
      <c r="F29" s="558">
        <f>'1461'!F29:G29</f>
        <v>1.0720000000000001</v>
      </c>
      <c r="G29" s="558"/>
      <c r="H29" s="93">
        <f t="shared" si="2"/>
        <v>68.972499999999997</v>
      </c>
      <c r="I29" s="94">
        <f t="shared" si="3"/>
        <v>370168.93</v>
      </c>
      <c r="N29" s="588" t="s">
        <v>88</v>
      </c>
      <c r="O29" s="588"/>
      <c r="P29" s="572">
        <f t="shared" si="0"/>
        <v>0</v>
      </c>
      <c r="Q29" s="572"/>
      <c r="R29" s="589">
        <v>1</v>
      </c>
      <c r="S29" s="589"/>
      <c r="T29" s="95">
        <f t="shared" si="4"/>
        <v>0</v>
      </c>
      <c r="U29" s="475">
        <f t="shared" si="5"/>
        <v>0</v>
      </c>
    </row>
    <row r="30" spans="1:21" x14ac:dyDescent="0.25">
      <c r="A30" s="523" t="s">
        <v>5</v>
      </c>
      <c r="B30" s="523"/>
      <c r="C30" s="94">
        <f>SUM(C14:C29)</f>
        <v>375.02000000000004</v>
      </c>
      <c r="D30" s="94">
        <f>SUM(D14:D29)</f>
        <v>364.08</v>
      </c>
      <c r="E30" s="97">
        <f>SUM(E14:E29)</f>
        <v>739.1</v>
      </c>
      <c r="F30" s="539"/>
      <c r="G30" s="539"/>
      <c r="H30" s="99">
        <f>SUM(H14:H29)</f>
        <v>738.31489999999997</v>
      </c>
      <c r="I30" s="94">
        <f>SUM(I14:I29)</f>
        <v>3962466.72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738.31489999999997</v>
      </c>
      <c r="F46" s="34"/>
      <c r="G46" s="106"/>
      <c r="H46" s="107" t="s">
        <v>98</v>
      </c>
      <c r="I46" s="94">
        <f>SUM(I44,I30)</f>
        <v>3962466.72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3962466.72</v>
      </c>
      <c r="G51" s="109" t="s">
        <v>6</v>
      </c>
      <c r="H51" s="403">
        <v>4.5199999999999997E-2</v>
      </c>
      <c r="I51" s="101">
        <f>ROUND(F51*H51,2)</f>
        <v>179103.5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3962466.72</v>
      </c>
      <c r="G52" s="109" t="s">
        <v>6</v>
      </c>
      <c r="H52" s="403">
        <v>1.41E-2</v>
      </c>
      <c r="I52" s="101">
        <f>ROUND(F52*H52,2)</f>
        <v>55870.78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234974.28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39.5</v>
      </c>
      <c r="D63" s="143">
        <v>40.9</v>
      </c>
      <c r="E63" s="116">
        <f t="shared" si="10"/>
        <v>80.400000000000006</v>
      </c>
      <c r="F63" s="446" t="s">
        <v>14</v>
      </c>
      <c r="G63" s="445">
        <v>251</v>
      </c>
      <c r="H63" s="459">
        <f>'1461'!H63</f>
        <v>835</v>
      </c>
      <c r="I63" s="101">
        <f t="shared" si="11"/>
        <v>67134</v>
      </c>
      <c r="N63" s="622"/>
      <c r="O63" s="622"/>
      <c r="P63" s="625"/>
      <c r="Q63" s="625"/>
      <c r="R63" s="40" t="s">
        <v>14</v>
      </c>
      <c r="S63" s="451">
        <v>251</v>
      </c>
      <c r="T63" s="462">
        <f t="shared" si="12"/>
        <v>835</v>
      </c>
      <c r="U63" s="476">
        <f t="shared" si="13"/>
        <v>0</v>
      </c>
      <c r="V63" s="426"/>
    </row>
    <row r="64" spans="1:22" x14ac:dyDescent="0.25">
      <c r="A64" s="536"/>
      <c r="B64" s="536"/>
      <c r="C64" s="143">
        <v>2</v>
      </c>
      <c r="D64" s="143">
        <v>1.5</v>
      </c>
      <c r="E64" s="116">
        <f t="shared" si="10"/>
        <v>3.5</v>
      </c>
      <c r="F64" s="446" t="s">
        <v>14</v>
      </c>
      <c r="G64" s="445">
        <v>252</v>
      </c>
      <c r="H64" s="459">
        <f>'1461'!H64</f>
        <v>3168</v>
      </c>
      <c r="I64" s="101">
        <f t="shared" si="11"/>
        <v>11088</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41.5</v>
      </c>
      <c r="D66" s="97">
        <f>SUM(D57:D65)</f>
        <v>42.4</v>
      </c>
      <c r="E66" s="97">
        <f>SUM(E57:E65)</f>
        <v>83.9</v>
      </c>
      <c r="F66" s="523" t="s">
        <v>448</v>
      </c>
      <c r="G66" s="523"/>
      <c r="H66" s="523"/>
      <c r="I66" s="97">
        <f>SUM(I57:I65)</f>
        <v>78222</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739.1</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3.6350000000000002E-3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738.31489999999997</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3.2450000000000001E-3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739.1</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3.954E-3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739.1</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3.6389999999999999E-3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739.1</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3.9589999999999998E-3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3.6389999999999999E-3</v>
      </c>
      <c r="I85" s="101">
        <f>ROUND(F85*H85,2)</f>
        <v>162537.89000000001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3.6350000000000002E-3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3.9589999999999998E-3</v>
      </c>
      <c r="I90" s="101">
        <f>ROUND(F90*H90,2)</f>
        <v>64005.36</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3.954E-3</v>
      </c>
      <c r="I92" s="101">
        <f t="shared" ref="I92:I96" si="14">ROUND(F92*H92,2)</f>
        <v>39698.550000000003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3.2450000000000001E-3</v>
      </c>
      <c r="I94" s="101">
        <f t="shared" si="14"/>
        <v>775547.45</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3.2450000000000001E-3</v>
      </c>
      <c r="I96" s="101">
        <f t="shared" si="14"/>
        <v>-5192.1499999999996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738.31489999999997</v>
      </c>
      <c r="D103" s="518"/>
      <c r="E103" s="46">
        <f>H8</f>
        <v>1.0442</v>
      </c>
      <c r="F103" s="304">
        <f>'1461'!F103</f>
        <v>906.93</v>
      </c>
      <c r="G103" s="39" t="s">
        <v>12</v>
      </c>
      <c r="H103" s="94">
        <f>ROUND(C103*E103*F103,2)</f>
        <v>699196.25</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738.31489999999997</v>
      </c>
      <c r="D104" s="531"/>
      <c r="E104" s="123"/>
      <c r="F104" s="123"/>
      <c r="G104" s="123"/>
      <c r="H104" s="124" t="s">
        <v>100</v>
      </c>
      <c r="I104" s="101">
        <f>IF(A1=75,0,H103+H102+H101)</f>
        <v>699196.25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274</v>
      </c>
      <c r="D110" s="143">
        <v>266</v>
      </c>
      <c r="E110" s="116">
        <f>(C110+D110)/2</f>
        <v>270</v>
      </c>
      <c r="F110" s="126" t="s">
        <v>30</v>
      </c>
      <c r="G110" s="305">
        <f>'1461'!G110</f>
        <v>565</v>
      </c>
      <c r="I110" s="101">
        <f>ROUND(G110*E110,2)</f>
        <v>152550</v>
      </c>
      <c r="N110" s="620" t="s">
        <v>52</v>
      </c>
      <c r="O110" s="620"/>
      <c r="P110" s="608">
        <f>IF(H130=1,E110,0)</f>
        <v>0</v>
      </c>
      <c r="Q110" s="608"/>
      <c r="R110" s="608"/>
      <c r="S110" s="83" t="s">
        <v>30</v>
      </c>
      <c r="T110" s="58">
        <f>G110</f>
        <v>565</v>
      </c>
      <c r="U110" s="475">
        <f>ROUND(T110*P110,2)</f>
        <v>0</v>
      </c>
    </row>
    <row r="111" spans="1:21" x14ac:dyDescent="0.25">
      <c r="A111" s="532" t="s">
        <v>380</v>
      </c>
      <c r="B111" s="553"/>
      <c r="C111" s="143">
        <v>1</v>
      </c>
      <c r="D111" s="143">
        <v>0</v>
      </c>
      <c r="E111" s="116">
        <f>(C111+D111)/2</f>
        <v>0.5</v>
      </c>
      <c r="F111" s="126" t="s">
        <v>30</v>
      </c>
      <c r="G111" s="305">
        <f>'1461'!G111</f>
        <v>1762</v>
      </c>
      <c r="I111" s="101">
        <f>ROUND(G111*E111,2)</f>
        <v>881</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5929913.0700000003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5694938.79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5694938.79</v>
      </c>
      <c r="I132" s="94">
        <f>ROUND(IF(E30=0,0,IF(E30&gt;250,-(((250/E30)*H132)*IF(G132="H",0.02,0.05)),IF(G132="H",-0.02*H132,-0.05*H132))),2)</f>
        <v>-96315.43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5833597.6400000006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-995405.93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4838191.7100000009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483819.17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188431.51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showGridLines="0" zoomScaleNormal="100" workbookViewId="0">
      <pane ySplit="4" topLeftCell="A71" activePane="bottomLeft" state="frozen"/>
      <selection activeCell="E26" sqref="E26"/>
      <selection pane="bottomLeft" activeCell="A5" sqref="A5:A51"/>
    </sheetView>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1" t="s">
        <v>307</v>
      </c>
      <c r="C3" s="512"/>
      <c r="D3" s="205"/>
      <c r="E3" s="511" t="s">
        <v>187</v>
      </c>
      <c r="F3" s="512"/>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357</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364</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364</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357</v>
      </c>
    </row>
    <row r="23" spans="1:9" x14ac:dyDescent="0.2">
      <c r="A23" s="216">
        <v>19</v>
      </c>
      <c r="B23" s="210" t="s">
        <v>177</v>
      </c>
      <c r="C23" s="212" t="s">
        <v>207</v>
      </c>
      <c r="D23" s="205"/>
      <c r="E23" s="210" t="s">
        <v>210</v>
      </c>
      <c r="F23" s="215" t="s">
        <v>356</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356</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353</v>
      </c>
      <c r="F42" s="211" t="s">
        <v>354</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353</v>
      </c>
      <c r="C51" s="211" t="s">
        <v>354</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121</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5.5</v>
      </c>
      <c r="D16" s="143">
        <v>3.5</v>
      </c>
      <c r="E16" s="116">
        <f t="shared" si="1"/>
        <v>9</v>
      </c>
      <c r="F16" s="558">
        <f>'1461'!F16:G16</f>
        <v>1</v>
      </c>
      <c r="G16" s="558"/>
      <c r="H16" s="80">
        <f t="shared" si="2"/>
        <v>9</v>
      </c>
      <c r="I16" s="101">
        <f t="shared" si="3"/>
        <v>48302.15</v>
      </c>
      <c r="N16" s="571" t="s">
        <v>22</v>
      </c>
      <c r="O16" s="571"/>
      <c r="P16" s="572">
        <f t="shared" si="0"/>
        <v>0</v>
      </c>
      <c r="Q16" s="572"/>
      <c r="R16" s="573">
        <v>1</v>
      </c>
      <c r="S16" s="573"/>
      <c r="T16" s="95">
        <f t="shared" si="4"/>
        <v>0</v>
      </c>
      <c r="U16" s="475">
        <f t="shared" si="5"/>
        <v>0</v>
      </c>
    </row>
    <row r="17" spans="1:21" x14ac:dyDescent="0.25">
      <c r="A17" s="520" t="s">
        <v>23</v>
      </c>
      <c r="B17" s="520"/>
      <c r="C17" s="143">
        <v>1.5</v>
      </c>
      <c r="D17" s="143">
        <v>2</v>
      </c>
      <c r="E17" s="116">
        <f t="shared" si="1"/>
        <v>3.5</v>
      </c>
      <c r="F17" s="558">
        <f>'1461'!F17:G17</f>
        <v>1</v>
      </c>
      <c r="G17" s="558"/>
      <c r="H17" s="80">
        <f t="shared" si="2"/>
        <v>3.5</v>
      </c>
      <c r="I17" s="101">
        <f t="shared" si="3"/>
        <v>18784.169999999998</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48.5</v>
      </c>
      <c r="D18" s="143">
        <v>48.19</v>
      </c>
      <c r="E18" s="116">
        <f t="shared" si="1"/>
        <v>96.69</v>
      </c>
      <c r="F18" s="558">
        <f>'1461'!F18:G18</f>
        <v>0.98799999999999999</v>
      </c>
      <c r="G18" s="558"/>
      <c r="H18" s="80">
        <f t="shared" si="2"/>
        <v>95.529700000000005</v>
      </c>
      <c r="I18" s="101">
        <f t="shared" si="3"/>
        <v>512698.93</v>
      </c>
      <c r="N18" s="571" t="s">
        <v>24</v>
      </c>
      <c r="O18" s="571"/>
      <c r="P18" s="572">
        <f t="shared" si="0"/>
        <v>0</v>
      </c>
      <c r="Q18" s="572"/>
      <c r="R18" s="573">
        <v>1</v>
      </c>
      <c r="S18" s="573"/>
      <c r="T18" s="95">
        <f t="shared" si="4"/>
        <v>0</v>
      </c>
      <c r="U18" s="475">
        <f t="shared" si="5"/>
        <v>0</v>
      </c>
    </row>
    <row r="19" spans="1:21" x14ac:dyDescent="0.25">
      <c r="A19" s="520" t="s">
        <v>25</v>
      </c>
      <c r="B19" s="520"/>
      <c r="C19" s="143">
        <v>12.44</v>
      </c>
      <c r="D19" s="143">
        <v>13.96</v>
      </c>
      <c r="E19" s="116">
        <f t="shared" si="1"/>
        <v>26.4</v>
      </c>
      <c r="F19" s="558">
        <f>'1461'!F19:G19</f>
        <v>0.98799999999999999</v>
      </c>
      <c r="G19" s="558"/>
      <c r="H19" s="80">
        <f t="shared" si="2"/>
        <v>26.083200000000001</v>
      </c>
      <c r="I19" s="101">
        <f t="shared" si="3"/>
        <v>139986.07999999999</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16">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67.94</v>
      </c>
      <c r="D30" s="94">
        <f>SUM(D14:D29)</f>
        <v>67.650000000000006</v>
      </c>
      <c r="E30" s="97">
        <f>SUM(E14:E29)</f>
        <v>135.59</v>
      </c>
      <c r="F30" s="539"/>
      <c r="G30" s="539"/>
      <c r="H30" s="99">
        <f>SUM(H14:H29)</f>
        <v>134.1129</v>
      </c>
      <c r="I30" s="94">
        <f>SUM(I14:I29)</f>
        <v>719771.33</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134.1129</v>
      </c>
      <c r="F46" s="34"/>
      <c r="G46" s="106"/>
      <c r="H46" s="107" t="s">
        <v>98</v>
      </c>
      <c r="I46" s="94">
        <f>SUM(I44,I30)</f>
        <v>719771.33</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719771.33</v>
      </c>
      <c r="G51" s="109" t="s">
        <v>6</v>
      </c>
      <c r="H51" s="403">
        <v>4.5199999999999997E-2</v>
      </c>
      <c r="I51" s="101">
        <f>ROUND(F51*H51,2)</f>
        <v>32533.66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719771.33</v>
      </c>
      <c r="G52" s="109" t="s">
        <v>6</v>
      </c>
      <c r="H52" s="403">
        <v>1.41E-2</v>
      </c>
      <c r="I52" s="101">
        <f>ROUND(F52*H52,2)</f>
        <v>10148.780000000001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42682.44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1.5</v>
      </c>
      <c r="D60" s="143">
        <v>2</v>
      </c>
      <c r="E60" s="116">
        <f t="shared" si="10"/>
        <v>3.5</v>
      </c>
      <c r="F60" s="446" t="s">
        <v>13</v>
      </c>
      <c r="G60" s="445">
        <v>251</v>
      </c>
      <c r="H60" s="459">
        <f>'1461'!H60</f>
        <v>1173</v>
      </c>
      <c r="I60" s="101">
        <f t="shared" si="11"/>
        <v>4105.5</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12.44</v>
      </c>
      <c r="D63" s="143">
        <v>13.96</v>
      </c>
      <c r="E63" s="116">
        <f t="shared" si="10"/>
        <v>26.4</v>
      </c>
      <c r="F63" s="446" t="s">
        <v>14</v>
      </c>
      <c r="G63" s="445">
        <v>251</v>
      </c>
      <c r="H63" s="459">
        <f>'1461'!H63</f>
        <v>835</v>
      </c>
      <c r="I63" s="101">
        <f t="shared" si="11"/>
        <v>22044</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13.94</v>
      </c>
      <c r="D66" s="97">
        <f>SUM(D57:D65)</f>
        <v>15.96</v>
      </c>
      <c r="E66" s="97">
        <f>SUM(E57:E65)</f>
        <v>29.9</v>
      </c>
      <c r="F66" s="523" t="s">
        <v>448</v>
      </c>
      <c r="G66" s="523"/>
      <c r="H66" s="523"/>
      <c r="I66" s="97">
        <f>SUM(I57:I65)</f>
        <v>26149.5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135.59</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6.6699999999999995E-4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134.1129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5.8900000000000001E-4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135.59</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7.2499999999999995E-4</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135.59</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6.6799999999999997E-4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135.59</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7.2599999999999997E-4</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6.6799999999999997E-4</v>
      </c>
      <c r="I85" s="101">
        <f>ROUND(F85*H85,2)</f>
        <v>29836.58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6.6699999999999995E-4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7.2599999999999997E-4</v>
      </c>
      <c r="I90" s="101">
        <f>ROUND(F90*H90,2)</f>
        <v>11737.28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7.2499999999999995E-4</v>
      </c>
      <c r="I92" s="101">
        <f t="shared" ref="I92:I96" si="14">ROUND(F92*H92,2)</f>
        <v>7279.07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5.8900000000000001E-4</v>
      </c>
      <c r="I94" s="101">
        <f t="shared" si="14"/>
        <v>140769.63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5.8900000000000001E-4</v>
      </c>
      <c r="I96" s="101">
        <f t="shared" si="14"/>
        <v>-942.43</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12.5</v>
      </c>
      <c r="D102" s="518"/>
      <c r="E102" s="46">
        <f>H8</f>
        <v>1.0442</v>
      </c>
      <c r="F102" s="304">
        <f>'1461'!F102</f>
        <v>904.74</v>
      </c>
      <c r="G102" s="39" t="s">
        <v>12</v>
      </c>
      <c r="H102" s="101">
        <f>ROUND(C102*E102*F102,2)</f>
        <v>11809.12</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121.61290000000001</v>
      </c>
      <c r="D103" s="518"/>
      <c r="E103" s="46">
        <f>H8</f>
        <v>1.0442</v>
      </c>
      <c r="F103" s="304">
        <f>'1461'!F103</f>
        <v>906.93</v>
      </c>
      <c r="G103" s="39" t="s">
        <v>12</v>
      </c>
      <c r="H103" s="94">
        <f>ROUND(C103*E103*F103,2)</f>
        <v>115169.4</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134.11290000000002</v>
      </c>
      <c r="D104" s="531"/>
      <c r="E104" s="123"/>
      <c r="F104" s="123"/>
      <c r="G104" s="123"/>
      <c r="H104" s="124" t="s">
        <v>100</v>
      </c>
      <c r="I104" s="101">
        <f>IF(A1=75,0,H103+H102+H101)</f>
        <v>126978.51999999999</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82</v>
      </c>
      <c r="D110" s="143">
        <v>103</v>
      </c>
      <c r="E110" s="116">
        <f>(C110+D110)/2</f>
        <v>92.5</v>
      </c>
      <c r="F110" s="126" t="s">
        <v>30</v>
      </c>
      <c r="G110" s="305">
        <f>'1461'!G110</f>
        <v>565</v>
      </c>
      <c r="I110" s="101">
        <f>ROUND(G110*E110,2)</f>
        <v>52262.5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1113841.9799999997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1071159.5399999998</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1071159.5399999998</v>
      </c>
      <c r="I132" s="94">
        <f>ROUND(IF(E30=0,0,IF(E30&gt;250,-(((250/E30)*H132)*IF(G132="H",0.02,0.05)),IF(G132="H",-0.02*H132,-0.05*H132))),2)</f>
        <v>-53557.98</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1060283.9999999998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-181975.22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878308.7799999998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87830.88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CCCC"/>
  </sheetPr>
  <dimension ref="A1:V218"/>
  <sheetViews>
    <sheetView showGridLines="0" zoomScaleNormal="100" workbookViewId="0">
      <pane ySplit="1" topLeftCell="A108"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46.93</v>
      </c>
      <c r="D19" s="143">
        <v>48.44</v>
      </c>
      <c r="E19" s="116">
        <f t="shared" si="1"/>
        <v>95.37</v>
      </c>
      <c r="F19" s="558">
        <f>'1461'!F19:G19</f>
        <v>0.98799999999999999</v>
      </c>
      <c r="G19" s="558"/>
      <c r="H19" s="80">
        <f t="shared" si="2"/>
        <v>94.2256</v>
      </c>
      <c r="I19" s="101">
        <f t="shared" si="3"/>
        <v>505699.94</v>
      </c>
      <c r="J19" s="65" t="str">
        <f>IF(ROUND(E19,2)=ROUND(SUM(E63:E65),2)," ","CHECK 4-8 LINES BELOW")</f>
        <v xml:space="preserve"> </v>
      </c>
      <c r="N19" s="571" t="s">
        <v>25</v>
      </c>
      <c r="O19" s="571"/>
      <c r="P19" s="572">
        <f t="shared" si="0"/>
        <v>95.37</v>
      </c>
      <c r="Q19" s="572"/>
      <c r="R19" s="573">
        <v>1</v>
      </c>
      <c r="S19" s="573"/>
      <c r="T19" s="95">
        <f t="shared" si="4"/>
        <v>95.37</v>
      </c>
      <c r="U19" s="474">
        <f t="shared" si="5"/>
        <v>511841.83</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46.93</v>
      </c>
      <c r="D30" s="94">
        <f>SUM(D14:D29)</f>
        <v>48.44</v>
      </c>
      <c r="E30" s="94">
        <f>SUM(E14:E29)</f>
        <v>95.37</v>
      </c>
      <c r="F30" s="539"/>
      <c r="G30" s="539"/>
      <c r="H30" s="99">
        <f>SUM(H14:H29)</f>
        <v>94.2256</v>
      </c>
      <c r="I30" s="94">
        <f>SUM(I14:I29)</f>
        <v>505699.94</v>
      </c>
      <c r="N30" s="590" t="s">
        <v>5</v>
      </c>
      <c r="O30" s="590"/>
      <c r="P30" s="591">
        <f>SUM(P14:P29)</f>
        <v>95.37</v>
      </c>
      <c r="Q30" s="591"/>
      <c r="R30" s="592"/>
      <c r="S30" s="592"/>
      <c r="T30" s="100">
        <f>SUM(T14:T29)</f>
        <v>95.37</v>
      </c>
      <c r="U30" s="475">
        <f>SUM(U14:U29)</f>
        <v>511841.83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94.2256</v>
      </c>
      <c r="F46" s="34"/>
      <c r="G46" s="106"/>
      <c r="H46" s="107" t="s">
        <v>98</v>
      </c>
      <c r="I46" s="94">
        <f>SUM(I44,I30)</f>
        <v>505699.94</v>
      </c>
      <c r="N46" s="616" t="s">
        <v>44</v>
      </c>
      <c r="O46" s="616"/>
      <c r="P46" s="616"/>
      <c r="Q46" s="616"/>
      <c r="R46" s="35">
        <f>R44+T30</f>
        <v>95.37</v>
      </c>
      <c r="S46" s="592" t="s">
        <v>42</v>
      </c>
      <c r="T46" s="592"/>
      <c r="U46" s="108">
        <f>SUM(U44,U30)</f>
        <v>511841.83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505699.94</v>
      </c>
      <c r="G51" s="109" t="s">
        <v>6</v>
      </c>
      <c r="H51" s="403">
        <v>4.5199999999999997E-2</v>
      </c>
      <c r="I51" s="101">
        <f>ROUND(F51*H51,2)</f>
        <v>22857.64</v>
      </c>
      <c r="N51" s="408"/>
      <c r="O51" s="409" t="s">
        <v>398</v>
      </c>
      <c r="P51" s="28"/>
      <c r="Q51" s="44" t="s">
        <v>399</v>
      </c>
      <c r="R51" s="410">
        <f>U30</f>
        <v>511841.83</v>
      </c>
      <c r="S51" s="411" t="s">
        <v>6</v>
      </c>
      <c r="T51" s="412">
        <v>4.5199999999999997E-2</v>
      </c>
      <c r="U51" s="404">
        <f>ROUND(R51*T51,2)</f>
        <v>23135.25</v>
      </c>
    </row>
    <row r="52" spans="1:22" x14ac:dyDescent="0.25">
      <c r="A52" s="26"/>
      <c r="B52" s="81" t="s">
        <v>400</v>
      </c>
      <c r="C52" s="26"/>
      <c r="D52" s="26"/>
      <c r="E52" s="43" t="s">
        <v>399</v>
      </c>
      <c r="F52" s="402">
        <f>I46</f>
        <v>505699.94</v>
      </c>
      <c r="G52" s="109" t="s">
        <v>6</v>
      </c>
      <c r="H52" s="403">
        <v>1.41E-2</v>
      </c>
      <c r="I52" s="101">
        <f>ROUND(F52*H52,2)</f>
        <v>7130.37</v>
      </c>
      <c r="N52" s="28"/>
      <c r="O52" s="385" t="s">
        <v>400</v>
      </c>
      <c r="P52" s="28"/>
      <c r="Q52" s="44" t="s">
        <v>399</v>
      </c>
      <c r="R52" s="410">
        <f>U30</f>
        <v>511841.83</v>
      </c>
      <c r="S52" s="411" t="s">
        <v>6</v>
      </c>
      <c r="T52" s="412">
        <v>1.41E-2</v>
      </c>
      <c r="U52" s="413">
        <f>ROUND(R52*T52,2)</f>
        <v>7216.97</v>
      </c>
    </row>
    <row r="53" spans="1:22" x14ac:dyDescent="0.25">
      <c r="A53" s="26"/>
      <c r="B53" s="81" t="s">
        <v>401</v>
      </c>
      <c r="C53" s="26"/>
      <c r="D53" s="26"/>
      <c r="E53" s="43"/>
      <c r="F53" s="402"/>
      <c r="G53" s="109"/>
      <c r="H53" s="403"/>
      <c r="I53" s="97">
        <f>SUM(I51:I52)</f>
        <v>29988.01</v>
      </c>
      <c r="N53" s="28"/>
      <c r="O53" s="385" t="s">
        <v>401</v>
      </c>
      <c r="P53" s="28"/>
      <c r="Q53" s="44"/>
      <c r="R53" s="410"/>
      <c r="S53" s="411"/>
      <c r="T53" s="412"/>
      <c r="U53" s="404">
        <f>SUM(U51:U52)</f>
        <v>30352.22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24.92</v>
      </c>
      <c r="D64" s="143">
        <v>26.68</v>
      </c>
      <c r="E64" s="116">
        <f t="shared" si="10"/>
        <v>51.6</v>
      </c>
      <c r="F64" s="446" t="s">
        <v>14</v>
      </c>
      <c r="G64" s="445">
        <v>252</v>
      </c>
      <c r="H64" s="459">
        <f>'1461'!H64</f>
        <v>3168</v>
      </c>
      <c r="I64" s="101">
        <f t="shared" si="11"/>
        <v>163468.79999999999</v>
      </c>
      <c r="N64" s="622"/>
      <c r="O64" s="622"/>
      <c r="P64" s="625"/>
      <c r="Q64" s="625"/>
      <c r="R64" s="40" t="s">
        <v>14</v>
      </c>
      <c r="S64" s="451">
        <v>252</v>
      </c>
      <c r="T64" s="462">
        <f t="shared" si="12"/>
        <v>3168</v>
      </c>
      <c r="U64" s="476">
        <f t="shared" si="13"/>
        <v>0</v>
      </c>
      <c r="V64" s="426"/>
    </row>
    <row r="65" spans="1:22" ht="16.5" thickBot="1" x14ac:dyDescent="0.3">
      <c r="A65" s="536"/>
      <c r="B65" s="536"/>
      <c r="C65" s="143">
        <v>22.01</v>
      </c>
      <c r="D65" s="143">
        <v>21.76</v>
      </c>
      <c r="E65" s="116">
        <f t="shared" si="10"/>
        <v>43.77</v>
      </c>
      <c r="F65" s="446" t="s">
        <v>14</v>
      </c>
      <c r="G65" s="445">
        <v>253</v>
      </c>
      <c r="H65" s="459">
        <f>'1461'!H65</f>
        <v>6685</v>
      </c>
      <c r="I65" s="101">
        <f t="shared" si="11"/>
        <v>292602.45</v>
      </c>
      <c r="N65" s="622"/>
      <c r="O65" s="622"/>
      <c r="P65" s="626"/>
      <c r="Q65" s="626"/>
      <c r="R65" s="40" t="s">
        <v>14</v>
      </c>
      <c r="S65" s="451">
        <v>253</v>
      </c>
      <c r="T65" s="462">
        <f t="shared" si="12"/>
        <v>6685</v>
      </c>
      <c r="U65" s="477">
        <f t="shared" si="13"/>
        <v>0</v>
      </c>
      <c r="V65" s="426"/>
    </row>
    <row r="66" spans="1:22" ht="16.5" thickBot="1" x14ac:dyDescent="0.3">
      <c r="A66" s="442"/>
      <c r="C66" s="97">
        <f>SUM(C57:C65)</f>
        <v>46.930000000000007</v>
      </c>
      <c r="D66" s="97">
        <f>SUM(D57:D65)</f>
        <v>48.44</v>
      </c>
      <c r="E66" s="97">
        <f>SUM(E57:E65)</f>
        <v>95.37</v>
      </c>
      <c r="F66" s="523" t="s">
        <v>448</v>
      </c>
      <c r="G66" s="523"/>
      <c r="H66" s="523"/>
      <c r="I66" s="97">
        <f>SUM(I57:I65)</f>
        <v>456071.25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95.37</v>
      </c>
      <c r="D69" s="533" t="s">
        <v>413</v>
      </c>
      <c r="E69" s="533"/>
      <c r="F69" s="533"/>
      <c r="G69" s="533"/>
      <c r="H69" s="301">
        <f>'1461'!H69</f>
        <v>203305.63</v>
      </c>
      <c r="I69" s="113"/>
      <c r="N69" s="594" t="s">
        <v>406</v>
      </c>
      <c r="O69" s="571"/>
      <c r="P69" s="41">
        <f>P30</f>
        <v>95.37</v>
      </c>
      <c r="Q69" s="599" t="s">
        <v>408</v>
      </c>
      <c r="R69" s="600"/>
      <c r="S69" s="600"/>
      <c r="T69" s="598">
        <f>H69</f>
        <v>203305.63</v>
      </c>
      <c r="U69" s="598"/>
    </row>
    <row r="70" spans="1:22" x14ac:dyDescent="0.25">
      <c r="B70" s="69"/>
      <c r="G70" s="42" t="s">
        <v>12</v>
      </c>
      <c r="H70" s="114">
        <f>ROUND(C69/H69,6)</f>
        <v>4.6900000000000002E-4</v>
      </c>
      <c r="I70" s="115"/>
      <c r="N70" s="571"/>
      <c r="O70" s="571"/>
      <c r="P70" s="571"/>
      <c r="Q70" s="571"/>
      <c r="R70" s="571"/>
      <c r="S70" s="571"/>
      <c r="T70" s="601">
        <f>ROUND(P69/T69,6)</f>
        <v>4.6900000000000002E-4</v>
      </c>
      <c r="U70" s="601"/>
    </row>
    <row r="71" spans="1:22" x14ac:dyDescent="0.25">
      <c r="A71" s="444" t="s">
        <v>451</v>
      </c>
      <c r="N71" s="455" t="s">
        <v>459</v>
      </c>
      <c r="O71" s="51"/>
      <c r="P71" s="51"/>
      <c r="Q71" s="51"/>
      <c r="R71" s="51"/>
      <c r="S71" s="51"/>
      <c r="T71" s="51"/>
      <c r="U71" s="51"/>
    </row>
    <row r="72" spans="1:22" x14ac:dyDescent="0.25">
      <c r="A72" s="519" t="s">
        <v>403</v>
      </c>
      <c r="B72" s="520"/>
      <c r="C72" s="112">
        <f>H30</f>
        <v>94.2256</v>
      </c>
      <c r="D72" s="533" t="s">
        <v>414</v>
      </c>
      <c r="E72" s="533"/>
      <c r="F72" s="533"/>
      <c r="G72" s="533"/>
      <c r="H72" s="302">
        <f>'1461'!H72</f>
        <v>227540.36</v>
      </c>
      <c r="I72" s="116"/>
      <c r="N72" s="594" t="s">
        <v>407</v>
      </c>
      <c r="O72" s="571"/>
      <c r="P72" s="41">
        <f>T30</f>
        <v>95.37</v>
      </c>
      <c r="Q72" s="599" t="s">
        <v>409</v>
      </c>
      <c r="R72" s="600"/>
      <c r="S72" s="600"/>
      <c r="T72" s="598">
        <f>H72</f>
        <v>227540.36</v>
      </c>
      <c r="U72" s="598"/>
    </row>
    <row r="73" spans="1:22" x14ac:dyDescent="0.25">
      <c r="G73" s="42" t="s">
        <v>12</v>
      </c>
      <c r="H73" s="114">
        <f>ROUND(C72/H72,6)</f>
        <v>4.1399999999999998E-4</v>
      </c>
      <c r="I73" s="114"/>
      <c r="N73" s="571"/>
      <c r="O73" s="571"/>
      <c r="P73" s="571"/>
      <c r="Q73" s="571"/>
      <c r="R73" s="571"/>
      <c r="S73" s="571"/>
      <c r="T73" s="601">
        <f>ROUND(P72/T72,6)</f>
        <v>4.1899999999999999E-4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95.37</v>
      </c>
      <c r="D75" s="532" t="s">
        <v>415</v>
      </c>
      <c r="E75" s="532"/>
      <c r="F75" s="532"/>
      <c r="G75" s="532"/>
      <c r="H75" s="301">
        <f>'1461'!H75</f>
        <v>186907.73</v>
      </c>
      <c r="I75" s="113"/>
      <c r="N75" s="594" t="s">
        <v>405</v>
      </c>
      <c r="O75" s="571"/>
      <c r="P75" s="41">
        <f>P30</f>
        <v>95.37</v>
      </c>
      <c r="Q75" s="604" t="s">
        <v>410</v>
      </c>
      <c r="R75" s="605"/>
      <c r="S75" s="605"/>
      <c r="T75" s="598">
        <f>H75</f>
        <v>186907.73</v>
      </c>
      <c r="U75" s="598"/>
    </row>
    <row r="76" spans="1:22" x14ac:dyDescent="0.25">
      <c r="B76" s="69"/>
      <c r="G76" s="42" t="s">
        <v>12</v>
      </c>
      <c r="H76" s="114">
        <f>ROUND(C75/H75,6)</f>
        <v>5.1000000000000004E-4</v>
      </c>
      <c r="I76" s="115"/>
      <c r="N76" s="571"/>
      <c r="O76" s="571"/>
      <c r="P76" s="571"/>
      <c r="Q76" s="571"/>
      <c r="R76" s="571"/>
      <c r="S76" s="571"/>
      <c r="T76" s="601">
        <f>ROUND(P75/T75,6)</f>
        <v>5.1000000000000004E-4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95.37</v>
      </c>
      <c r="D78" s="528" t="s">
        <v>416</v>
      </c>
      <c r="E78" s="528"/>
      <c r="F78" s="528"/>
      <c r="G78" s="528"/>
      <c r="H78" s="301">
        <f>'1461'!H78</f>
        <v>203080.55</v>
      </c>
      <c r="I78" s="113"/>
      <c r="N78" s="594" t="s">
        <v>405</v>
      </c>
      <c r="O78" s="571"/>
      <c r="P78" s="41">
        <f>P30</f>
        <v>95.37</v>
      </c>
      <c r="Q78" s="602" t="s">
        <v>411</v>
      </c>
      <c r="R78" s="603"/>
      <c r="S78" s="603"/>
      <c r="T78" s="598">
        <f>H78</f>
        <v>203080.55</v>
      </c>
      <c r="U78" s="598"/>
    </row>
    <row r="79" spans="1:22" x14ac:dyDescent="0.25">
      <c r="B79" s="69"/>
      <c r="G79" s="42" t="s">
        <v>12</v>
      </c>
      <c r="H79" s="114">
        <f>ROUND(C78/H78,6)</f>
        <v>4.6999999999999999E-4</v>
      </c>
      <c r="I79" s="115"/>
      <c r="N79" s="571"/>
      <c r="O79" s="571"/>
      <c r="P79" s="571"/>
      <c r="Q79" s="571"/>
      <c r="R79" s="571"/>
      <c r="S79" s="571"/>
      <c r="T79" s="601">
        <f>ROUND(P78/T78,6)</f>
        <v>4.6999999999999999E-4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95.37</v>
      </c>
      <c r="D81" s="532" t="s">
        <v>417</v>
      </c>
      <c r="E81" s="532"/>
      <c r="F81" s="532"/>
      <c r="G81" s="532"/>
      <c r="H81" s="301">
        <f>'1461'!H81</f>
        <v>186682.65</v>
      </c>
      <c r="I81" s="113"/>
      <c r="N81" s="594" t="s">
        <v>418</v>
      </c>
      <c r="O81" s="571"/>
      <c r="P81" s="41">
        <f>P30</f>
        <v>95.37</v>
      </c>
      <c r="Q81" s="604" t="s">
        <v>419</v>
      </c>
      <c r="R81" s="605"/>
      <c r="S81" s="605"/>
      <c r="T81" s="598">
        <f>H81</f>
        <v>186682.65</v>
      </c>
      <c r="U81" s="598"/>
    </row>
    <row r="82" spans="1:21" x14ac:dyDescent="0.25">
      <c r="B82" s="69"/>
      <c r="G82" s="42" t="s">
        <v>12</v>
      </c>
      <c r="H82" s="114">
        <f>ROUND(C81/H81,6)</f>
        <v>5.1099999999999995E-4</v>
      </c>
      <c r="I82" s="115"/>
      <c r="N82" s="571"/>
      <c r="O82" s="571"/>
      <c r="P82" s="571"/>
      <c r="Q82" s="571"/>
      <c r="R82" s="571"/>
      <c r="S82" s="571"/>
      <c r="T82" s="601">
        <f>ROUND(P81/T81,6)</f>
        <v>5.1099999999999995E-4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4.6999999999999999E-4</v>
      </c>
      <c r="I85" s="101">
        <f>ROUND(F85*H85,2)</f>
        <v>20992.799999999999</v>
      </c>
      <c r="N85" s="455" t="s">
        <v>455</v>
      </c>
      <c r="O85" s="51"/>
      <c r="P85" s="51"/>
      <c r="Q85" s="44"/>
      <c r="R85" s="421">
        <f>F85</f>
        <v>44665536</v>
      </c>
      <c r="S85" s="38" t="s">
        <v>6</v>
      </c>
      <c r="T85" s="423">
        <f>T79</f>
        <v>4.6999999999999999E-4</v>
      </c>
      <c r="U85" s="475">
        <f>ROUND(R85*T85,2)</f>
        <v>20992.799999999999</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4.6900000000000002E-4</v>
      </c>
      <c r="I88" s="101">
        <f>ROUND(F88*H88,2)</f>
        <v>0</v>
      </c>
      <c r="N88" s="606" t="s">
        <v>99</v>
      </c>
      <c r="O88" s="571"/>
      <c r="P88" s="571"/>
      <c r="Q88" s="44"/>
      <c r="R88" s="421">
        <f>F88</f>
        <v>0</v>
      </c>
      <c r="S88" s="38" t="s">
        <v>6</v>
      </c>
      <c r="T88" s="423">
        <f>T70</f>
        <v>4.6900000000000002E-4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5.1099999999999995E-4</v>
      </c>
      <c r="I90" s="101">
        <f>ROUND(F90*H90,2)</f>
        <v>8261.36</v>
      </c>
      <c r="N90" s="455" t="s">
        <v>456</v>
      </c>
      <c r="O90" s="51"/>
      <c r="P90" s="51"/>
      <c r="Q90" s="44"/>
      <c r="R90" s="421">
        <f>F90</f>
        <v>16167052</v>
      </c>
      <c r="S90" s="38" t="s">
        <v>6</v>
      </c>
      <c r="T90" s="423">
        <f>T82</f>
        <v>5.1099999999999995E-4</v>
      </c>
      <c r="U90" s="475">
        <f>ROUND(R90*T90,2)</f>
        <v>8261.36</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5.1000000000000004E-4</v>
      </c>
      <c r="I92" s="101">
        <f t="shared" ref="I92:I96" si="14">ROUND(F92*H92,2)</f>
        <v>5120.45</v>
      </c>
      <c r="N92" s="455" t="s">
        <v>457</v>
      </c>
      <c r="O92" s="51"/>
      <c r="P92" s="51"/>
      <c r="Q92" s="44"/>
      <c r="R92" s="421">
        <f t="shared" ref="R92:R96" si="15">F92</f>
        <v>10040099</v>
      </c>
      <c r="S92" s="38" t="s">
        <v>6</v>
      </c>
      <c r="T92" s="423">
        <f>T76</f>
        <v>5.1000000000000004E-4</v>
      </c>
      <c r="U92" s="475">
        <f>ROUND(R92*T92,2)</f>
        <v>5120.45</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4.1399999999999998E-4</v>
      </c>
      <c r="I94" s="101">
        <f t="shared" si="14"/>
        <v>98945.04</v>
      </c>
      <c r="N94" s="571" t="s">
        <v>421</v>
      </c>
      <c r="O94" s="571"/>
      <c r="P94" s="571"/>
      <c r="Q94" s="44"/>
      <c r="R94" s="421">
        <f t="shared" si="15"/>
        <v>238997674</v>
      </c>
      <c r="S94" s="38" t="s">
        <v>6</v>
      </c>
      <c r="T94" s="423">
        <f>T73</f>
        <v>4.1899999999999999E-4</v>
      </c>
      <c r="U94" s="475">
        <f>ROUND(R94*T94,2)</f>
        <v>100140.03</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4.1399999999999998E-4</v>
      </c>
      <c r="I96" s="101">
        <f t="shared" si="14"/>
        <v>-662.42</v>
      </c>
      <c r="N96" s="594" t="s">
        <v>422</v>
      </c>
      <c r="O96" s="571"/>
      <c r="P96" s="571"/>
      <c r="Q96" s="44"/>
      <c r="R96" s="421">
        <f t="shared" si="15"/>
        <v>-1600047</v>
      </c>
      <c r="S96" s="38" t="s">
        <v>6</v>
      </c>
      <c r="T96" s="423">
        <f>T73</f>
        <v>4.1899999999999999E-4</v>
      </c>
      <c r="U96" s="475">
        <f>ROUND(R96*T96,2)</f>
        <v>-670.42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94.2256</v>
      </c>
      <c r="D103" s="518"/>
      <c r="E103" s="46">
        <f>H8</f>
        <v>1.0442</v>
      </c>
      <c r="F103" s="304">
        <f>'1461'!F103</f>
        <v>906.93</v>
      </c>
      <c r="G103" s="39" t="s">
        <v>12</v>
      </c>
      <c r="H103" s="94">
        <f>ROUND(C103*E103*F103,2)</f>
        <v>89233.18</v>
      </c>
      <c r="N103" s="53" t="s">
        <v>14</v>
      </c>
      <c r="O103" s="54">
        <f>T18+T19+T22+T25+T28+T29</f>
        <v>95.37</v>
      </c>
      <c r="P103" s="609">
        <f>T8</f>
        <v>1.0442</v>
      </c>
      <c r="Q103" s="609"/>
      <c r="R103" s="48">
        <f>F103</f>
        <v>906.93</v>
      </c>
      <c r="S103" s="40" t="s">
        <v>12</v>
      </c>
      <c r="T103" s="481">
        <f>ROUND(O103*P103*R103,2)</f>
        <v>90316.95</v>
      </c>
      <c r="U103" s="51"/>
    </row>
    <row r="104" spans="1:21" ht="16.5" thickBot="1" x14ac:dyDescent="0.3">
      <c r="A104" s="55"/>
      <c r="B104" s="122" t="s">
        <v>102</v>
      </c>
      <c r="C104" s="531">
        <f>SUM(C101:C103)</f>
        <v>94.2256</v>
      </c>
      <c r="D104" s="531"/>
      <c r="E104" s="123"/>
      <c r="F104" s="123"/>
      <c r="G104" s="123"/>
      <c r="H104" s="124" t="s">
        <v>100</v>
      </c>
      <c r="I104" s="101">
        <f>IF(A1=75,0,H103+H102+H101)</f>
        <v>89233.18</v>
      </c>
      <c r="N104" s="56" t="s">
        <v>89</v>
      </c>
      <c r="O104" s="57">
        <f>SUM(O101:O103)</f>
        <v>95.37</v>
      </c>
      <c r="P104" s="610" t="s">
        <v>16</v>
      </c>
      <c r="Q104" s="611"/>
      <c r="R104" s="611"/>
      <c r="S104" s="611"/>
      <c r="T104" s="611"/>
      <c r="U104" s="475">
        <f>IF(N1=75,0,T103+T102+T101)</f>
        <v>90316.95</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61</v>
      </c>
      <c r="D110" s="143">
        <v>63</v>
      </c>
      <c r="E110" s="116">
        <f>(C110+D110)/2</f>
        <v>62</v>
      </c>
      <c r="F110" s="126" t="s">
        <v>30</v>
      </c>
      <c r="G110" s="305">
        <f>'1461'!G110</f>
        <v>565</v>
      </c>
      <c r="I110" s="101">
        <f>ROUND(G110*E110,2)</f>
        <v>35030</v>
      </c>
      <c r="N110" s="620" t="s">
        <v>52</v>
      </c>
      <c r="O110" s="620"/>
      <c r="P110" s="608">
        <f>IF(H130=1,E110,0)</f>
        <v>62</v>
      </c>
      <c r="Q110" s="608"/>
      <c r="R110" s="608"/>
      <c r="S110" s="83" t="s">
        <v>30</v>
      </c>
      <c r="T110" s="58">
        <f>G110</f>
        <v>565</v>
      </c>
      <c r="U110" s="475">
        <f>ROUND(T110*P110,2)</f>
        <v>35030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1218691.5999999999</v>
      </c>
      <c r="N125" s="455"/>
      <c r="O125" s="454"/>
      <c r="P125" s="454"/>
      <c r="Q125" s="307"/>
      <c r="R125" s="307"/>
      <c r="S125" s="307"/>
      <c r="T125" s="307"/>
      <c r="U125" s="482">
        <f>SUM(U30,U85,U88,U90,U92,U94,U96,U104,U110,U111,U121,U123)</f>
        <v>771032.99999999988</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1188703.5899999999</v>
      </c>
      <c r="N127" s="616" t="s">
        <v>33</v>
      </c>
      <c r="O127" s="616"/>
      <c r="P127" s="616"/>
      <c r="Q127" s="616"/>
      <c r="R127" s="616"/>
      <c r="S127" s="616"/>
      <c r="T127" s="616"/>
      <c r="U127" s="132">
        <f>U125-U53</f>
        <v>740680.77999999991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740680.77999999991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740680.77999999991</v>
      </c>
      <c r="I132" s="94">
        <f>ROUND(IF(E30=0,0,IF(E30&gt;250,-(((250/E30)*H132)*IF(G132="H",0.02,0.05)),IF(G132="H",-0.02*H132,-0.05*H132))),2)</f>
        <v>-37034.04</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1181657.5599999998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-177852.28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1003805.2799999998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100380.53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122</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122.5</v>
      </c>
      <c r="D18" s="143">
        <v>154.25</v>
      </c>
      <c r="E18" s="116">
        <f t="shared" si="1"/>
        <v>276.75</v>
      </c>
      <c r="F18" s="558">
        <f>'1461'!F18:G18</f>
        <v>0.98799999999999999</v>
      </c>
      <c r="G18" s="558"/>
      <c r="H18" s="80">
        <f t="shared" si="2"/>
        <v>273.42899999999997</v>
      </c>
      <c r="I18" s="101">
        <f t="shared" si="3"/>
        <v>1467467.76</v>
      </c>
      <c r="N18" s="571" t="s">
        <v>24</v>
      </c>
      <c r="O18" s="571"/>
      <c r="P18" s="572">
        <f t="shared" si="0"/>
        <v>0</v>
      </c>
      <c r="Q18" s="572"/>
      <c r="R18" s="573">
        <v>1</v>
      </c>
      <c r="S18" s="573"/>
      <c r="T18" s="95">
        <f t="shared" si="4"/>
        <v>0</v>
      </c>
      <c r="U18" s="475">
        <f t="shared" si="5"/>
        <v>0</v>
      </c>
    </row>
    <row r="19" spans="1:21" x14ac:dyDescent="0.25">
      <c r="A19" s="520" t="s">
        <v>25</v>
      </c>
      <c r="B19" s="520"/>
      <c r="C19" s="143">
        <v>24.5</v>
      </c>
      <c r="D19" s="143">
        <v>28.7</v>
      </c>
      <c r="E19" s="116">
        <f t="shared" si="1"/>
        <v>53.2</v>
      </c>
      <c r="F19" s="558">
        <f>'1461'!F19:G19</f>
        <v>0.98799999999999999</v>
      </c>
      <c r="G19" s="558"/>
      <c r="H19" s="80">
        <f t="shared" si="2"/>
        <v>52.561599999999999</v>
      </c>
      <c r="I19" s="101">
        <f t="shared" si="3"/>
        <v>282093.17</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7.7</v>
      </c>
      <c r="D28" s="143">
        <v>9.4700000000000006</v>
      </c>
      <c r="E28" s="116">
        <f t="shared" si="1"/>
        <v>17.170000000000002</v>
      </c>
      <c r="F28" s="558">
        <f>'1461'!F28:G28</f>
        <v>1.208</v>
      </c>
      <c r="G28" s="558"/>
      <c r="H28" s="80">
        <f t="shared" si="2"/>
        <v>20.741399999999999</v>
      </c>
      <c r="I28" s="101">
        <f t="shared" si="3"/>
        <v>111317.15</v>
      </c>
      <c r="N28" s="571" t="s">
        <v>87</v>
      </c>
      <c r="O28" s="571"/>
      <c r="P28" s="572">
        <f t="shared" si="0"/>
        <v>0</v>
      </c>
      <c r="Q28" s="572"/>
      <c r="R28" s="573">
        <v>1</v>
      </c>
      <c r="S28" s="573"/>
      <c r="T28" s="95">
        <f t="shared" si="4"/>
        <v>0</v>
      </c>
      <c r="U28" s="475">
        <f t="shared" si="5"/>
        <v>0</v>
      </c>
    </row>
    <row r="29" spans="1:21" x14ac:dyDescent="0.25">
      <c r="A29" s="520" t="s">
        <v>88</v>
      </c>
      <c r="B29" s="520"/>
      <c r="C29" s="110">
        <v>0</v>
      </c>
      <c r="D29" s="110">
        <v>3.12</v>
      </c>
      <c r="E29" s="154">
        <f t="shared" si="1"/>
        <v>3.12</v>
      </c>
      <c r="F29" s="558">
        <f>'1461'!F29:G29</f>
        <v>1.0720000000000001</v>
      </c>
      <c r="G29" s="558"/>
      <c r="H29" s="93">
        <f t="shared" si="2"/>
        <v>3.3445999999999998</v>
      </c>
      <c r="I29" s="94">
        <f t="shared" si="3"/>
        <v>17950.150000000001</v>
      </c>
      <c r="N29" s="588" t="s">
        <v>88</v>
      </c>
      <c r="O29" s="588"/>
      <c r="P29" s="572">
        <f t="shared" si="0"/>
        <v>0</v>
      </c>
      <c r="Q29" s="572"/>
      <c r="R29" s="589">
        <v>1</v>
      </c>
      <c r="S29" s="589"/>
      <c r="T29" s="95">
        <f t="shared" si="4"/>
        <v>0</v>
      </c>
      <c r="U29" s="475">
        <f t="shared" si="5"/>
        <v>0</v>
      </c>
    </row>
    <row r="30" spans="1:21" x14ac:dyDescent="0.25">
      <c r="A30" s="523" t="s">
        <v>5</v>
      </c>
      <c r="B30" s="523"/>
      <c r="C30" s="94">
        <f>SUM(C14:C29)</f>
        <v>154.69999999999999</v>
      </c>
      <c r="D30" s="94">
        <f>SUM(D14:D29)</f>
        <v>195.54</v>
      </c>
      <c r="E30" s="94">
        <f>SUM(E14:E29)</f>
        <v>350.24</v>
      </c>
      <c r="F30" s="539"/>
      <c r="G30" s="539"/>
      <c r="H30" s="99">
        <f>SUM(H14:H29)</f>
        <v>350.07659999999998</v>
      </c>
      <c r="I30" s="94">
        <f>SUM(I14:I29)</f>
        <v>1878828.2299999997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350.07659999999998</v>
      </c>
      <c r="F46" s="34"/>
      <c r="G46" s="106"/>
      <c r="H46" s="107" t="s">
        <v>98</v>
      </c>
      <c r="I46" s="94">
        <f>SUM(I44,I30)</f>
        <v>1878828.2299999997</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1878828.2299999997</v>
      </c>
      <c r="G51" s="109" t="s">
        <v>6</v>
      </c>
      <c r="H51" s="403">
        <v>4.5199999999999997E-2</v>
      </c>
      <c r="I51" s="101">
        <f>ROUND(F51*H51,2)</f>
        <v>84923.04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1878828.2299999997</v>
      </c>
      <c r="G52" s="109" t="s">
        <v>6</v>
      </c>
      <c r="H52" s="403">
        <v>1.41E-2</v>
      </c>
      <c r="I52" s="101">
        <f>ROUND(F52*H52,2)</f>
        <v>26491.48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111414.51999999999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23</v>
      </c>
      <c r="D63" s="143">
        <v>26.79</v>
      </c>
      <c r="E63" s="116">
        <f t="shared" si="10"/>
        <v>49.79</v>
      </c>
      <c r="F63" s="446" t="s">
        <v>14</v>
      </c>
      <c r="G63" s="445">
        <v>251</v>
      </c>
      <c r="H63" s="459">
        <f>'1461'!H63</f>
        <v>835</v>
      </c>
      <c r="I63" s="101">
        <f t="shared" si="11"/>
        <v>41574.65</v>
      </c>
      <c r="N63" s="622"/>
      <c r="O63" s="622"/>
      <c r="P63" s="625"/>
      <c r="Q63" s="625"/>
      <c r="R63" s="40" t="s">
        <v>14</v>
      </c>
      <c r="S63" s="451">
        <v>251</v>
      </c>
      <c r="T63" s="462">
        <f t="shared" si="12"/>
        <v>835</v>
      </c>
      <c r="U63" s="476">
        <f t="shared" si="13"/>
        <v>0</v>
      </c>
      <c r="V63" s="426"/>
    </row>
    <row r="64" spans="1:22" x14ac:dyDescent="0.25">
      <c r="A64" s="536"/>
      <c r="B64" s="536"/>
      <c r="C64" s="143">
        <v>1</v>
      </c>
      <c r="D64" s="143">
        <v>1.91</v>
      </c>
      <c r="E64" s="116">
        <f t="shared" si="10"/>
        <v>2.91</v>
      </c>
      <c r="F64" s="446" t="s">
        <v>14</v>
      </c>
      <c r="G64" s="445">
        <v>252</v>
      </c>
      <c r="H64" s="459">
        <f>'1461'!H64</f>
        <v>3168</v>
      </c>
      <c r="I64" s="101">
        <f t="shared" si="11"/>
        <v>9218.8799999999992</v>
      </c>
      <c r="N64" s="622"/>
      <c r="O64" s="622"/>
      <c r="P64" s="625"/>
      <c r="Q64" s="625"/>
      <c r="R64" s="40" t="s">
        <v>14</v>
      </c>
      <c r="S64" s="451">
        <v>252</v>
      </c>
      <c r="T64" s="462">
        <f t="shared" si="12"/>
        <v>3168</v>
      </c>
      <c r="U64" s="476">
        <f t="shared" si="13"/>
        <v>0</v>
      </c>
      <c r="V64" s="426"/>
    </row>
    <row r="65" spans="1:22" ht="16.5" thickBot="1" x14ac:dyDescent="0.3">
      <c r="A65" s="536"/>
      <c r="B65" s="536"/>
      <c r="C65" s="143">
        <v>0.5</v>
      </c>
      <c r="D65" s="143">
        <v>0</v>
      </c>
      <c r="E65" s="116">
        <f t="shared" si="10"/>
        <v>0.5</v>
      </c>
      <c r="F65" s="446" t="s">
        <v>14</v>
      </c>
      <c r="G65" s="445">
        <v>253</v>
      </c>
      <c r="H65" s="459">
        <f>'1461'!H65</f>
        <v>6685</v>
      </c>
      <c r="I65" s="101">
        <f t="shared" si="11"/>
        <v>3342.5</v>
      </c>
      <c r="N65" s="622"/>
      <c r="O65" s="622"/>
      <c r="P65" s="626"/>
      <c r="Q65" s="626"/>
      <c r="R65" s="40" t="s">
        <v>14</v>
      </c>
      <c r="S65" s="451">
        <v>253</v>
      </c>
      <c r="T65" s="462">
        <f t="shared" si="12"/>
        <v>6685</v>
      </c>
      <c r="U65" s="477">
        <f t="shared" si="13"/>
        <v>0</v>
      </c>
      <c r="V65" s="426"/>
    </row>
    <row r="66" spans="1:22" ht="16.5" thickBot="1" x14ac:dyDescent="0.3">
      <c r="A66" s="442"/>
      <c r="C66" s="97">
        <f>SUM(C57:C65)</f>
        <v>24.5</v>
      </c>
      <c r="D66" s="97">
        <f>SUM(D57:D65)</f>
        <v>28.7</v>
      </c>
      <c r="E66" s="97">
        <f>SUM(E57:E65)</f>
        <v>53.2</v>
      </c>
      <c r="F66" s="523" t="s">
        <v>448</v>
      </c>
      <c r="G66" s="523"/>
      <c r="H66" s="523"/>
      <c r="I66" s="97">
        <f>SUM(I57:I65)</f>
        <v>54136.03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350.24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1.7229999999999999E-3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350.07659999999998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1.539E-3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350.24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1.874E-3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350.24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1.725E-3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350.24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1.8760000000000001E-3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1.725E-3</v>
      </c>
      <c r="I85" s="101">
        <f>ROUND(F85*H85,2)</f>
        <v>77048.05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1.7229999999999999E-3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1.8760000000000001E-3</v>
      </c>
      <c r="I90" s="101">
        <f>ROUND(F90*H90,2)</f>
        <v>30329.39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1.874E-3</v>
      </c>
      <c r="I92" s="101">
        <f t="shared" ref="I92:I96" si="14">ROUND(F92*H92,2)</f>
        <v>18815.150000000001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1.539E-3</v>
      </c>
      <c r="I94" s="101">
        <f t="shared" si="14"/>
        <v>367817.42</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1.539E-3</v>
      </c>
      <c r="I96" s="101">
        <f t="shared" si="14"/>
        <v>-2462.4699999999998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350.07659999999998</v>
      </c>
      <c r="D103" s="518"/>
      <c r="E103" s="46">
        <f>H8</f>
        <v>1.0442</v>
      </c>
      <c r="F103" s="304">
        <f>'1461'!F103</f>
        <v>906.93</v>
      </c>
      <c r="G103" s="39" t="s">
        <v>12</v>
      </c>
      <c r="H103" s="94">
        <f>ROUND(C103*E103*F103,2)</f>
        <v>331528.25</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350.07659999999998</v>
      </c>
      <c r="D104" s="531"/>
      <c r="E104" s="123"/>
      <c r="F104" s="123"/>
      <c r="G104" s="123"/>
      <c r="H104" s="124" t="s">
        <v>100</v>
      </c>
      <c r="I104" s="101">
        <f>IF(A1=75,0,H103+H102+H101)</f>
        <v>331528.25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141</v>
      </c>
      <c r="D110" s="143">
        <v>11</v>
      </c>
      <c r="E110" s="116">
        <f>(C110+D110)/2</f>
        <v>76</v>
      </c>
      <c r="F110" s="126" t="s">
        <v>30</v>
      </c>
      <c r="G110" s="305">
        <f>'1461'!G110</f>
        <v>565</v>
      </c>
      <c r="I110" s="101">
        <f>ROUND(G110*E110,2)</f>
        <v>42940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2798980.0499999993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2687565.5299999993</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2687565.5299999993</v>
      </c>
      <c r="I132" s="94">
        <f>ROUND(IF(E30=0,0,IF(E30&gt;250,-(((250/E30)*H132)*IF(G132="H",0.02,0.05)),IF(G132="H",-0.02*H132,-0.05*H132))),2)</f>
        <v>-95918.71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2703061.3399999994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-461939.81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2241121.5299999993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224112.15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38459.57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102.22</v>
      </c>
      <c r="D14" s="141">
        <v>101.72</v>
      </c>
      <c r="E14" s="187">
        <f>IF(D$30=0,C14*2,C14+D14)</f>
        <v>203.94</v>
      </c>
      <c r="F14" s="561">
        <f>'1461'!F14:G14</f>
        <v>1.1220000000000001</v>
      </c>
      <c r="G14" s="561"/>
      <c r="H14" s="145">
        <f>ROUND(E14*F14,4)</f>
        <v>228.82069999999999</v>
      </c>
      <c r="I14" s="111">
        <f>ROUND(ROUND(ROUND(H14*$C$8,4)*($H$8),2)*(MAX($H$9,1)),2)</f>
        <v>1228059.2</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17</v>
      </c>
      <c r="D15" s="143">
        <v>19.52</v>
      </c>
      <c r="E15" s="116">
        <f t="shared" ref="E15:E29" si="1">IF(D$30=0,C15*2,C15+D15)</f>
        <v>36.519999999999996</v>
      </c>
      <c r="F15" s="558">
        <f>'1461'!F15:G15</f>
        <v>1.1220000000000001</v>
      </c>
      <c r="G15" s="558"/>
      <c r="H15" s="80">
        <f t="shared" ref="H15:H29" si="2">ROUND(E15*F15,4)</f>
        <v>40.9754</v>
      </c>
      <c r="I15" s="101">
        <f t="shared" ref="I15:I29" si="3">ROUND(ROUND(ROUND(H15*$C$8,4)*($H$8),2)*(MAX($H$9,1)),2)</f>
        <v>219911.12</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39</v>
      </c>
      <c r="D16" s="143">
        <v>38.99</v>
      </c>
      <c r="E16" s="116">
        <f t="shared" si="1"/>
        <v>77.990000000000009</v>
      </c>
      <c r="F16" s="558">
        <f>'1461'!F16:G16</f>
        <v>1</v>
      </c>
      <c r="G16" s="558"/>
      <c r="H16" s="80">
        <f t="shared" si="2"/>
        <v>77.989999999999995</v>
      </c>
      <c r="I16" s="101">
        <f t="shared" si="3"/>
        <v>418565</v>
      </c>
      <c r="N16" s="571" t="s">
        <v>22</v>
      </c>
      <c r="O16" s="571"/>
      <c r="P16" s="572">
        <f t="shared" si="0"/>
        <v>0</v>
      </c>
      <c r="Q16" s="572"/>
      <c r="R16" s="573">
        <v>1</v>
      </c>
      <c r="S16" s="573"/>
      <c r="T16" s="95">
        <f t="shared" si="4"/>
        <v>0</v>
      </c>
      <c r="U16" s="475">
        <f t="shared" si="5"/>
        <v>0</v>
      </c>
    </row>
    <row r="17" spans="1:21" x14ac:dyDescent="0.25">
      <c r="A17" s="520" t="s">
        <v>23</v>
      </c>
      <c r="B17" s="520"/>
      <c r="C17" s="143">
        <v>12.5</v>
      </c>
      <c r="D17" s="143">
        <v>11.99</v>
      </c>
      <c r="E17" s="116">
        <f t="shared" si="1"/>
        <v>24.490000000000002</v>
      </c>
      <c r="F17" s="558">
        <f>'1461'!F17:G17</f>
        <v>1</v>
      </c>
      <c r="G17" s="558"/>
      <c r="H17" s="80">
        <f t="shared" si="2"/>
        <v>24.49</v>
      </c>
      <c r="I17" s="101">
        <f t="shared" si="3"/>
        <v>131435.53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3.28</v>
      </c>
      <c r="D26" s="143">
        <v>3.28</v>
      </c>
      <c r="E26" s="116">
        <f t="shared" si="1"/>
        <v>6.56</v>
      </c>
      <c r="F26" s="558">
        <f>'1461'!F26:G26</f>
        <v>1.208</v>
      </c>
      <c r="G26" s="558"/>
      <c r="H26" s="80">
        <f t="shared" si="2"/>
        <v>7.9245000000000001</v>
      </c>
      <c r="I26" s="101">
        <f t="shared" si="3"/>
        <v>42530.05</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174</v>
      </c>
      <c r="D30" s="94">
        <f>SUM(D14:D29)</f>
        <v>175.5</v>
      </c>
      <c r="E30" s="94">
        <f>SUM(E14:E29)</f>
        <v>349.5</v>
      </c>
      <c r="F30" s="539"/>
      <c r="G30" s="539"/>
      <c r="H30" s="99">
        <f>SUM(H14:H29)</f>
        <v>380.20060000000001</v>
      </c>
      <c r="I30" s="94">
        <f>SUM(I14:I29)</f>
        <v>2040500.9</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380.20060000000001</v>
      </c>
      <c r="F46" s="34"/>
      <c r="G46" s="106"/>
      <c r="H46" s="107" t="s">
        <v>98</v>
      </c>
      <c r="I46" s="94">
        <f>SUM(I44,I30)</f>
        <v>2040500.9</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2040500.9</v>
      </c>
      <c r="G51" s="109" t="s">
        <v>6</v>
      </c>
      <c r="H51" s="403">
        <v>4.5199999999999997E-2</v>
      </c>
      <c r="I51" s="101">
        <f>ROUND(F51*H51,2)</f>
        <v>92230.64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2040500.9</v>
      </c>
      <c r="G52" s="109" t="s">
        <v>6</v>
      </c>
      <c r="H52" s="403">
        <v>1.41E-2</v>
      </c>
      <c r="I52" s="101">
        <f>ROUND(F52*H52,2)</f>
        <v>28771.06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121001.7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16</v>
      </c>
      <c r="D57" s="143">
        <v>18.61</v>
      </c>
      <c r="E57" s="116">
        <f t="shared" ref="E57:E65" si="10">IF(D$72=0,C57*2,C57+D57)</f>
        <v>34.61</v>
      </c>
      <c r="F57" s="445" t="s">
        <v>439</v>
      </c>
      <c r="G57" s="445">
        <v>251</v>
      </c>
      <c r="H57" s="459">
        <f>'1461'!H57</f>
        <v>1047</v>
      </c>
      <c r="I57" s="101">
        <f>ROUND(E57*H57,2)</f>
        <v>36236.67</v>
      </c>
      <c r="N57" s="621" t="s">
        <v>447</v>
      </c>
      <c r="O57" s="621"/>
      <c r="P57" s="624"/>
      <c r="Q57" s="624"/>
      <c r="R57" s="451" t="s">
        <v>439</v>
      </c>
      <c r="S57" s="451">
        <v>251</v>
      </c>
      <c r="T57" s="462">
        <f>H57</f>
        <v>1047</v>
      </c>
      <c r="U57" s="476">
        <f>ROUND(P57*T57,2)</f>
        <v>0</v>
      </c>
      <c r="V57" s="426"/>
    </row>
    <row r="58" spans="1:22" x14ac:dyDescent="0.25">
      <c r="A58" s="536"/>
      <c r="B58" s="536"/>
      <c r="C58" s="143">
        <v>1</v>
      </c>
      <c r="D58" s="143">
        <v>0.91</v>
      </c>
      <c r="E58" s="116">
        <f t="shared" si="10"/>
        <v>1.9100000000000001</v>
      </c>
      <c r="F58" s="445" t="s">
        <v>439</v>
      </c>
      <c r="G58" s="445">
        <v>252</v>
      </c>
      <c r="H58" s="459">
        <f>'1461'!H58</f>
        <v>3380</v>
      </c>
      <c r="I58" s="101">
        <f t="shared" ref="I58:I65" si="11">ROUND(E58*H58,2)</f>
        <v>6455.8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12.5</v>
      </c>
      <c r="D60" s="143">
        <v>11.58</v>
      </c>
      <c r="E60" s="116">
        <f t="shared" si="10"/>
        <v>24.08</v>
      </c>
      <c r="F60" s="446" t="s">
        <v>13</v>
      </c>
      <c r="G60" s="445">
        <v>251</v>
      </c>
      <c r="H60" s="459">
        <f>'1461'!H60</f>
        <v>1173</v>
      </c>
      <c r="I60" s="101">
        <f t="shared" si="11"/>
        <v>28245.84</v>
      </c>
      <c r="N60" s="622"/>
      <c r="O60" s="622"/>
      <c r="P60" s="625"/>
      <c r="Q60" s="625"/>
      <c r="R60" s="40" t="s">
        <v>13</v>
      </c>
      <c r="S60" s="451">
        <v>251</v>
      </c>
      <c r="T60" s="462">
        <f t="shared" si="12"/>
        <v>1173</v>
      </c>
      <c r="U60" s="476">
        <f t="shared" si="13"/>
        <v>0</v>
      </c>
      <c r="V60" s="426"/>
    </row>
    <row r="61" spans="1:22" x14ac:dyDescent="0.25">
      <c r="A61" s="536"/>
      <c r="B61" s="536"/>
      <c r="C61" s="143">
        <v>0</v>
      </c>
      <c r="D61" s="143">
        <v>0.41</v>
      </c>
      <c r="E61" s="116">
        <f t="shared" si="10"/>
        <v>0.41</v>
      </c>
      <c r="F61" s="446" t="s">
        <v>13</v>
      </c>
      <c r="G61" s="445">
        <v>252</v>
      </c>
      <c r="H61" s="459">
        <f>'1461'!H61</f>
        <v>3506</v>
      </c>
      <c r="I61" s="101">
        <f t="shared" si="11"/>
        <v>1437.46</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29.5</v>
      </c>
      <c r="D66" s="97">
        <f>SUM(D57:D65)</f>
        <v>31.51</v>
      </c>
      <c r="E66" s="97">
        <f>SUM(E57:E65)</f>
        <v>61.009999999999991</v>
      </c>
      <c r="F66" s="523" t="s">
        <v>448</v>
      </c>
      <c r="G66" s="523"/>
      <c r="H66" s="523"/>
      <c r="I66" s="97">
        <f>SUM(I57:I65)</f>
        <v>72375.77</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349.5</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1.719E-3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380.20060000000001</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1.671E-3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349.5</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1.8699999999999999E-3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349.5</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1.7210000000000001E-3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349.5</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1.872E-3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1.7210000000000001E-3</v>
      </c>
      <c r="I85" s="101">
        <f>ROUND(F85*H85,2)</f>
        <v>76869.39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1.719E-3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1.872E-3</v>
      </c>
      <c r="I90" s="101">
        <f>ROUND(F90*H90,2)</f>
        <v>30264.720000000001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1.8699999999999999E-3</v>
      </c>
      <c r="I92" s="101">
        <f t="shared" ref="I92:I96" si="14">ROUND(F92*H92,2)</f>
        <v>18774.990000000002</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1.671E-3</v>
      </c>
      <c r="I94" s="101">
        <f t="shared" si="14"/>
        <v>399365.11</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1.671E-3</v>
      </c>
      <c r="I96" s="101">
        <f t="shared" si="14"/>
        <v>-2673.68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277.72059999999999</v>
      </c>
      <c r="D101" s="518"/>
      <c r="E101" s="46">
        <f>H8</f>
        <v>1.0442</v>
      </c>
      <c r="F101" s="304">
        <f>'1461'!F101</f>
        <v>947.59</v>
      </c>
      <c r="G101" s="39" t="s">
        <v>12</v>
      </c>
      <c r="H101" s="101">
        <f>ROUND(C101*E101*F101,2)</f>
        <v>274797.17</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102.47999999999999</v>
      </c>
      <c r="D102" s="518"/>
      <c r="E102" s="46">
        <f>H8</f>
        <v>1.0442</v>
      </c>
      <c r="F102" s="304">
        <f>'1461'!F102</f>
        <v>904.74</v>
      </c>
      <c r="G102" s="39" t="s">
        <v>12</v>
      </c>
      <c r="H102" s="101">
        <f>ROUND(C102*E102*F102,2)</f>
        <v>96815.88</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380.20060000000001</v>
      </c>
      <c r="D104" s="531"/>
      <c r="E104" s="123"/>
      <c r="F104" s="123"/>
      <c r="G104" s="123"/>
      <c r="H104" s="124" t="s">
        <v>100</v>
      </c>
      <c r="I104" s="101">
        <f>IF(A1=75,0,H103+H102+H101)</f>
        <v>371613.05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v>
      </c>
      <c r="D110" s="143">
        <v>1</v>
      </c>
      <c r="E110" s="116">
        <f>(C110+D110)/2</f>
        <v>1</v>
      </c>
      <c r="F110" s="126" t="s">
        <v>30</v>
      </c>
      <c r="G110" s="305">
        <f>'1461'!G110</f>
        <v>565</v>
      </c>
      <c r="I110" s="101">
        <f>ROUND(G110*E110,2)</f>
        <v>565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3007655.25</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2886653.55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2886653.55</v>
      </c>
      <c r="I132" s="94">
        <f>ROUND(IF(E30=0,0,IF(E30&gt;250,-(((250/E30)*H132)*IF(G132="H",0.02,0.05)),IF(G132="H",-0.02*H132,-0.05*H132))),2)</f>
        <v>-41296.9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2966358.35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-506538.3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2459820.0500000003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245982.01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16436.169999999998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124</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121.43</v>
      </c>
      <c r="D18" s="143">
        <v>142.29</v>
      </c>
      <c r="E18" s="116">
        <f t="shared" si="1"/>
        <v>263.72000000000003</v>
      </c>
      <c r="F18" s="558">
        <f>'1461'!F18:G18</f>
        <v>0.98799999999999999</v>
      </c>
      <c r="G18" s="558"/>
      <c r="H18" s="80">
        <f t="shared" si="2"/>
        <v>260.55540000000002</v>
      </c>
      <c r="I18" s="101">
        <f t="shared" si="3"/>
        <v>1398376.36</v>
      </c>
      <c r="N18" s="571" t="s">
        <v>24</v>
      </c>
      <c r="O18" s="571"/>
      <c r="P18" s="572">
        <f t="shared" si="0"/>
        <v>0</v>
      </c>
      <c r="Q18" s="572"/>
      <c r="R18" s="573">
        <v>1</v>
      </c>
      <c r="S18" s="573"/>
      <c r="T18" s="95">
        <f t="shared" si="4"/>
        <v>0</v>
      </c>
      <c r="U18" s="475">
        <f t="shared" si="5"/>
        <v>0</v>
      </c>
    </row>
    <row r="19" spans="1:21" x14ac:dyDescent="0.25">
      <c r="A19" s="520" t="s">
        <v>25</v>
      </c>
      <c r="B19" s="520"/>
      <c r="C19" s="143">
        <v>19.5</v>
      </c>
      <c r="D19" s="143">
        <v>23.39</v>
      </c>
      <c r="E19" s="116">
        <f t="shared" si="1"/>
        <v>42.89</v>
      </c>
      <c r="F19" s="558">
        <f>'1461'!F19:G19</f>
        <v>0.98799999999999999</v>
      </c>
      <c r="G19" s="558"/>
      <c r="H19" s="80">
        <f t="shared" si="2"/>
        <v>42.375300000000003</v>
      </c>
      <c r="I19" s="101">
        <f t="shared" si="3"/>
        <v>227424.25</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6.2</v>
      </c>
      <c r="D28" s="143">
        <v>9.08</v>
      </c>
      <c r="E28" s="116">
        <f t="shared" si="1"/>
        <v>15.280000000000001</v>
      </c>
      <c r="F28" s="558">
        <f>'1461'!F28:G28</f>
        <v>1.208</v>
      </c>
      <c r="G28" s="558"/>
      <c r="H28" s="80">
        <f t="shared" si="2"/>
        <v>18.458200000000001</v>
      </c>
      <c r="I28" s="101">
        <f t="shared" si="3"/>
        <v>99063.43</v>
      </c>
      <c r="N28" s="571" t="s">
        <v>87</v>
      </c>
      <c r="O28" s="571"/>
      <c r="P28" s="572">
        <f t="shared" si="0"/>
        <v>0</v>
      </c>
      <c r="Q28" s="572"/>
      <c r="R28" s="573">
        <v>1</v>
      </c>
      <c r="S28" s="573"/>
      <c r="T28" s="95">
        <f t="shared" si="4"/>
        <v>0</v>
      </c>
      <c r="U28" s="475">
        <f t="shared" si="5"/>
        <v>0</v>
      </c>
    </row>
    <row r="29" spans="1:21" x14ac:dyDescent="0.25">
      <c r="A29" s="520" t="s">
        <v>88</v>
      </c>
      <c r="B29" s="520"/>
      <c r="C29" s="110">
        <v>2.1</v>
      </c>
      <c r="D29" s="110">
        <v>1.4</v>
      </c>
      <c r="E29" s="154">
        <f t="shared" si="1"/>
        <v>3.5</v>
      </c>
      <c r="F29" s="558">
        <f>'1461'!F29:G29</f>
        <v>1.0720000000000001</v>
      </c>
      <c r="G29" s="558"/>
      <c r="H29" s="93">
        <f t="shared" si="2"/>
        <v>3.7519999999999998</v>
      </c>
      <c r="I29" s="94">
        <f t="shared" si="3"/>
        <v>20136.63</v>
      </c>
      <c r="N29" s="588" t="s">
        <v>88</v>
      </c>
      <c r="O29" s="588"/>
      <c r="P29" s="572">
        <f t="shared" si="0"/>
        <v>0</v>
      </c>
      <c r="Q29" s="572"/>
      <c r="R29" s="589">
        <v>1</v>
      </c>
      <c r="S29" s="589"/>
      <c r="T29" s="95">
        <f t="shared" si="4"/>
        <v>0</v>
      </c>
      <c r="U29" s="475">
        <f t="shared" si="5"/>
        <v>0</v>
      </c>
    </row>
    <row r="30" spans="1:21" x14ac:dyDescent="0.25">
      <c r="A30" s="523" t="s">
        <v>5</v>
      </c>
      <c r="B30" s="523"/>
      <c r="C30" s="94">
        <f>SUM(C14:C29)</f>
        <v>149.22999999999999</v>
      </c>
      <c r="D30" s="94">
        <f>SUM(D14:D29)</f>
        <v>176.16000000000003</v>
      </c>
      <c r="E30" s="94">
        <f>SUM(E14:E29)</f>
        <v>325.39</v>
      </c>
      <c r="F30" s="539"/>
      <c r="G30" s="539"/>
      <c r="H30" s="99">
        <f>SUM(H14:H29)</f>
        <v>325.14089999999999</v>
      </c>
      <c r="I30" s="94">
        <f>SUM(I14:I29)</f>
        <v>1745000.67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325.14089999999999</v>
      </c>
      <c r="F46" s="34"/>
      <c r="G46" s="106"/>
      <c r="H46" s="107" t="s">
        <v>98</v>
      </c>
      <c r="I46" s="94">
        <f>SUM(I44,I30)</f>
        <v>1745000.67</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1745000.67</v>
      </c>
      <c r="G51" s="109" t="s">
        <v>6</v>
      </c>
      <c r="H51" s="403">
        <v>4.5199999999999997E-2</v>
      </c>
      <c r="I51" s="101">
        <f>ROUND(F51*H51,2)</f>
        <v>78874.03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1745000.67</v>
      </c>
      <c r="G52" s="109" t="s">
        <v>6</v>
      </c>
      <c r="H52" s="403">
        <v>1.41E-2</v>
      </c>
      <c r="I52" s="101">
        <f>ROUND(F52*H52,2)</f>
        <v>24604.51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103478.54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17.5</v>
      </c>
      <c r="D63" s="143">
        <v>21.47</v>
      </c>
      <c r="E63" s="116">
        <f t="shared" si="10"/>
        <v>38.97</v>
      </c>
      <c r="F63" s="446" t="s">
        <v>14</v>
      </c>
      <c r="G63" s="445">
        <v>251</v>
      </c>
      <c r="H63" s="459">
        <f>'1461'!H63</f>
        <v>835</v>
      </c>
      <c r="I63" s="101">
        <f t="shared" si="11"/>
        <v>32539.95</v>
      </c>
      <c r="N63" s="622"/>
      <c r="O63" s="622"/>
      <c r="P63" s="625"/>
      <c r="Q63" s="625"/>
      <c r="R63" s="40" t="s">
        <v>14</v>
      </c>
      <c r="S63" s="451">
        <v>251</v>
      </c>
      <c r="T63" s="462">
        <f t="shared" si="12"/>
        <v>835</v>
      </c>
      <c r="U63" s="476">
        <f t="shared" si="13"/>
        <v>0</v>
      </c>
      <c r="V63" s="426"/>
    </row>
    <row r="64" spans="1:22" x14ac:dyDescent="0.25">
      <c r="A64" s="536"/>
      <c r="B64" s="536"/>
      <c r="C64" s="143">
        <v>2</v>
      </c>
      <c r="D64" s="143">
        <v>1.92</v>
      </c>
      <c r="E64" s="116">
        <f t="shared" si="10"/>
        <v>3.92</v>
      </c>
      <c r="F64" s="446" t="s">
        <v>14</v>
      </c>
      <c r="G64" s="445">
        <v>252</v>
      </c>
      <c r="H64" s="459">
        <f>'1461'!H64</f>
        <v>3168</v>
      </c>
      <c r="I64" s="101">
        <f t="shared" si="11"/>
        <v>12418.56</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19.5</v>
      </c>
      <c r="D66" s="97">
        <f>SUM(D57:D65)</f>
        <v>23.39</v>
      </c>
      <c r="E66" s="97">
        <f>SUM(E57:E65)</f>
        <v>42.89</v>
      </c>
      <c r="F66" s="523" t="s">
        <v>448</v>
      </c>
      <c r="G66" s="523"/>
      <c r="H66" s="523"/>
      <c r="I66" s="97">
        <f>SUM(I57:I65)</f>
        <v>44958.51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325.39</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1.6000000000000001E-3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325.14089999999999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1.4289999999999999E-3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325.39</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1.7409999999999999E-3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325.39</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1.6019999999999999E-3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325.39</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1.743E-3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1.6019999999999999E-3</v>
      </c>
      <c r="I85" s="101">
        <f>ROUND(F85*H85,2)</f>
        <v>71554.19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1.6000000000000001E-3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1.743E-3</v>
      </c>
      <c r="I90" s="101">
        <f>ROUND(F90*H90,2)</f>
        <v>28179.17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1.7409999999999999E-3</v>
      </c>
      <c r="I92" s="101">
        <f t="shared" ref="I92:I96" si="14">ROUND(F92*H92,2)</f>
        <v>17479.810000000001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1.4289999999999999E-3</v>
      </c>
      <c r="I94" s="101">
        <f t="shared" si="14"/>
        <v>341527.68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1.4289999999999999E-3</v>
      </c>
      <c r="I96" s="101">
        <f t="shared" si="14"/>
        <v>-2286.4699999999998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325.14089999999999</v>
      </c>
      <c r="D103" s="518"/>
      <c r="E103" s="46">
        <f>H8</f>
        <v>1.0442</v>
      </c>
      <c r="F103" s="304">
        <f>'1461'!F103</f>
        <v>906.93</v>
      </c>
      <c r="G103" s="39" t="s">
        <v>12</v>
      </c>
      <c r="H103" s="94">
        <f>ROUND(C103*E103*F103,2)</f>
        <v>307913.73</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325.14089999999999</v>
      </c>
      <c r="D104" s="531"/>
      <c r="E104" s="123"/>
      <c r="F104" s="123"/>
      <c r="G104" s="123"/>
      <c r="H104" s="124" t="s">
        <v>100</v>
      </c>
      <c r="I104" s="101">
        <f>IF(A1=75,0,H103+H102+H101)</f>
        <v>307913.73</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5</v>
      </c>
      <c r="D110" s="143">
        <v>50</v>
      </c>
      <c r="E110" s="116">
        <f>(C110+D110)/2</f>
        <v>27.5</v>
      </c>
      <c r="F110" s="126" t="s">
        <v>30</v>
      </c>
      <c r="G110" s="305">
        <f>'1461'!G110</f>
        <v>565</v>
      </c>
      <c r="I110" s="101">
        <f>ROUND(G110*E110,2)</f>
        <v>15537.5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2569864.7899999996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2466386.2499999995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2466386.2499999995</v>
      </c>
      <c r="I132" s="94">
        <f>ROUND(IF(E30=0,0,IF(E30&gt;250,-(((250/E30)*H132)*IF(G132="H",0.02,0.05)),IF(G132="H",-0.02*H132,-0.05*H132))),2)</f>
        <v>-94747.31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2475117.4799999995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-422565.92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2052551.5599999996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205255.16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28572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CCCC"/>
  </sheetPr>
  <dimension ref="A1:V218"/>
  <sheetViews>
    <sheetView showGridLines="0" zoomScaleNormal="100" workbookViewId="0">
      <pane ySplit="1" topLeftCell="A102"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204.52</v>
      </c>
      <c r="D14" s="141">
        <v>197.36</v>
      </c>
      <c r="E14" s="187">
        <f>IF(D$30=0,C14*2,C14+D14)</f>
        <v>401.88</v>
      </c>
      <c r="F14" s="561">
        <f>'1461'!F14:G14</f>
        <v>1.1220000000000001</v>
      </c>
      <c r="G14" s="561"/>
      <c r="H14" s="145">
        <f>ROUND(E14*F14,4)</f>
        <v>450.90940000000001</v>
      </c>
      <c r="I14" s="111">
        <f>ROUND(ROUND(ROUND(H14*$C$8,4)*($H$8),2)*(MAX($H$9,1)),2)</f>
        <v>2419988.39</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23</v>
      </c>
      <c r="D15" s="143">
        <v>24.5</v>
      </c>
      <c r="E15" s="116">
        <f t="shared" ref="E15:E29" si="1">IF(D$30=0,C15*2,C15+D15)</f>
        <v>47.5</v>
      </c>
      <c r="F15" s="558">
        <f>'1461'!F15:G15</f>
        <v>1.1220000000000001</v>
      </c>
      <c r="G15" s="558"/>
      <c r="H15" s="80">
        <f t="shared" ref="H15:H29" si="2">ROUND(E15*F15,4)</f>
        <v>53.295000000000002</v>
      </c>
      <c r="I15" s="101">
        <f t="shared" ref="I15:I29" si="3">ROUND(ROUND(ROUND(H15*$C$8,4)*($H$8),2)*(MAX($H$9,1)),2)</f>
        <v>286029.26</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233.25</v>
      </c>
      <c r="D16" s="143">
        <v>226.71</v>
      </c>
      <c r="E16" s="116">
        <f t="shared" si="1"/>
        <v>459.96000000000004</v>
      </c>
      <c r="F16" s="558">
        <f>'1461'!F16:G16</f>
        <v>1</v>
      </c>
      <c r="G16" s="558"/>
      <c r="H16" s="80">
        <f t="shared" si="2"/>
        <v>459.96</v>
      </c>
      <c r="I16" s="101">
        <f t="shared" si="3"/>
        <v>2468562.11</v>
      </c>
      <c r="N16" s="571" t="s">
        <v>22</v>
      </c>
      <c r="O16" s="571"/>
      <c r="P16" s="572">
        <f t="shared" si="0"/>
        <v>0</v>
      </c>
      <c r="Q16" s="572"/>
      <c r="R16" s="573">
        <v>1</v>
      </c>
      <c r="S16" s="573"/>
      <c r="T16" s="95">
        <f t="shared" si="4"/>
        <v>0</v>
      </c>
      <c r="U16" s="475">
        <f t="shared" si="5"/>
        <v>0</v>
      </c>
    </row>
    <row r="17" spans="1:21" x14ac:dyDescent="0.25">
      <c r="A17" s="520" t="s">
        <v>23</v>
      </c>
      <c r="B17" s="520"/>
      <c r="C17" s="143">
        <v>30.5</v>
      </c>
      <c r="D17" s="143">
        <v>29.49</v>
      </c>
      <c r="E17" s="116">
        <f t="shared" si="1"/>
        <v>59.989999999999995</v>
      </c>
      <c r="F17" s="558">
        <f>'1461'!F17:G17</f>
        <v>1</v>
      </c>
      <c r="G17" s="558"/>
      <c r="H17" s="80">
        <f t="shared" si="2"/>
        <v>59.99</v>
      </c>
      <c r="I17" s="101">
        <f t="shared" si="3"/>
        <v>321960.69</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11.76</v>
      </c>
      <c r="D26" s="143">
        <v>10.94</v>
      </c>
      <c r="E26" s="116">
        <f t="shared" si="1"/>
        <v>22.7</v>
      </c>
      <c r="F26" s="558">
        <f>'1461'!F26:G26</f>
        <v>1.208</v>
      </c>
      <c r="G26" s="558"/>
      <c r="H26" s="80">
        <f t="shared" si="2"/>
        <v>27.421600000000002</v>
      </c>
      <c r="I26" s="101">
        <f t="shared" si="3"/>
        <v>147169.15</v>
      </c>
      <c r="N26" s="571" t="s">
        <v>85</v>
      </c>
      <c r="O26" s="571"/>
      <c r="P26" s="572">
        <f t="shared" si="0"/>
        <v>0</v>
      </c>
      <c r="Q26" s="572"/>
      <c r="R26" s="573">
        <v>1</v>
      </c>
      <c r="S26" s="573"/>
      <c r="T26" s="95">
        <f t="shared" si="4"/>
        <v>0</v>
      </c>
      <c r="U26" s="475">
        <f t="shared" si="5"/>
        <v>0</v>
      </c>
    </row>
    <row r="27" spans="1:21" x14ac:dyDescent="0.25">
      <c r="A27" s="520" t="s">
        <v>86</v>
      </c>
      <c r="B27" s="520"/>
      <c r="C27" s="143">
        <v>3.01</v>
      </c>
      <c r="D27" s="143">
        <v>2.57</v>
      </c>
      <c r="E27" s="116">
        <f t="shared" si="1"/>
        <v>5.58</v>
      </c>
      <c r="F27" s="558">
        <f>'1461'!F27:G27</f>
        <v>1.208</v>
      </c>
      <c r="G27" s="558"/>
      <c r="H27" s="80">
        <f t="shared" si="2"/>
        <v>6.7405999999999997</v>
      </c>
      <c r="I27" s="101">
        <f t="shared" si="3"/>
        <v>36176.17</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506.03999999999996</v>
      </c>
      <c r="D30" s="94">
        <f>SUM(D14:D29)</f>
        <v>491.57000000000005</v>
      </c>
      <c r="E30" s="94">
        <f>SUM(E14:E29)</f>
        <v>997.61000000000013</v>
      </c>
      <c r="F30" s="539"/>
      <c r="G30" s="539"/>
      <c r="H30" s="99">
        <f>SUM(H14:H29)</f>
        <v>1058.3165999999999</v>
      </c>
      <c r="I30" s="94">
        <f>SUM(I14:I29)</f>
        <v>5679885.7700000005</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1058.3165999999999</v>
      </c>
      <c r="F46" s="34"/>
      <c r="G46" s="106"/>
      <c r="H46" s="107" t="s">
        <v>98</v>
      </c>
      <c r="I46" s="94">
        <f>SUM(I44,I30)</f>
        <v>5679885.7700000005</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5679885.7700000005</v>
      </c>
      <c r="G51" s="109" t="s">
        <v>6</v>
      </c>
      <c r="H51" s="403">
        <v>4.5199999999999997E-2</v>
      </c>
      <c r="I51" s="101">
        <f>ROUND(F51*H51,2)</f>
        <v>256730.84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5679885.7700000005</v>
      </c>
      <c r="G52" s="109" t="s">
        <v>6</v>
      </c>
      <c r="H52" s="403">
        <v>1.41E-2</v>
      </c>
      <c r="I52" s="101">
        <f>ROUND(F52*H52,2)</f>
        <v>80086.39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336817.23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19</v>
      </c>
      <c r="D57" s="143">
        <v>21.59</v>
      </c>
      <c r="E57" s="116">
        <f t="shared" ref="E57:E65" si="10">IF(D$72=0,C57*2,C57+D57)</f>
        <v>40.590000000000003</v>
      </c>
      <c r="F57" s="445" t="s">
        <v>439</v>
      </c>
      <c r="G57" s="445">
        <v>251</v>
      </c>
      <c r="H57" s="459">
        <f>'1461'!H57</f>
        <v>1047</v>
      </c>
      <c r="I57" s="101">
        <f>ROUND(E57*H57,2)</f>
        <v>42497.73</v>
      </c>
      <c r="N57" s="621" t="s">
        <v>447</v>
      </c>
      <c r="O57" s="621"/>
      <c r="P57" s="624"/>
      <c r="Q57" s="624"/>
      <c r="R57" s="451" t="s">
        <v>439</v>
      </c>
      <c r="S57" s="451">
        <v>251</v>
      </c>
      <c r="T57" s="462">
        <f>H57</f>
        <v>1047</v>
      </c>
      <c r="U57" s="476">
        <f>ROUND(P57*T57,2)</f>
        <v>0</v>
      </c>
      <c r="V57" s="426"/>
    </row>
    <row r="58" spans="1:22" x14ac:dyDescent="0.25">
      <c r="A58" s="536"/>
      <c r="B58" s="536"/>
      <c r="C58" s="143">
        <v>4</v>
      </c>
      <c r="D58" s="143">
        <v>2.91</v>
      </c>
      <c r="E58" s="116">
        <f t="shared" si="10"/>
        <v>6.91</v>
      </c>
      <c r="F58" s="445" t="s">
        <v>439</v>
      </c>
      <c r="G58" s="445">
        <v>252</v>
      </c>
      <c r="H58" s="459">
        <f>'1461'!H58</f>
        <v>3380</v>
      </c>
      <c r="I58" s="101">
        <f t="shared" ref="I58:I65" si="11">ROUND(E58*H58,2)</f>
        <v>23355.8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26.5</v>
      </c>
      <c r="D60" s="143">
        <v>25.48</v>
      </c>
      <c r="E60" s="116">
        <f t="shared" si="10"/>
        <v>51.980000000000004</v>
      </c>
      <c r="F60" s="446" t="s">
        <v>13</v>
      </c>
      <c r="G60" s="445">
        <v>251</v>
      </c>
      <c r="H60" s="459">
        <f>'1461'!H60</f>
        <v>1173</v>
      </c>
      <c r="I60" s="101">
        <f t="shared" si="11"/>
        <v>60972.54</v>
      </c>
      <c r="N60" s="622"/>
      <c r="O60" s="622"/>
      <c r="P60" s="625"/>
      <c r="Q60" s="625"/>
      <c r="R60" s="40" t="s">
        <v>13</v>
      </c>
      <c r="S60" s="451">
        <v>251</v>
      </c>
      <c r="T60" s="462">
        <f t="shared" si="12"/>
        <v>1173</v>
      </c>
      <c r="U60" s="476">
        <f t="shared" si="13"/>
        <v>0</v>
      </c>
      <c r="V60" s="426"/>
    </row>
    <row r="61" spans="1:22" x14ac:dyDescent="0.25">
      <c r="A61" s="536"/>
      <c r="B61" s="536"/>
      <c r="C61" s="143">
        <v>4</v>
      </c>
      <c r="D61" s="143">
        <v>4.01</v>
      </c>
      <c r="E61" s="116">
        <f t="shared" si="10"/>
        <v>8.01</v>
      </c>
      <c r="F61" s="446" t="s">
        <v>13</v>
      </c>
      <c r="G61" s="445">
        <v>252</v>
      </c>
      <c r="H61" s="459">
        <f>'1461'!H61</f>
        <v>3506</v>
      </c>
      <c r="I61" s="101">
        <f t="shared" si="11"/>
        <v>28083.06</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53.5</v>
      </c>
      <c r="D66" s="97">
        <f>SUM(D57:D65)</f>
        <v>53.99</v>
      </c>
      <c r="E66" s="97">
        <f>SUM(E57:E65)</f>
        <v>107.49000000000001</v>
      </c>
      <c r="F66" s="523" t="s">
        <v>448</v>
      </c>
      <c r="G66" s="523"/>
      <c r="H66" s="523"/>
      <c r="I66" s="97">
        <f>SUM(I57:I65)</f>
        <v>154909.13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997.61000000000013</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4.9069999999999999E-3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1058.3165999999999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4.6509999999999998E-3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997.61000000000013</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5.3369999999999997E-3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997.61000000000013</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4.9119999999999997E-3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997.61000000000013</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5.3439999999999998E-3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4.9119999999999997E-3</v>
      </c>
      <c r="I85" s="101">
        <f>ROUND(F85*H85,2)</f>
        <v>219397.11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4.9069999999999999E-3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5.3439999999999998E-3</v>
      </c>
      <c r="I90" s="101">
        <f>ROUND(F90*H90,2)</f>
        <v>86396.73</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5.3369999999999997E-3</v>
      </c>
      <c r="I92" s="101">
        <f t="shared" ref="I92:I96" si="14">ROUND(F92*H92,2)</f>
        <v>53584.01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4.6509999999999998E-3</v>
      </c>
      <c r="I94" s="101">
        <f t="shared" si="14"/>
        <v>1111578.18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4.6509999999999998E-3</v>
      </c>
      <c r="I96" s="101">
        <f t="shared" si="14"/>
        <v>-7441.82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531.62599999999998</v>
      </c>
      <c r="D101" s="518"/>
      <c r="E101" s="46">
        <f>H8</f>
        <v>1.0442</v>
      </c>
      <c r="F101" s="304">
        <f>'1461'!F101</f>
        <v>947.59</v>
      </c>
      <c r="G101" s="39" t="s">
        <v>12</v>
      </c>
      <c r="H101" s="101">
        <f>ROUND(C101*E101*F101,2)</f>
        <v>526029.82999999996</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526.6905999999999</v>
      </c>
      <c r="D102" s="518"/>
      <c r="E102" s="46">
        <f>H8</f>
        <v>1.0442</v>
      </c>
      <c r="F102" s="304">
        <f>'1461'!F102</f>
        <v>904.74</v>
      </c>
      <c r="G102" s="39" t="s">
        <v>12</v>
      </c>
      <c r="H102" s="101">
        <f>ROUND(C102*E102*F102,2)</f>
        <v>497580.15</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1058.3165999999999</v>
      </c>
      <c r="D104" s="531"/>
      <c r="E104" s="123"/>
      <c r="F104" s="123"/>
      <c r="G104" s="123"/>
      <c r="H104" s="124" t="s">
        <v>100</v>
      </c>
      <c r="I104" s="101">
        <f>IF(A1=75,0,H103+H102+H101)</f>
        <v>1023609.98</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46</v>
      </c>
      <c r="D110" s="143">
        <v>0</v>
      </c>
      <c r="E110" s="116">
        <f>(C110+D110)/2</f>
        <v>23</v>
      </c>
      <c r="F110" s="126" t="s">
        <v>30</v>
      </c>
      <c r="G110" s="305">
        <f>'1461'!G110</f>
        <v>565</v>
      </c>
      <c r="I110" s="101">
        <f>ROUND(G110*E110,2)</f>
        <v>12995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8334914.0899999999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7998096.8599999994</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7998096.8599999994</v>
      </c>
      <c r="I132" s="94">
        <f>ROUND(IF(E30=0,0,IF(E30&gt;250,-(((250/E30)*H132)*IF(G132="H",0.02,0.05)),IF(G132="H",-0.02*H132,-0.05*H132))),2)</f>
        <v>-40086.29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8294827.7999999998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-1410938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6883889.7999999998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688388.98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8:B118"/>
    <mergeCell ref="F118:G118"/>
    <mergeCell ref="N118:O118"/>
    <mergeCell ref="P118:Q118"/>
    <mergeCell ref="R118:S118"/>
    <mergeCell ref="A119:B119"/>
    <mergeCell ref="F119:G119"/>
    <mergeCell ref="N119:O119"/>
    <mergeCell ref="R117:S117"/>
    <mergeCell ref="A114:C114"/>
    <mergeCell ref="F114:I114"/>
    <mergeCell ref="N114:U114"/>
    <mergeCell ref="C115:E115"/>
    <mergeCell ref="F116:G116"/>
    <mergeCell ref="A117:B117"/>
    <mergeCell ref="F117:G117"/>
    <mergeCell ref="N117:O117"/>
    <mergeCell ref="P117:Q117"/>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287" t="s">
        <v>126</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J11" s="256"/>
      <c r="K11" s="255"/>
      <c r="L11" s="255"/>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J12" s="254"/>
      <c r="K12" s="255"/>
      <c r="L12" s="255"/>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K13" s="255"/>
      <c r="L13" s="255"/>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223.83</v>
      </c>
      <c r="D16" s="143">
        <v>220.4</v>
      </c>
      <c r="E16" s="116">
        <f t="shared" si="1"/>
        <v>444.23</v>
      </c>
      <c r="F16" s="558">
        <f>'1461'!F16:G16</f>
        <v>1</v>
      </c>
      <c r="G16" s="558"/>
      <c r="H16" s="80">
        <f t="shared" si="2"/>
        <v>444.23</v>
      </c>
      <c r="I16" s="101">
        <f t="shared" si="3"/>
        <v>2384140.6800000002</v>
      </c>
      <c r="N16" s="571" t="s">
        <v>22</v>
      </c>
      <c r="O16" s="571"/>
      <c r="P16" s="572">
        <f t="shared" si="0"/>
        <v>0</v>
      </c>
      <c r="Q16" s="572"/>
      <c r="R16" s="573">
        <v>1</v>
      </c>
      <c r="S16" s="573"/>
      <c r="T16" s="95">
        <f t="shared" si="4"/>
        <v>0</v>
      </c>
      <c r="U16" s="475">
        <f t="shared" si="5"/>
        <v>0</v>
      </c>
    </row>
    <row r="17" spans="1:21" x14ac:dyDescent="0.25">
      <c r="A17" s="520" t="s">
        <v>23</v>
      </c>
      <c r="B17" s="520"/>
      <c r="C17" s="143">
        <v>42.5</v>
      </c>
      <c r="D17" s="143">
        <v>41.46</v>
      </c>
      <c r="E17" s="116">
        <f t="shared" si="1"/>
        <v>83.960000000000008</v>
      </c>
      <c r="F17" s="558">
        <f>'1461'!F17:G17</f>
        <v>1</v>
      </c>
      <c r="G17" s="558"/>
      <c r="H17" s="80">
        <f t="shared" si="2"/>
        <v>83.96</v>
      </c>
      <c r="I17" s="101">
        <f t="shared" si="3"/>
        <v>450605.43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2.94</v>
      </c>
      <c r="D27" s="143">
        <v>2.96</v>
      </c>
      <c r="E27" s="116">
        <f t="shared" si="1"/>
        <v>5.9</v>
      </c>
      <c r="F27" s="558">
        <f>'1461'!F27:G27</f>
        <v>1.208</v>
      </c>
      <c r="G27" s="558"/>
      <c r="H27" s="80">
        <f t="shared" si="2"/>
        <v>7.1272000000000002</v>
      </c>
      <c r="I27" s="101">
        <f t="shared" si="3"/>
        <v>38251.01</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269.27000000000004</v>
      </c>
      <c r="D30" s="94">
        <f>SUM(D14:D29)</f>
        <v>264.82</v>
      </c>
      <c r="E30" s="94">
        <f>SUM(E14:E29)</f>
        <v>534.09</v>
      </c>
      <c r="F30" s="539"/>
      <c r="G30" s="539"/>
      <c r="H30" s="99">
        <f>SUM(H14:H29)</f>
        <v>535.31720000000007</v>
      </c>
      <c r="I30" s="94">
        <f>SUM(I14:I29)</f>
        <v>2872997.12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535.31720000000007</v>
      </c>
      <c r="F46" s="34"/>
      <c r="G46" s="106"/>
      <c r="H46" s="107" t="s">
        <v>98</v>
      </c>
      <c r="I46" s="94">
        <f>SUM(I44,I30)</f>
        <v>2872997.12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2872997.12</v>
      </c>
      <c r="G51" s="109" t="s">
        <v>6</v>
      </c>
      <c r="H51" s="403">
        <v>4.5199999999999997E-2</v>
      </c>
      <c r="I51" s="101">
        <f>ROUND(F51*H51,2)</f>
        <v>129859.47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2872997.12</v>
      </c>
      <c r="G52" s="109" t="s">
        <v>6</v>
      </c>
      <c r="H52" s="403">
        <v>1.41E-2</v>
      </c>
      <c r="I52" s="101">
        <f>ROUND(F52*H52,2)</f>
        <v>40509.26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170368.73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42</v>
      </c>
      <c r="D60" s="143">
        <v>40.96</v>
      </c>
      <c r="E60" s="116">
        <f t="shared" si="10"/>
        <v>82.960000000000008</v>
      </c>
      <c r="F60" s="446" t="s">
        <v>13</v>
      </c>
      <c r="G60" s="445">
        <v>251</v>
      </c>
      <c r="H60" s="459">
        <f>'1461'!H60</f>
        <v>1173</v>
      </c>
      <c r="I60" s="101">
        <f t="shared" si="11"/>
        <v>97312.08</v>
      </c>
      <c r="N60" s="622"/>
      <c r="O60" s="622"/>
      <c r="P60" s="625"/>
      <c r="Q60" s="625"/>
      <c r="R60" s="40" t="s">
        <v>13</v>
      </c>
      <c r="S60" s="451">
        <v>251</v>
      </c>
      <c r="T60" s="462">
        <f t="shared" si="12"/>
        <v>1173</v>
      </c>
      <c r="U60" s="476">
        <f t="shared" si="13"/>
        <v>0</v>
      </c>
      <c r="V60" s="426"/>
    </row>
    <row r="61" spans="1:22" x14ac:dyDescent="0.25">
      <c r="A61" s="536"/>
      <c r="B61" s="536"/>
      <c r="C61" s="143">
        <v>0.5</v>
      </c>
      <c r="D61" s="143">
        <v>0.5</v>
      </c>
      <c r="E61" s="116">
        <f t="shared" si="10"/>
        <v>1</v>
      </c>
      <c r="F61" s="446" t="s">
        <v>13</v>
      </c>
      <c r="G61" s="445">
        <v>252</v>
      </c>
      <c r="H61" s="459">
        <f>'1461'!H61</f>
        <v>3506</v>
      </c>
      <c r="I61" s="101">
        <f t="shared" si="11"/>
        <v>3506</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42.5</v>
      </c>
      <c r="D66" s="97">
        <f>SUM(D57:D65)</f>
        <v>41.46</v>
      </c>
      <c r="E66" s="97">
        <f>SUM(E57:E65)</f>
        <v>83.960000000000008</v>
      </c>
      <c r="F66" s="523" t="s">
        <v>448</v>
      </c>
      <c r="G66" s="523"/>
      <c r="H66" s="523"/>
      <c r="I66" s="97">
        <f>SUM(I57:I65)</f>
        <v>100818.08</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534.09</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2.627E-3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535.31720000000007</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2.3530000000000001E-3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534.09</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2.8579999999999999E-3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534.09</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2.63E-3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534.09</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2.8609999999999998E-3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2.63E-3</v>
      </c>
      <c r="I85" s="101">
        <f>ROUND(F85*H85,2)</f>
        <v>117470.36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2.627E-3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2.8609999999999998E-3</v>
      </c>
      <c r="I90" s="101">
        <f>ROUND(F90*H90,2)</f>
        <v>46253.94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2.8579999999999999E-3</v>
      </c>
      <c r="I92" s="101">
        <f t="shared" ref="I92:I96" si="14">ROUND(F92*H92,2)</f>
        <v>28694.6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2.3530000000000001E-3</v>
      </c>
      <c r="I94" s="101">
        <f t="shared" si="14"/>
        <v>562361.53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2.3530000000000001E-3</v>
      </c>
      <c r="I96" s="101">
        <f t="shared" si="14"/>
        <v>-3764.91</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535.31720000000007</v>
      </c>
      <c r="D102" s="518"/>
      <c r="E102" s="46">
        <f>H8</f>
        <v>1.0442</v>
      </c>
      <c r="F102" s="304">
        <f>'1461'!F102</f>
        <v>904.74</v>
      </c>
      <c r="G102" s="39" t="s">
        <v>12</v>
      </c>
      <c r="H102" s="101">
        <f>ROUND(C102*E102*F102,2)</f>
        <v>505729.95</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535.31720000000007</v>
      </c>
      <c r="D104" s="531"/>
      <c r="E104" s="123"/>
      <c r="F104" s="123"/>
      <c r="G104" s="123"/>
      <c r="H104" s="124" t="s">
        <v>100</v>
      </c>
      <c r="I104" s="101">
        <f>IF(A1=75,0,H103+H102+H101)</f>
        <v>505729.95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336</v>
      </c>
      <c r="D110" s="143">
        <v>333</v>
      </c>
      <c r="E110" s="116">
        <f>(C110+D110)/2</f>
        <v>334.5</v>
      </c>
      <c r="F110" s="126" t="s">
        <v>30</v>
      </c>
      <c r="G110" s="305">
        <f>'1461'!G110</f>
        <v>565</v>
      </c>
      <c r="I110" s="101">
        <f>ROUND(G110*E110,2)</f>
        <v>188992.5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4419553.17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4249184.4399999995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4249184.4399999995</v>
      </c>
      <c r="I132" s="94">
        <f>ROUND(IF(E30=0,0,IF(E30&gt;250,-(((250/E30)*H132)*IF(G132="H",0.02,0.05)),IF(G132="H",-0.02*H132,-0.05*H132))),2)</f>
        <v>-99449.17</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4320104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v>-736759.87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3583344.13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358334.41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113010.05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362</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115.65</v>
      </c>
      <c r="D16" s="143">
        <v>110.08</v>
      </c>
      <c r="E16" s="116">
        <f t="shared" si="1"/>
        <v>225.73000000000002</v>
      </c>
      <c r="F16" s="558">
        <f>'1461'!F16:G16</f>
        <v>1</v>
      </c>
      <c r="G16" s="558"/>
      <c r="H16" s="80">
        <f t="shared" si="2"/>
        <v>225.73</v>
      </c>
      <c r="I16" s="101">
        <f t="shared" si="3"/>
        <v>1211471.71</v>
      </c>
      <c r="N16" s="571" t="s">
        <v>22</v>
      </c>
      <c r="O16" s="571"/>
      <c r="P16" s="572">
        <f t="shared" si="0"/>
        <v>0</v>
      </c>
      <c r="Q16" s="572"/>
      <c r="R16" s="573">
        <v>1</v>
      </c>
      <c r="S16" s="573"/>
      <c r="T16" s="95">
        <f t="shared" si="4"/>
        <v>0</v>
      </c>
      <c r="U16" s="475">
        <f t="shared" si="5"/>
        <v>0</v>
      </c>
    </row>
    <row r="17" spans="1:21" x14ac:dyDescent="0.25">
      <c r="A17" s="520" t="s">
        <v>23</v>
      </c>
      <c r="B17" s="520"/>
      <c r="C17" s="143">
        <v>24.5</v>
      </c>
      <c r="D17" s="143">
        <v>21</v>
      </c>
      <c r="E17" s="116">
        <f t="shared" si="1"/>
        <v>45.5</v>
      </c>
      <c r="F17" s="558">
        <f>'1461'!F17:G17</f>
        <v>1</v>
      </c>
      <c r="G17" s="558"/>
      <c r="H17" s="80">
        <f t="shared" si="2"/>
        <v>45.5</v>
      </c>
      <c r="I17" s="101">
        <f t="shared" si="3"/>
        <v>244194.23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77.760000000000005</v>
      </c>
      <c r="D18" s="143">
        <v>73.150000000000006</v>
      </c>
      <c r="E18" s="116">
        <f t="shared" si="1"/>
        <v>150.91000000000003</v>
      </c>
      <c r="F18" s="558">
        <f>'1461'!F18:G18</f>
        <v>0.98799999999999999</v>
      </c>
      <c r="G18" s="558"/>
      <c r="H18" s="80">
        <f t="shared" si="2"/>
        <v>149.09909999999999</v>
      </c>
      <c r="I18" s="101">
        <f t="shared" si="3"/>
        <v>800200.86</v>
      </c>
      <c r="N18" s="571" t="s">
        <v>24</v>
      </c>
      <c r="O18" s="571"/>
      <c r="P18" s="572">
        <f t="shared" si="0"/>
        <v>0</v>
      </c>
      <c r="Q18" s="572"/>
      <c r="R18" s="573">
        <v>1</v>
      </c>
      <c r="S18" s="573"/>
      <c r="T18" s="95">
        <f t="shared" si="4"/>
        <v>0</v>
      </c>
      <c r="U18" s="475">
        <f t="shared" si="5"/>
        <v>0</v>
      </c>
    </row>
    <row r="19" spans="1:21" x14ac:dyDescent="0.25">
      <c r="A19" s="520" t="s">
        <v>25</v>
      </c>
      <c r="B19" s="520"/>
      <c r="C19" s="143">
        <v>17.5</v>
      </c>
      <c r="D19" s="143">
        <v>16.440000000000001</v>
      </c>
      <c r="E19" s="116">
        <f t="shared" si="1"/>
        <v>33.94</v>
      </c>
      <c r="F19" s="558">
        <f>'1461'!F19:G19</f>
        <v>0.98799999999999999</v>
      </c>
      <c r="G19" s="558"/>
      <c r="H19" s="80">
        <f t="shared" si="2"/>
        <v>33.532699999999998</v>
      </c>
      <c r="I19" s="101">
        <f t="shared" si="3"/>
        <v>179966.85</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19.350000000000001</v>
      </c>
      <c r="D27" s="143">
        <v>17.940000000000001</v>
      </c>
      <c r="E27" s="116">
        <f t="shared" si="1"/>
        <v>37.290000000000006</v>
      </c>
      <c r="F27" s="558">
        <f>'1461'!F27:G27</f>
        <v>1.208</v>
      </c>
      <c r="G27" s="558"/>
      <c r="H27" s="80">
        <f t="shared" si="2"/>
        <v>45.046300000000002</v>
      </c>
      <c r="I27" s="101">
        <f t="shared" si="3"/>
        <v>241759.26</v>
      </c>
      <c r="N27" s="571" t="s">
        <v>86</v>
      </c>
      <c r="O27" s="571"/>
      <c r="P27" s="572">
        <f t="shared" si="0"/>
        <v>0</v>
      </c>
      <c r="Q27" s="572"/>
      <c r="R27" s="573">
        <v>1</v>
      </c>
      <c r="S27" s="573"/>
      <c r="T27" s="95">
        <f t="shared" si="4"/>
        <v>0</v>
      </c>
      <c r="U27" s="475">
        <f t="shared" si="5"/>
        <v>0</v>
      </c>
    </row>
    <row r="28" spans="1:21" x14ac:dyDescent="0.25">
      <c r="A28" s="520" t="s">
        <v>87</v>
      </c>
      <c r="B28" s="520"/>
      <c r="C28" s="143">
        <v>4.66</v>
      </c>
      <c r="D28" s="143">
        <v>3.42</v>
      </c>
      <c r="E28" s="116">
        <f t="shared" si="1"/>
        <v>8.08</v>
      </c>
      <c r="F28" s="558">
        <f>'1461'!F28:G28</f>
        <v>1.208</v>
      </c>
      <c r="G28" s="558"/>
      <c r="H28" s="80">
        <f t="shared" si="2"/>
        <v>9.7606000000000002</v>
      </c>
      <c r="I28" s="101">
        <f t="shared" si="3"/>
        <v>52384.22</v>
      </c>
      <c r="N28" s="571" t="s">
        <v>87</v>
      </c>
      <c r="O28" s="571"/>
      <c r="P28" s="572">
        <f t="shared" si="0"/>
        <v>0</v>
      </c>
      <c r="Q28" s="572"/>
      <c r="R28" s="573">
        <v>1</v>
      </c>
      <c r="S28" s="573"/>
      <c r="T28" s="95">
        <f t="shared" si="4"/>
        <v>0</v>
      </c>
      <c r="U28" s="475">
        <f t="shared" si="5"/>
        <v>0</v>
      </c>
    </row>
    <row r="29" spans="1:21" x14ac:dyDescent="0.25">
      <c r="A29" s="520" t="s">
        <v>88</v>
      </c>
      <c r="B29" s="520"/>
      <c r="C29" s="110">
        <v>3.46</v>
      </c>
      <c r="D29" s="110">
        <v>2.75</v>
      </c>
      <c r="E29" s="154">
        <f t="shared" si="1"/>
        <v>6.21</v>
      </c>
      <c r="F29" s="558">
        <f>'1461'!F29:G29</f>
        <v>1.0720000000000001</v>
      </c>
      <c r="G29" s="558"/>
      <c r="H29" s="93">
        <f t="shared" si="2"/>
        <v>6.6570999999999998</v>
      </c>
      <c r="I29" s="94">
        <f t="shared" si="3"/>
        <v>35728.03</v>
      </c>
      <c r="N29" s="588" t="s">
        <v>88</v>
      </c>
      <c r="O29" s="588"/>
      <c r="P29" s="572">
        <f t="shared" si="0"/>
        <v>0</v>
      </c>
      <c r="Q29" s="572"/>
      <c r="R29" s="589">
        <v>1</v>
      </c>
      <c r="S29" s="589"/>
      <c r="T29" s="95">
        <f t="shared" si="4"/>
        <v>0</v>
      </c>
      <c r="U29" s="475">
        <f t="shared" si="5"/>
        <v>0</v>
      </c>
    </row>
    <row r="30" spans="1:21" x14ac:dyDescent="0.25">
      <c r="A30" s="523" t="s">
        <v>5</v>
      </c>
      <c r="B30" s="523"/>
      <c r="C30" s="94">
        <f>SUM(C14:C29)</f>
        <v>262.88</v>
      </c>
      <c r="D30" s="94">
        <f>SUM(D14:D29)</f>
        <v>244.77999999999997</v>
      </c>
      <c r="E30" s="94">
        <f>SUM(E14:E29)</f>
        <v>507.66</v>
      </c>
      <c r="F30" s="539"/>
      <c r="G30" s="539"/>
      <c r="H30" s="99">
        <f>SUM(H14:H29)</f>
        <v>515.32579999999996</v>
      </c>
      <c r="I30" s="94">
        <f>SUM(I14:I29)</f>
        <v>2765705.16</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515.32579999999996</v>
      </c>
      <c r="F46" s="34"/>
      <c r="G46" s="106"/>
      <c r="H46" s="107" t="s">
        <v>98</v>
      </c>
      <c r="I46" s="94">
        <f>SUM(I44,I30)</f>
        <v>2765705.16</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2765705.16</v>
      </c>
      <c r="G51" s="109" t="s">
        <v>6</v>
      </c>
      <c r="H51" s="403">
        <v>4.5199999999999997E-2</v>
      </c>
      <c r="I51" s="101">
        <f>ROUND(F51*H51,2)</f>
        <v>125009.87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2765705.16</v>
      </c>
      <c r="G52" s="109" t="s">
        <v>6</v>
      </c>
      <c r="H52" s="403">
        <v>1.41E-2</v>
      </c>
      <c r="I52" s="101">
        <f>ROUND(F52*H52,2)</f>
        <v>38996.44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164006.31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22.5</v>
      </c>
      <c r="D60" s="143">
        <v>19.5</v>
      </c>
      <c r="E60" s="116">
        <f t="shared" si="10"/>
        <v>42</v>
      </c>
      <c r="F60" s="446" t="s">
        <v>13</v>
      </c>
      <c r="G60" s="445">
        <v>251</v>
      </c>
      <c r="H60" s="459">
        <f>'1461'!H60</f>
        <v>1173</v>
      </c>
      <c r="I60" s="101">
        <f t="shared" si="11"/>
        <v>49266</v>
      </c>
      <c r="N60" s="622"/>
      <c r="O60" s="622"/>
      <c r="P60" s="625"/>
      <c r="Q60" s="625"/>
      <c r="R60" s="40" t="s">
        <v>13</v>
      </c>
      <c r="S60" s="451">
        <v>251</v>
      </c>
      <c r="T60" s="462">
        <f t="shared" si="12"/>
        <v>1173</v>
      </c>
      <c r="U60" s="476">
        <f t="shared" si="13"/>
        <v>0</v>
      </c>
      <c r="V60" s="426"/>
    </row>
    <row r="61" spans="1:22" x14ac:dyDescent="0.25">
      <c r="A61" s="536"/>
      <c r="B61" s="536"/>
      <c r="C61" s="143">
        <v>1.5</v>
      </c>
      <c r="D61" s="143">
        <v>1.5</v>
      </c>
      <c r="E61" s="116">
        <f t="shared" si="10"/>
        <v>3</v>
      </c>
      <c r="F61" s="446" t="s">
        <v>13</v>
      </c>
      <c r="G61" s="445">
        <v>252</v>
      </c>
      <c r="H61" s="459">
        <f>'1461'!H61</f>
        <v>3506</v>
      </c>
      <c r="I61" s="101">
        <f t="shared" si="11"/>
        <v>10518</v>
      </c>
      <c r="N61" s="622"/>
      <c r="O61" s="622"/>
      <c r="P61" s="625"/>
      <c r="Q61" s="625"/>
      <c r="R61" s="40" t="s">
        <v>13</v>
      </c>
      <c r="S61" s="451">
        <v>252</v>
      </c>
      <c r="T61" s="462">
        <f t="shared" si="12"/>
        <v>3506</v>
      </c>
      <c r="U61" s="476">
        <f t="shared" si="13"/>
        <v>0</v>
      </c>
      <c r="V61" s="426"/>
    </row>
    <row r="62" spans="1:22" x14ac:dyDescent="0.25">
      <c r="A62" s="536"/>
      <c r="B62" s="536"/>
      <c r="C62" s="143">
        <v>0.5</v>
      </c>
      <c r="D62" s="143">
        <v>0</v>
      </c>
      <c r="E62" s="116">
        <f t="shared" si="10"/>
        <v>0.5</v>
      </c>
      <c r="F62" s="446" t="s">
        <v>13</v>
      </c>
      <c r="G62" s="445">
        <v>253</v>
      </c>
      <c r="H62" s="459">
        <f>'1461'!H62</f>
        <v>7023</v>
      </c>
      <c r="I62" s="101">
        <f t="shared" si="11"/>
        <v>3511.5</v>
      </c>
      <c r="N62" s="622"/>
      <c r="O62" s="622"/>
      <c r="P62" s="625"/>
      <c r="Q62" s="625"/>
      <c r="R62" s="40" t="s">
        <v>13</v>
      </c>
      <c r="S62" s="451">
        <v>253</v>
      </c>
      <c r="T62" s="462">
        <f t="shared" si="12"/>
        <v>7023</v>
      </c>
      <c r="U62" s="476">
        <f t="shared" si="13"/>
        <v>0</v>
      </c>
      <c r="V62" s="426"/>
    </row>
    <row r="63" spans="1:22" x14ac:dyDescent="0.25">
      <c r="A63" s="536"/>
      <c r="B63" s="536"/>
      <c r="C63" s="143">
        <v>16.5</v>
      </c>
      <c r="D63" s="143">
        <v>15.43</v>
      </c>
      <c r="E63" s="116">
        <f t="shared" si="10"/>
        <v>31.93</v>
      </c>
      <c r="F63" s="446" t="s">
        <v>14</v>
      </c>
      <c r="G63" s="445">
        <v>251</v>
      </c>
      <c r="H63" s="459">
        <f>'1461'!H63</f>
        <v>835</v>
      </c>
      <c r="I63" s="101">
        <f t="shared" si="11"/>
        <v>26661.55</v>
      </c>
      <c r="N63" s="622"/>
      <c r="O63" s="622"/>
      <c r="P63" s="625"/>
      <c r="Q63" s="625"/>
      <c r="R63" s="40" t="s">
        <v>14</v>
      </c>
      <c r="S63" s="451">
        <v>251</v>
      </c>
      <c r="T63" s="462">
        <f t="shared" si="12"/>
        <v>835</v>
      </c>
      <c r="U63" s="476">
        <f t="shared" si="13"/>
        <v>0</v>
      </c>
      <c r="V63" s="426"/>
    </row>
    <row r="64" spans="1:22" x14ac:dyDescent="0.25">
      <c r="A64" s="536"/>
      <c r="B64" s="536"/>
      <c r="C64" s="143">
        <v>1</v>
      </c>
      <c r="D64" s="143">
        <v>1.01</v>
      </c>
      <c r="E64" s="116">
        <f t="shared" si="10"/>
        <v>2.0099999999999998</v>
      </c>
      <c r="F64" s="446" t="s">
        <v>14</v>
      </c>
      <c r="G64" s="445">
        <v>252</v>
      </c>
      <c r="H64" s="459">
        <f>'1461'!H64</f>
        <v>3168</v>
      </c>
      <c r="I64" s="101">
        <f t="shared" si="11"/>
        <v>6367.68</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42</v>
      </c>
      <c r="D66" s="97">
        <f>SUM(D57:D65)</f>
        <v>37.44</v>
      </c>
      <c r="E66" s="97">
        <f>SUM(E57:E65)</f>
        <v>79.440000000000012</v>
      </c>
      <c r="F66" s="523" t="s">
        <v>448</v>
      </c>
      <c r="G66" s="523"/>
      <c r="H66" s="523"/>
      <c r="I66" s="97">
        <f>SUM(I57:I65)</f>
        <v>96324.73000000001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507.66</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2.4970000000000001E-3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515.32579999999996</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2.2650000000000001E-3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507.66</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2.7160000000000001E-3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507.66</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2.5000000000000001E-3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507.66</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2.7190000000000001E-3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2.5000000000000001E-3</v>
      </c>
      <c r="I85" s="101">
        <f>ROUND(F85*H85,2)</f>
        <v>111663.84</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2.4970000000000001E-3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2.7190000000000001E-3</v>
      </c>
      <c r="I90" s="101">
        <f>ROUND(F90*H90,2)</f>
        <v>43958.21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2.7160000000000001E-3</v>
      </c>
      <c r="I92" s="101">
        <f t="shared" ref="I92:I96" si="14">ROUND(F92*H92,2)</f>
        <v>27268.91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2.2650000000000001E-3</v>
      </c>
      <c r="I94" s="101">
        <f t="shared" si="14"/>
        <v>541329.73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2.2650000000000001E-3</v>
      </c>
      <c r="I96" s="101">
        <f t="shared" si="14"/>
        <v>-3624.11</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316.27629999999999</v>
      </c>
      <c r="D102" s="518"/>
      <c r="E102" s="46">
        <f>H8</f>
        <v>1.0442</v>
      </c>
      <c r="F102" s="304">
        <f>'1461'!F102</f>
        <v>904.74</v>
      </c>
      <c r="G102" s="39" t="s">
        <v>12</v>
      </c>
      <c r="H102" s="101">
        <f>ROUND(C102*E102*F102,2)</f>
        <v>298795.55</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199.04950000000002</v>
      </c>
      <c r="D103" s="518"/>
      <c r="E103" s="46">
        <f>H8</f>
        <v>1.0442</v>
      </c>
      <c r="F103" s="304">
        <f>'1461'!F103</f>
        <v>906.93</v>
      </c>
      <c r="G103" s="39" t="s">
        <v>12</v>
      </c>
      <c r="H103" s="94">
        <f>ROUND(C103*E103*F103,2)</f>
        <v>188503.12</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515.32580000000007</v>
      </c>
      <c r="D104" s="531"/>
      <c r="E104" s="123"/>
      <c r="F104" s="123"/>
      <c r="G104" s="123"/>
      <c r="H104" s="124" t="s">
        <v>100</v>
      </c>
      <c r="I104" s="101">
        <f>IF(A1=75,0,H103+H102+H101)</f>
        <v>487298.67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289</v>
      </c>
      <c r="D110" s="143">
        <v>261</v>
      </c>
      <c r="E110" s="116">
        <f>(C110+D110)/2</f>
        <v>275</v>
      </c>
      <c r="F110" s="126" t="s">
        <v>30</v>
      </c>
      <c r="G110" s="305">
        <f>'1461'!G110</f>
        <v>565</v>
      </c>
      <c r="I110" s="101">
        <f>ROUND(G110*E110,2)</f>
        <v>155375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4225300.1400000006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4061293.8300000005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4061293.8300000005</v>
      </c>
      <c r="I132" s="94">
        <f>ROUND(IF(E30=0,0,IF(E30&gt;250,-(((250/E30)*H132)*IF(G132="H",0.02,0.05)),IF(G132="H",-0.02*H132,-0.05*H132))),2)</f>
        <v>-100000.34</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4125299.8000000007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-703501.36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3421798.4400000009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342179.84000000003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103064.35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v>637300</v>
      </c>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127</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61.16</v>
      </c>
      <c r="D14" s="141">
        <v>60.43</v>
      </c>
      <c r="E14" s="187">
        <f>IF(D$30=0,C14*2,C14+D14)</f>
        <v>121.59</v>
      </c>
      <c r="F14" s="561">
        <f>'1461'!F14:G14</f>
        <v>1.1220000000000001</v>
      </c>
      <c r="G14" s="561"/>
      <c r="H14" s="145">
        <f>ROUND(E14*F14,4)</f>
        <v>136.42400000000001</v>
      </c>
      <c r="I14" s="111">
        <f>ROUND(ROUND(ROUND(H14*$C$8,4)*($H$8),2)*(MAX($H$9,1)),2)</f>
        <v>732174.79</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19</v>
      </c>
      <c r="D15" s="143">
        <v>18</v>
      </c>
      <c r="E15" s="116">
        <f t="shared" ref="E15:E29" si="1">IF(D$30=0,C15*2,C15+D15)</f>
        <v>37</v>
      </c>
      <c r="F15" s="558">
        <f>'1461'!F15:G15</f>
        <v>1.1220000000000001</v>
      </c>
      <c r="G15" s="558"/>
      <c r="H15" s="80">
        <f t="shared" ref="H15:H29" si="2">ROUND(E15*F15,4)</f>
        <v>41.514000000000003</v>
      </c>
      <c r="I15" s="101">
        <f t="shared" ref="I15:I29" si="3">ROUND(ROUND(ROUND(H15*$C$8,4)*($H$8),2)*(MAX($H$9,1)),2)</f>
        <v>222801.74</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28.85</v>
      </c>
      <c r="D16" s="143">
        <v>28.35</v>
      </c>
      <c r="E16" s="116">
        <f t="shared" si="1"/>
        <v>57.2</v>
      </c>
      <c r="F16" s="558">
        <f>'1461'!F16:G16</f>
        <v>1</v>
      </c>
      <c r="G16" s="558"/>
      <c r="H16" s="80">
        <f t="shared" si="2"/>
        <v>57.2</v>
      </c>
      <c r="I16" s="101">
        <f t="shared" si="3"/>
        <v>306987.03000000003</v>
      </c>
      <c r="N16" s="571" t="s">
        <v>22</v>
      </c>
      <c r="O16" s="571"/>
      <c r="P16" s="572">
        <f t="shared" si="0"/>
        <v>0</v>
      </c>
      <c r="Q16" s="572"/>
      <c r="R16" s="573">
        <v>1</v>
      </c>
      <c r="S16" s="573"/>
      <c r="T16" s="95">
        <f t="shared" si="4"/>
        <v>0</v>
      </c>
      <c r="U16" s="475">
        <f t="shared" si="5"/>
        <v>0</v>
      </c>
    </row>
    <row r="17" spans="1:21" x14ac:dyDescent="0.25">
      <c r="A17" s="520" t="s">
        <v>23</v>
      </c>
      <c r="B17" s="520"/>
      <c r="C17" s="143">
        <v>8.5</v>
      </c>
      <c r="D17" s="143">
        <v>9</v>
      </c>
      <c r="E17" s="116">
        <f t="shared" si="1"/>
        <v>17.5</v>
      </c>
      <c r="F17" s="558">
        <f>'1461'!F17:G17</f>
        <v>1</v>
      </c>
      <c r="G17" s="558"/>
      <c r="H17" s="80">
        <f t="shared" si="2"/>
        <v>17.5</v>
      </c>
      <c r="I17" s="101">
        <f t="shared" si="3"/>
        <v>93920.86</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3.84</v>
      </c>
      <c r="D26" s="143">
        <v>4.57</v>
      </c>
      <c r="E26" s="116">
        <f t="shared" si="1"/>
        <v>8.41</v>
      </c>
      <c r="F26" s="558">
        <f>'1461'!F26:G26</f>
        <v>1.208</v>
      </c>
      <c r="G26" s="558"/>
      <c r="H26" s="80">
        <f t="shared" si="2"/>
        <v>10.1593</v>
      </c>
      <c r="I26" s="101">
        <f t="shared" si="3"/>
        <v>54524.01</v>
      </c>
      <c r="N26" s="571" t="s">
        <v>85</v>
      </c>
      <c r="O26" s="571"/>
      <c r="P26" s="572">
        <f t="shared" si="0"/>
        <v>0</v>
      </c>
      <c r="Q26" s="572"/>
      <c r="R26" s="573">
        <v>1</v>
      </c>
      <c r="S26" s="573"/>
      <c r="T26" s="95">
        <f t="shared" si="4"/>
        <v>0</v>
      </c>
      <c r="U26" s="475">
        <f t="shared" si="5"/>
        <v>0</v>
      </c>
    </row>
    <row r="27" spans="1:21" x14ac:dyDescent="0.25">
      <c r="A27" s="520" t="s">
        <v>86</v>
      </c>
      <c r="B27" s="520"/>
      <c r="C27" s="143">
        <v>1.1499999999999999</v>
      </c>
      <c r="D27" s="143">
        <v>1.1499999999999999</v>
      </c>
      <c r="E27" s="116">
        <f t="shared" si="1"/>
        <v>2.2999999999999998</v>
      </c>
      <c r="F27" s="558">
        <f>'1461'!F27:G27</f>
        <v>1.208</v>
      </c>
      <c r="G27" s="558"/>
      <c r="H27" s="80">
        <f t="shared" si="2"/>
        <v>2.7784</v>
      </c>
      <c r="I27" s="101">
        <f t="shared" si="3"/>
        <v>14911.41</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122.5</v>
      </c>
      <c r="D30" s="94">
        <f>SUM(D14:D29)</f>
        <v>121.5</v>
      </c>
      <c r="E30" s="94">
        <f>SUM(E14:E29)</f>
        <v>244.00000000000003</v>
      </c>
      <c r="F30" s="539"/>
      <c r="G30" s="539"/>
      <c r="H30" s="99">
        <f>SUM(H14:H29)</f>
        <v>265.57569999999998</v>
      </c>
      <c r="I30" s="94">
        <f>SUM(I14:I29)</f>
        <v>1425319.84</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265.57569999999998</v>
      </c>
      <c r="F46" s="34"/>
      <c r="G46" s="106"/>
      <c r="H46" s="107" t="s">
        <v>98</v>
      </c>
      <c r="I46" s="94">
        <f>SUM(I44,I30)</f>
        <v>1425319.84</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1425319.84</v>
      </c>
      <c r="G51" s="109" t="s">
        <v>6</v>
      </c>
      <c r="H51" s="403">
        <v>4.5199999999999997E-2</v>
      </c>
      <c r="I51" s="101">
        <f>ROUND(F51*H51,2)</f>
        <v>64424.46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1425319.84</v>
      </c>
      <c r="G52" s="109" t="s">
        <v>6</v>
      </c>
      <c r="H52" s="403">
        <v>1.41E-2</v>
      </c>
      <c r="I52" s="101">
        <f>ROUND(F52*H52,2)</f>
        <v>20097.009999999998</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84521.47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15.5</v>
      </c>
      <c r="D57" s="143">
        <v>15.49</v>
      </c>
      <c r="E57" s="116">
        <f t="shared" ref="E57:E65" si="10">IF(D$72=0,C57*2,C57+D57)</f>
        <v>30.990000000000002</v>
      </c>
      <c r="F57" s="445" t="s">
        <v>439</v>
      </c>
      <c r="G57" s="445">
        <v>251</v>
      </c>
      <c r="H57" s="459">
        <f>'1461'!H57</f>
        <v>1047</v>
      </c>
      <c r="I57" s="101">
        <f>ROUND(E57*H57,2)</f>
        <v>32446.53</v>
      </c>
      <c r="N57" s="621" t="s">
        <v>447</v>
      </c>
      <c r="O57" s="621"/>
      <c r="P57" s="624"/>
      <c r="Q57" s="624"/>
      <c r="R57" s="451" t="s">
        <v>439</v>
      </c>
      <c r="S57" s="451">
        <v>251</v>
      </c>
      <c r="T57" s="462">
        <f>H57</f>
        <v>1047</v>
      </c>
      <c r="U57" s="476">
        <f>ROUND(P57*T57,2)</f>
        <v>0</v>
      </c>
      <c r="V57" s="426"/>
    </row>
    <row r="58" spans="1:22" x14ac:dyDescent="0.25">
      <c r="A58" s="536"/>
      <c r="B58" s="536"/>
      <c r="C58" s="143">
        <v>3.5</v>
      </c>
      <c r="D58" s="143">
        <v>2.5099999999999998</v>
      </c>
      <c r="E58" s="116">
        <f t="shared" si="10"/>
        <v>6.01</v>
      </c>
      <c r="F58" s="445" t="s">
        <v>439</v>
      </c>
      <c r="G58" s="445">
        <v>252</v>
      </c>
      <c r="H58" s="459">
        <f>'1461'!H58</f>
        <v>3380</v>
      </c>
      <c r="I58" s="101">
        <f t="shared" ref="I58:I65" si="11">ROUND(E58*H58,2)</f>
        <v>20313.8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7.5</v>
      </c>
      <c r="D60" s="143">
        <v>8</v>
      </c>
      <c r="E60" s="116">
        <f t="shared" si="10"/>
        <v>15.5</v>
      </c>
      <c r="F60" s="446" t="s">
        <v>13</v>
      </c>
      <c r="G60" s="445">
        <v>251</v>
      </c>
      <c r="H60" s="459">
        <f>'1461'!H60</f>
        <v>1173</v>
      </c>
      <c r="I60" s="101">
        <f t="shared" si="11"/>
        <v>18181.5</v>
      </c>
      <c r="N60" s="622"/>
      <c r="O60" s="622"/>
      <c r="P60" s="625"/>
      <c r="Q60" s="625"/>
      <c r="R60" s="40" t="s">
        <v>13</v>
      </c>
      <c r="S60" s="451">
        <v>251</v>
      </c>
      <c r="T60" s="462">
        <f t="shared" si="12"/>
        <v>1173</v>
      </c>
      <c r="U60" s="476">
        <f t="shared" si="13"/>
        <v>0</v>
      </c>
      <c r="V60" s="426"/>
    </row>
    <row r="61" spans="1:22" x14ac:dyDescent="0.25">
      <c r="A61" s="536"/>
      <c r="B61" s="536"/>
      <c r="C61" s="143">
        <v>0.5</v>
      </c>
      <c r="D61" s="143">
        <v>0.5</v>
      </c>
      <c r="E61" s="116">
        <f t="shared" si="10"/>
        <v>1</v>
      </c>
      <c r="F61" s="446" t="s">
        <v>13</v>
      </c>
      <c r="G61" s="445">
        <v>252</v>
      </c>
      <c r="H61" s="459">
        <f>'1461'!H61</f>
        <v>3506</v>
      </c>
      <c r="I61" s="101">
        <f t="shared" si="11"/>
        <v>3506</v>
      </c>
      <c r="N61" s="622"/>
      <c r="O61" s="622"/>
      <c r="P61" s="625"/>
      <c r="Q61" s="625"/>
      <c r="R61" s="40" t="s">
        <v>13</v>
      </c>
      <c r="S61" s="451">
        <v>252</v>
      </c>
      <c r="T61" s="462">
        <f t="shared" si="12"/>
        <v>3506</v>
      </c>
      <c r="U61" s="476">
        <f t="shared" si="13"/>
        <v>0</v>
      </c>
      <c r="V61" s="426"/>
    </row>
    <row r="62" spans="1:22" x14ac:dyDescent="0.25">
      <c r="A62" s="536"/>
      <c r="B62" s="536"/>
      <c r="C62" s="143">
        <v>0.5</v>
      </c>
      <c r="D62" s="143">
        <v>0.5</v>
      </c>
      <c r="E62" s="116">
        <f t="shared" si="10"/>
        <v>1</v>
      </c>
      <c r="F62" s="446" t="s">
        <v>13</v>
      </c>
      <c r="G62" s="445">
        <v>253</v>
      </c>
      <c r="H62" s="459">
        <f>'1461'!H62</f>
        <v>7023</v>
      </c>
      <c r="I62" s="101">
        <f t="shared" si="11"/>
        <v>7023</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27.5</v>
      </c>
      <c r="D66" s="97">
        <f>SUM(D57:D65)</f>
        <v>27</v>
      </c>
      <c r="E66" s="97">
        <f>SUM(E57:E65)</f>
        <v>54.5</v>
      </c>
      <c r="F66" s="523" t="s">
        <v>448</v>
      </c>
      <c r="G66" s="523"/>
      <c r="H66" s="523"/>
      <c r="I66" s="97">
        <f>SUM(I57:I65)</f>
        <v>81470.83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244.00000000000003</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1.1999999999999999E-3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265.57569999999998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1.1670000000000001E-3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244.00000000000003</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1.305E-3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244.00000000000003</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1.201E-3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244.00000000000003</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1.307E-3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1.201E-3</v>
      </c>
      <c r="I85" s="101">
        <f>ROUND(F85*H85,2)</f>
        <v>53643.31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1.1999999999999999E-3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1.307E-3</v>
      </c>
      <c r="I90" s="101">
        <f>ROUND(F90*H90,2)</f>
        <v>21130.34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1.305E-3</v>
      </c>
      <c r="I92" s="101">
        <f t="shared" ref="I92:I96" si="14">ROUND(F92*H92,2)</f>
        <v>13102.33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1.1670000000000001E-3</v>
      </c>
      <c r="I94" s="101">
        <f t="shared" si="14"/>
        <v>278910.28999999998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1.1670000000000001E-3</v>
      </c>
      <c r="I96" s="101">
        <f t="shared" si="14"/>
        <v>-1867.25</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188.09730000000002</v>
      </c>
      <c r="D101" s="518"/>
      <c r="E101" s="46">
        <f>H8</f>
        <v>1.0442</v>
      </c>
      <c r="F101" s="304">
        <f>'1461'!F101</f>
        <v>947.59</v>
      </c>
      <c r="G101" s="39" t="s">
        <v>12</v>
      </c>
      <c r="H101" s="101">
        <f>ROUND(C101*E101*F101,2)</f>
        <v>186117.29</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77.478400000000008</v>
      </c>
      <c r="D102" s="518"/>
      <c r="E102" s="46">
        <f>H8</f>
        <v>1.0442</v>
      </c>
      <c r="F102" s="304">
        <f>'1461'!F102</f>
        <v>904.74</v>
      </c>
      <c r="G102" s="39" t="s">
        <v>12</v>
      </c>
      <c r="H102" s="101">
        <f>ROUND(C102*E102*F102,2)</f>
        <v>73196.13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265.57570000000004</v>
      </c>
      <c r="D104" s="531"/>
      <c r="E104" s="123"/>
      <c r="F104" s="123"/>
      <c r="G104" s="123"/>
      <c r="H104" s="124" t="s">
        <v>100</v>
      </c>
      <c r="I104" s="101">
        <f>IF(A1=75,0,H103+H102+H101)</f>
        <v>259313.42</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2131023.1100000003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2046501.6400000004</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2046501.6400000004</v>
      </c>
      <c r="I132" s="94">
        <f>ROUND(IF(E30=0,0,IF(E30&gt;250,-(((250/E30)*H132)*IF(G132="H",0.02,0.05)),IF(G132="H",-0.02*H132,-0.05*H132))),2)</f>
        <v>-40930.03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2090093.0800000003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-356209.83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1733883.2500000002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173388.33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57.3</v>
      </c>
      <c r="D14" s="141">
        <v>57.85</v>
      </c>
      <c r="E14" s="187">
        <f>IF(D$30=0,C14*2,C14+D14)</f>
        <v>115.15</v>
      </c>
      <c r="F14" s="561">
        <f>'1461'!F14:G14</f>
        <v>1.1220000000000001</v>
      </c>
      <c r="G14" s="561"/>
      <c r="H14" s="145">
        <f>ROUND(E14*F14,4)</f>
        <v>129.19829999999999</v>
      </c>
      <c r="I14" s="111">
        <f>ROUND(ROUND(ROUND(H14*$C$8,4)*($H$8),2)*(MAX($H$9,1)),2)</f>
        <v>693395.14</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4.5</v>
      </c>
      <c r="D15" s="143">
        <v>4.5</v>
      </c>
      <c r="E15" s="116">
        <f t="shared" ref="E15:E29" si="1">IF(D$30=0,C15*2,C15+D15)</f>
        <v>9</v>
      </c>
      <c r="F15" s="558">
        <f>'1461'!F15:G15</f>
        <v>1.1220000000000001</v>
      </c>
      <c r="G15" s="558"/>
      <c r="H15" s="80">
        <f t="shared" ref="H15:H29" si="2">ROUND(E15*F15,4)</f>
        <v>10.098000000000001</v>
      </c>
      <c r="I15" s="101">
        <f t="shared" ref="I15:I29" si="3">ROUND(ROUND(ROUND(H15*$C$8,4)*($H$8),2)*(MAX($H$9,1)),2)</f>
        <v>54195.02</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86.32</v>
      </c>
      <c r="D16" s="143">
        <v>87.01</v>
      </c>
      <c r="E16" s="116">
        <f t="shared" si="1"/>
        <v>173.32999999999998</v>
      </c>
      <c r="F16" s="558">
        <f>'1461'!F16:G16</f>
        <v>1</v>
      </c>
      <c r="G16" s="558"/>
      <c r="H16" s="80">
        <f t="shared" si="2"/>
        <v>173.33</v>
      </c>
      <c r="I16" s="101">
        <f t="shared" si="3"/>
        <v>930245.83</v>
      </c>
      <c r="N16" s="571" t="s">
        <v>22</v>
      </c>
      <c r="O16" s="571"/>
      <c r="P16" s="572">
        <f t="shared" si="0"/>
        <v>0</v>
      </c>
      <c r="Q16" s="572"/>
      <c r="R16" s="573">
        <v>1</v>
      </c>
      <c r="S16" s="573"/>
      <c r="T16" s="95">
        <f t="shared" si="4"/>
        <v>0</v>
      </c>
      <c r="U16" s="475">
        <f t="shared" si="5"/>
        <v>0</v>
      </c>
    </row>
    <row r="17" spans="1:21" x14ac:dyDescent="0.25">
      <c r="A17" s="520" t="s">
        <v>23</v>
      </c>
      <c r="B17" s="520"/>
      <c r="C17" s="143">
        <v>13.44</v>
      </c>
      <c r="D17" s="143">
        <v>13.68</v>
      </c>
      <c r="E17" s="116">
        <f t="shared" si="1"/>
        <v>27.119999999999997</v>
      </c>
      <c r="F17" s="558">
        <f>'1461'!F17:G17</f>
        <v>1</v>
      </c>
      <c r="G17" s="558"/>
      <c r="H17" s="80">
        <f t="shared" si="2"/>
        <v>27.12</v>
      </c>
      <c r="I17" s="101">
        <f t="shared" si="3"/>
        <v>145550.49</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6.7</v>
      </c>
      <c r="D26" s="143">
        <v>6.7</v>
      </c>
      <c r="E26" s="116">
        <f t="shared" si="1"/>
        <v>13.4</v>
      </c>
      <c r="F26" s="558">
        <f>'1461'!F26:G26</f>
        <v>1.208</v>
      </c>
      <c r="G26" s="558"/>
      <c r="H26" s="80">
        <f t="shared" si="2"/>
        <v>16.187200000000001</v>
      </c>
      <c r="I26" s="101">
        <f t="shared" si="3"/>
        <v>86875.18</v>
      </c>
      <c r="N26" s="571" t="s">
        <v>85</v>
      </c>
      <c r="O26" s="571"/>
      <c r="P26" s="572">
        <f t="shared" si="0"/>
        <v>0</v>
      </c>
      <c r="Q26" s="572"/>
      <c r="R26" s="573">
        <v>1</v>
      </c>
      <c r="S26" s="573"/>
      <c r="T26" s="95">
        <f t="shared" si="4"/>
        <v>0</v>
      </c>
      <c r="U26" s="475">
        <f t="shared" si="5"/>
        <v>0</v>
      </c>
    </row>
    <row r="27" spans="1:21" x14ac:dyDescent="0.25">
      <c r="A27" s="520" t="s">
        <v>86</v>
      </c>
      <c r="B27" s="520"/>
      <c r="C27" s="143">
        <v>3.21</v>
      </c>
      <c r="D27" s="143">
        <v>3.21</v>
      </c>
      <c r="E27" s="116">
        <f t="shared" si="1"/>
        <v>6.42</v>
      </c>
      <c r="F27" s="558">
        <f>'1461'!F27:G27</f>
        <v>1.208</v>
      </c>
      <c r="G27" s="558"/>
      <c r="H27" s="80">
        <f t="shared" si="2"/>
        <v>7.7553999999999998</v>
      </c>
      <c r="I27" s="101">
        <f t="shared" si="3"/>
        <v>41622.5</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171.47</v>
      </c>
      <c r="D30" s="94">
        <f>SUM(D14:D29)</f>
        <v>172.95000000000002</v>
      </c>
      <c r="E30" s="94">
        <f>SUM(E14:E29)</f>
        <v>344.42</v>
      </c>
      <c r="F30" s="539"/>
      <c r="G30" s="539"/>
      <c r="H30" s="99">
        <f>SUM(H14:H29)</f>
        <v>363.68890000000005</v>
      </c>
      <c r="I30" s="94">
        <f>SUM(I14:I29)</f>
        <v>1951884.16</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363.68890000000005</v>
      </c>
      <c r="F46" s="34"/>
      <c r="G46" s="106"/>
      <c r="H46" s="107" t="s">
        <v>98</v>
      </c>
      <c r="I46" s="94">
        <f>SUM(I44,I30)</f>
        <v>1951884.16</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1951884.16</v>
      </c>
      <c r="G51" s="109" t="s">
        <v>6</v>
      </c>
      <c r="H51" s="403">
        <v>4.5199999999999997E-2</v>
      </c>
      <c r="I51" s="101">
        <f>ROUND(F51*H51,2)</f>
        <v>88225.16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1951884.16</v>
      </c>
      <c r="G52" s="109" t="s">
        <v>6</v>
      </c>
      <c r="H52" s="403">
        <v>1.41E-2</v>
      </c>
      <c r="I52" s="101">
        <f>ROUND(F52*H52,2)</f>
        <v>27521.57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115746.73000000001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3</v>
      </c>
      <c r="D57" s="143">
        <v>3.58</v>
      </c>
      <c r="E57" s="116">
        <f t="shared" ref="E57:E65" si="10">IF(D$72=0,C57*2,C57+D57)</f>
        <v>6.58</v>
      </c>
      <c r="F57" s="445" t="s">
        <v>439</v>
      </c>
      <c r="G57" s="445">
        <v>251</v>
      </c>
      <c r="H57" s="459">
        <f>'1461'!H57</f>
        <v>1047</v>
      </c>
      <c r="I57" s="101">
        <f>ROUND(E57*H57,2)</f>
        <v>6889.26</v>
      </c>
      <c r="N57" s="621" t="s">
        <v>447</v>
      </c>
      <c r="O57" s="621"/>
      <c r="P57" s="624"/>
      <c r="Q57" s="624"/>
      <c r="R57" s="451" t="s">
        <v>439</v>
      </c>
      <c r="S57" s="451">
        <v>251</v>
      </c>
      <c r="T57" s="462">
        <f>H57</f>
        <v>1047</v>
      </c>
      <c r="U57" s="476">
        <f>ROUND(P57*T57,2)</f>
        <v>0</v>
      </c>
      <c r="V57" s="426"/>
    </row>
    <row r="58" spans="1:22" x14ac:dyDescent="0.25">
      <c r="A58" s="536"/>
      <c r="B58" s="536"/>
      <c r="C58" s="143">
        <v>1.5</v>
      </c>
      <c r="D58" s="143">
        <v>0.92</v>
      </c>
      <c r="E58" s="116">
        <f t="shared" si="10"/>
        <v>2.42</v>
      </c>
      <c r="F58" s="445" t="s">
        <v>439</v>
      </c>
      <c r="G58" s="445">
        <v>252</v>
      </c>
      <c r="H58" s="459">
        <f>'1461'!H58</f>
        <v>3380</v>
      </c>
      <c r="I58" s="101">
        <f t="shared" ref="I58:I65" si="11">ROUND(E58*H58,2)</f>
        <v>8179.6</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12.94</v>
      </c>
      <c r="D60" s="143">
        <v>13.27</v>
      </c>
      <c r="E60" s="116">
        <f t="shared" si="10"/>
        <v>26.21</v>
      </c>
      <c r="F60" s="446" t="s">
        <v>13</v>
      </c>
      <c r="G60" s="445">
        <v>251</v>
      </c>
      <c r="H60" s="459">
        <f>'1461'!H60</f>
        <v>1173</v>
      </c>
      <c r="I60" s="101">
        <f t="shared" si="11"/>
        <v>30744.33</v>
      </c>
      <c r="N60" s="622"/>
      <c r="O60" s="622"/>
      <c r="P60" s="625"/>
      <c r="Q60" s="625"/>
      <c r="R60" s="40" t="s">
        <v>13</v>
      </c>
      <c r="S60" s="451">
        <v>251</v>
      </c>
      <c r="T60" s="462">
        <f t="shared" si="12"/>
        <v>1173</v>
      </c>
      <c r="U60" s="476">
        <f t="shared" si="13"/>
        <v>0</v>
      </c>
      <c r="V60" s="426"/>
    </row>
    <row r="61" spans="1:22" x14ac:dyDescent="0.25">
      <c r="A61" s="536"/>
      <c r="B61" s="536"/>
      <c r="C61" s="143">
        <v>0.5</v>
      </c>
      <c r="D61" s="143">
        <v>0.41</v>
      </c>
      <c r="E61" s="116">
        <f t="shared" si="10"/>
        <v>0.90999999999999992</v>
      </c>
      <c r="F61" s="446" t="s">
        <v>13</v>
      </c>
      <c r="G61" s="445">
        <v>252</v>
      </c>
      <c r="H61" s="459">
        <f>'1461'!H61</f>
        <v>3506</v>
      </c>
      <c r="I61" s="101">
        <f t="shared" si="11"/>
        <v>3190.46</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17.939999999999998</v>
      </c>
      <c r="D66" s="97">
        <f>SUM(D57:D65)</f>
        <v>18.18</v>
      </c>
      <c r="E66" s="97">
        <f>SUM(E57:E65)</f>
        <v>36.119999999999997</v>
      </c>
      <c r="F66" s="523" t="s">
        <v>448</v>
      </c>
      <c r="G66" s="523"/>
      <c r="H66" s="523"/>
      <c r="I66" s="97">
        <f>SUM(I57:I65)</f>
        <v>49003.65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344.42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1.694E-3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363.68890000000005</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1.598E-3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344.42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1.843E-3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344.42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1.696E-3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344.42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1.8450000000000001E-3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1.696E-3</v>
      </c>
      <c r="I85" s="101">
        <f>ROUND(F85*H85,2)</f>
        <v>75752.75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1.694E-3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1.8450000000000001E-3</v>
      </c>
      <c r="I90" s="101">
        <f>ROUND(F90*H90,2)</f>
        <v>29828.21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1.843E-3</v>
      </c>
      <c r="I92" s="101">
        <f t="shared" ref="I92:I96" si="14">ROUND(F92*H92,2)</f>
        <v>18503.900000000001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1.598E-3</v>
      </c>
      <c r="I94" s="101">
        <f t="shared" si="14"/>
        <v>381918.28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1.598E-3</v>
      </c>
      <c r="I96" s="101">
        <f t="shared" si="14"/>
        <v>-2556.88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155.48349999999999</v>
      </c>
      <c r="D101" s="518"/>
      <c r="E101" s="46">
        <f>H8</f>
        <v>1.0442</v>
      </c>
      <c r="F101" s="304">
        <f>'1461'!F101</f>
        <v>947.59</v>
      </c>
      <c r="G101" s="39" t="s">
        <v>12</v>
      </c>
      <c r="H101" s="101">
        <f>ROUND(C101*E101*F101,2)</f>
        <v>153846.79999999999</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208.20540000000003</v>
      </c>
      <c r="D102" s="518"/>
      <c r="E102" s="46">
        <f>H8</f>
        <v>1.0442</v>
      </c>
      <c r="F102" s="304">
        <f>'1461'!F102</f>
        <v>904.74</v>
      </c>
      <c r="G102" s="39" t="s">
        <v>12</v>
      </c>
      <c r="H102" s="101">
        <f>ROUND(C102*E102*F102,2)</f>
        <v>196697.79</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363.68889999999999</v>
      </c>
      <c r="D104" s="531"/>
      <c r="E104" s="123"/>
      <c r="F104" s="123"/>
      <c r="G104" s="123"/>
      <c r="H104" s="124" t="s">
        <v>100</v>
      </c>
      <c r="I104" s="101">
        <f>IF(A1=75,0,H103+H102+H101)</f>
        <v>350544.58999999997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2</v>
      </c>
      <c r="D110" s="143">
        <v>0</v>
      </c>
      <c r="E110" s="116">
        <f>(C110+D110)/2</f>
        <v>1</v>
      </c>
      <c r="F110" s="126" t="s">
        <v>30</v>
      </c>
      <c r="G110" s="305">
        <f>'1461'!G110</f>
        <v>565</v>
      </c>
      <c r="I110" s="101">
        <f>ROUND(G110*E110,2)</f>
        <v>565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2855443.66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2739696.93</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2739696.93</v>
      </c>
      <c r="I132" s="94">
        <f>ROUND(IF(E30=0,0,IF(E30&gt;250,-(((250/E30)*H132)*IF(G132="H",0.02,0.05)),IF(G132="H",-0.02*H132,-0.05*H132))),2)</f>
        <v>-39772.620000000003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2815671.04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-479164.24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2336506.7999999998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233650.68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15021.32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showGridLines="0" topLeftCell="A54" zoomScaleNormal="100" workbookViewId="0">
      <selection activeCell="B6" sqref="B6"/>
    </sheetView>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43" t="s">
        <v>15</v>
      </c>
      <c r="C1" s="544"/>
      <c r="D1" s="544"/>
      <c r="E1" s="544"/>
      <c r="F1" s="544"/>
      <c r="G1" s="544"/>
      <c r="H1" s="544"/>
      <c r="I1" s="544"/>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45" t="s">
        <v>0</v>
      </c>
      <c r="B4" s="545"/>
      <c r="C4" s="546" t="s">
        <v>9</v>
      </c>
      <c r="D4" s="546"/>
      <c r="E4" s="546"/>
      <c r="F4" s="4" t="str">
        <f>'1461'!F4</f>
        <v>Sep 2023</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47" t="str">
        <f>'1461'!A7:I7</f>
        <v>1A.   2023-24 FEFP State and Local Funding</v>
      </c>
      <c r="B7" s="547"/>
      <c r="C7" s="547"/>
      <c r="D7" s="547"/>
      <c r="E7" s="547"/>
      <c r="F7" s="547"/>
      <c r="G7" s="547"/>
      <c r="H7" s="547"/>
      <c r="I7" s="547"/>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390</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2022</v>
      </c>
      <c r="D11" s="88" t="str">
        <f>'1461'!D11</f>
        <v>Feb 2023</v>
      </c>
      <c r="E11" s="89" t="s">
        <v>8</v>
      </c>
      <c r="F11" s="548" t="s">
        <v>1</v>
      </c>
      <c r="G11" s="548"/>
      <c r="H11" s="10" t="s">
        <v>60</v>
      </c>
      <c r="I11" s="11" t="s">
        <v>27</v>
      </c>
    </row>
    <row r="12" spans="1:9" x14ac:dyDescent="0.25">
      <c r="A12" s="540" t="s">
        <v>1</v>
      </c>
      <c r="B12" s="540"/>
      <c r="C12" s="437" t="str">
        <f>'1461'!C12</f>
        <v>FTE</v>
      </c>
      <c r="D12" s="437" t="str">
        <f>'1461'!D12</f>
        <v>FTE</v>
      </c>
      <c r="E12" s="90" t="s">
        <v>2</v>
      </c>
      <c r="F12" s="549" t="s">
        <v>63</v>
      </c>
      <c r="G12" s="549"/>
      <c r="H12" s="17" t="s">
        <v>59</v>
      </c>
      <c r="I12" s="390" t="s">
        <v>394</v>
      </c>
    </row>
    <row r="13" spans="1:9" x14ac:dyDescent="0.25">
      <c r="A13" s="550" t="s">
        <v>36</v>
      </c>
      <c r="B13" s="550"/>
      <c r="C13" s="91"/>
      <c r="D13" s="91"/>
      <c r="E13" s="92" t="s">
        <v>37</v>
      </c>
      <c r="F13" s="551" t="s">
        <v>38</v>
      </c>
      <c r="G13" s="551"/>
      <c r="H13" s="20" t="s">
        <v>39</v>
      </c>
      <c r="I13" s="21" t="s">
        <v>40</v>
      </c>
    </row>
    <row r="14" spans="1:9" x14ac:dyDescent="0.25">
      <c r="A14" s="541" t="s">
        <v>20</v>
      </c>
      <c r="B14" s="541"/>
      <c r="C14" s="141">
        <f>SUM('1461:4131'!C14)</f>
        <v>2394.08</v>
      </c>
      <c r="D14" s="141">
        <f>SUM('1461:4131'!D14)</f>
        <v>2339.17</v>
      </c>
      <c r="E14" s="187">
        <f>SUM('1461:4131'!E14)</f>
        <v>4733.25</v>
      </c>
      <c r="F14" s="542">
        <f>'1461'!F14:G14</f>
        <v>1.1220000000000001</v>
      </c>
      <c r="G14" s="542"/>
      <c r="H14" s="145">
        <f>SUM('1461:4131'!H14)</f>
        <v>5310.7066999999997</v>
      </c>
      <c r="I14" s="111">
        <f>SUM('1461:4131'!I14)</f>
        <v>28502063.990000002</v>
      </c>
    </row>
    <row r="15" spans="1:9" x14ac:dyDescent="0.25">
      <c r="A15" s="520" t="s">
        <v>21</v>
      </c>
      <c r="B15" s="520"/>
      <c r="C15" s="143">
        <f>SUM('1461:4131'!C15)</f>
        <v>289.08000000000004</v>
      </c>
      <c r="D15" s="143">
        <f>SUM('1461:4131'!D15)</f>
        <v>307.03999999999996</v>
      </c>
      <c r="E15" s="116">
        <f>SUM('1461:4131'!E15)</f>
        <v>596.12000000000012</v>
      </c>
      <c r="F15" s="537">
        <f>'1461'!F15:G15</f>
        <v>1.1220000000000001</v>
      </c>
      <c r="G15" s="537"/>
      <c r="H15" s="80">
        <f>SUM('1461:4131'!H15)</f>
        <v>668.84660000000019</v>
      </c>
      <c r="I15" s="101">
        <f>SUM('1461:4131'!I15)</f>
        <v>3589636.8800000008</v>
      </c>
    </row>
    <row r="16" spans="1:9" x14ac:dyDescent="0.25">
      <c r="A16" s="520" t="s">
        <v>22</v>
      </c>
      <c r="B16" s="520"/>
      <c r="C16" s="143">
        <f>SUM('1461:4131'!C16)</f>
        <v>3555.68</v>
      </c>
      <c r="D16" s="143">
        <f>SUM('1461:4131'!D16)</f>
        <v>3527.33</v>
      </c>
      <c r="E16" s="116">
        <f>SUM('1461:4131'!E16)</f>
        <v>7083.0099999999993</v>
      </c>
      <c r="F16" s="537">
        <f>'1461'!F16:G16</f>
        <v>1</v>
      </c>
      <c r="G16" s="537"/>
      <c r="H16" s="80">
        <f>SUM('1461:4131'!H16)</f>
        <v>7083.0099999999993</v>
      </c>
      <c r="I16" s="101">
        <f>SUM('1461:4131'!I16)</f>
        <v>38013849.320000008</v>
      </c>
    </row>
    <row r="17" spans="1:9" x14ac:dyDescent="0.25">
      <c r="A17" s="520" t="s">
        <v>23</v>
      </c>
      <c r="B17" s="520"/>
      <c r="C17" s="143">
        <f>SUM('1461:4131'!C17)</f>
        <v>643.02000000000021</v>
      </c>
      <c r="D17" s="143">
        <f>SUM('1461:4131'!D17)</f>
        <v>621.14</v>
      </c>
      <c r="E17" s="116">
        <f>SUM('1461:4131'!E17)</f>
        <v>1264.1600000000001</v>
      </c>
      <c r="F17" s="537">
        <f>'1461'!F17:G17</f>
        <v>1</v>
      </c>
      <c r="G17" s="537"/>
      <c r="H17" s="80">
        <f>SUM('1461:4131'!H17)</f>
        <v>1264.1600000000001</v>
      </c>
      <c r="I17" s="101">
        <f>SUM('1461:4131'!I17)</f>
        <v>6784627.9900000002</v>
      </c>
    </row>
    <row r="18" spans="1:9" x14ac:dyDescent="0.25">
      <c r="A18" s="520" t="s">
        <v>24</v>
      </c>
      <c r="B18" s="520"/>
      <c r="C18" s="143">
        <f>SUM('1461:4131'!C18)</f>
        <v>2235.31</v>
      </c>
      <c r="D18" s="143">
        <f>SUM('1461:4131'!D18)</f>
        <v>2253.23</v>
      </c>
      <c r="E18" s="116">
        <f>SUM('1461:4131'!E18)</f>
        <v>4488.5400000000018</v>
      </c>
      <c r="F18" s="537">
        <f>'1461'!F18:G18</f>
        <v>0.98799999999999999</v>
      </c>
      <c r="G18" s="537"/>
      <c r="H18" s="80">
        <f>SUM('1461:4131'!H18)</f>
        <v>4434.6775000000007</v>
      </c>
      <c r="I18" s="101">
        <f>SUM('1461:4131'!I18)</f>
        <v>23800497.589999992</v>
      </c>
    </row>
    <row r="19" spans="1:9" x14ac:dyDescent="0.25">
      <c r="A19" s="520" t="s">
        <v>25</v>
      </c>
      <c r="B19" s="520"/>
      <c r="C19" s="143">
        <f>SUM('1461:4131'!C19)</f>
        <v>550.70000000000005</v>
      </c>
      <c r="D19" s="143">
        <f>SUM('1461:4131'!D19)</f>
        <v>574.3599999999999</v>
      </c>
      <c r="E19" s="116">
        <f>SUM('1461:4131'!E19)</f>
        <v>1125.06</v>
      </c>
      <c r="F19" s="537">
        <f>'1461'!F19:G19</f>
        <v>0.98799999999999999</v>
      </c>
      <c r="G19" s="537"/>
      <c r="H19" s="80">
        <f>SUM('1461:4131'!H19)</f>
        <v>1111.5593000000001</v>
      </c>
      <c r="I19" s="101">
        <f>SUM('1461:4131'!I19)</f>
        <v>5965634.3200000003</v>
      </c>
    </row>
    <row r="20" spans="1:9" x14ac:dyDescent="0.25">
      <c r="A20" s="520" t="s">
        <v>79</v>
      </c>
      <c r="B20" s="520"/>
      <c r="C20" s="143">
        <f>SUM('1461:4131'!C20)</f>
        <v>88</v>
      </c>
      <c r="D20" s="143">
        <f>SUM('1461:4131'!D20)</f>
        <v>88.52</v>
      </c>
      <c r="E20" s="116">
        <f>SUM('1461:4131'!E20)</f>
        <v>176.51999999999998</v>
      </c>
      <c r="F20" s="537">
        <f>'1461'!F20:G20</f>
        <v>3.706</v>
      </c>
      <c r="G20" s="537"/>
      <c r="H20" s="80">
        <f>SUM('1461:4131'!H20)</f>
        <v>654.18309999999997</v>
      </c>
      <c r="I20" s="101">
        <f>SUM('1461:4131'!I20)</f>
        <v>3510939.25</v>
      </c>
    </row>
    <row r="21" spans="1:9" x14ac:dyDescent="0.25">
      <c r="A21" s="520" t="s">
        <v>80</v>
      </c>
      <c r="B21" s="520"/>
      <c r="C21" s="143">
        <f>SUM('1461:4131'!C21)</f>
        <v>72.5</v>
      </c>
      <c r="D21" s="143">
        <f>SUM('1461:4131'!D21)</f>
        <v>73</v>
      </c>
      <c r="E21" s="116">
        <f>SUM('1461:4131'!E21)</f>
        <v>145.5</v>
      </c>
      <c r="F21" s="537">
        <f>'1461'!F21:G21</f>
        <v>3.706</v>
      </c>
      <c r="G21" s="537"/>
      <c r="H21" s="80">
        <f>SUM('1461:4131'!H21)</f>
        <v>539.22299999999996</v>
      </c>
      <c r="I21" s="101">
        <f>SUM('1461:4131'!I21)</f>
        <v>2893959.19</v>
      </c>
    </row>
    <row r="22" spans="1:9" x14ac:dyDescent="0.25">
      <c r="A22" s="520" t="s">
        <v>81</v>
      </c>
      <c r="B22" s="520"/>
      <c r="C22" s="143">
        <f>SUM('1461:4131'!C22)</f>
        <v>67.94</v>
      </c>
      <c r="D22" s="143">
        <f>SUM('1461:4131'!D22)</f>
        <v>64.25</v>
      </c>
      <c r="E22" s="116">
        <f>SUM('1461:4131'!E22)</f>
        <v>132.19</v>
      </c>
      <c r="F22" s="537">
        <f>'1461'!F22:G22</f>
        <v>3.706</v>
      </c>
      <c r="G22" s="537"/>
      <c r="H22" s="80">
        <f>SUM('1461:4131'!H22)</f>
        <v>489.89620000000002</v>
      </c>
      <c r="I22" s="101">
        <f>SUM('1461:4131'!I22)</f>
        <v>2629226.89</v>
      </c>
    </row>
    <row r="23" spans="1:9" x14ac:dyDescent="0.25">
      <c r="A23" s="520" t="s">
        <v>82</v>
      </c>
      <c r="B23" s="520"/>
      <c r="C23" s="143">
        <f>SUM('1461:4131'!C23)</f>
        <v>28.5</v>
      </c>
      <c r="D23" s="143">
        <f>SUM('1461:4131'!D23)</f>
        <v>30</v>
      </c>
      <c r="E23" s="116">
        <f>SUM('1461:4131'!E23)</f>
        <v>58.5</v>
      </c>
      <c r="F23" s="537">
        <f>'1461'!F23:G23</f>
        <v>5.7069999999999999</v>
      </c>
      <c r="G23" s="537"/>
      <c r="H23" s="80">
        <f>SUM('1461:4131'!H23)</f>
        <v>333.85950000000003</v>
      </c>
      <c r="I23" s="101">
        <f>SUM('1461:4131'!I23)</f>
        <v>1791792.5699999998</v>
      </c>
    </row>
    <row r="24" spans="1:9" x14ac:dyDescent="0.25">
      <c r="A24" s="520" t="s">
        <v>83</v>
      </c>
      <c r="B24" s="520"/>
      <c r="C24" s="143">
        <f>SUM('1461:4131'!C24)</f>
        <v>48</v>
      </c>
      <c r="D24" s="143">
        <f>SUM('1461:4131'!D24)</f>
        <v>45</v>
      </c>
      <c r="E24" s="116">
        <f>SUM('1461:4131'!E24)</f>
        <v>93</v>
      </c>
      <c r="F24" s="537">
        <f>'1461'!F24:G24</f>
        <v>5.7069999999999999</v>
      </c>
      <c r="G24" s="537"/>
      <c r="H24" s="80">
        <f>SUM('1461:4131'!H24)</f>
        <v>530.75099999999998</v>
      </c>
      <c r="I24" s="101">
        <f>SUM('1461:4131'!I24)</f>
        <v>2848490.76</v>
      </c>
    </row>
    <row r="25" spans="1:9" x14ac:dyDescent="0.25">
      <c r="A25" s="520" t="s">
        <v>84</v>
      </c>
      <c r="B25" s="520"/>
      <c r="C25" s="143">
        <f>SUM('1461:4131'!C25)</f>
        <v>48.5</v>
      </c>
      <c r="D25" s="143">
        <f>SUM('1461:4131'!D25)</f>
        <v>47.68</v>
      </c>
      <c r="E25" s="116">
        <f>SUM('1461:4131'!E25)</f>
        <v>96.18</v>
      </c>
      <c r="F25" s="537">
        <f>'1461'!F25:G25</f>
        <v>5.7069999999999999</v>
      </c>
      <c r="G25" s="537"/>
      <c r="H25" s="80">
        <f>SUM('1461:4131'!H25)</f>
        <v>548.89930000000004</v>
      </c>
      <c r="I25" s="101">
        <f>SUM('1461:4131'!I25)</f>
        <v>2945890.98</v>
      </c>
    </row>
    <row r="26" spans="1:9" x14ac:dyDescent="0.25">
      <c r="A26" s="520" t="s">
        <v>85</v>
      </c>
      <c r="B26" s="520"/>
      <c r="C26" s="143">
        <f>SUM('1461:4131'!C26)</f>
        <v>429.59999999999991</v>
      </c>
      <c r="D26" s="143">
        <f>SUM('1461:4131'!D26)</f>
        <v>434.73999999999995</v>
      </c>
      <c r="E26" s="116">
        <f>SUM('1461:4131'!E26)</f>
        <v>864.34</v>
      </c>
      <c r="F26" s="537">
        <f>'1461'!F26:G26</f>
        <v>1.208</v>
      </c>
      <c r="G26" s="537"/>
      <c r="H26" s="80">
        <f>SUM('1461:4131'!H26)</f>
        <v>1044.1226999999999</v>
      </c>
      <c r="I26" s="101">
        <f>SUM('1461:4131'!I26)</f>
        <v>5603708.4400000004</v>
      </c>
    </row>
    <row r="27" spans="1:9" x14ac:dyDescent="0.25">
      <c r="A27" s="520" t="s">
        <v>86</v>
      </c>
      <c r="B27" s="520"/>
      <c r="C27" s="143">
        <f>SUM('1461:4131'!C27)</f>
        <v>303.92</v>
      </c>
      <c r="D27" s="143">
        <f>SUM('1461:4131'!D27)</f>
        <v>305.33999999999997</v>
      </c>
      <c r="E27" s="116">
        <f>SUM('1461:4131'!E27)</f>
        <v>609.26</v>
      </c>
      <c r="F27" s="537">
        <f>'1461'!F27:G27</f>
        <v>1.208</v>
      </c>
      <c r="G27" s="537"/>
      <c r="H27" s="80">
        <f>SUM('1461:4131'!H27)</f>
        <v>735.98609999999985</v>
      </c>
      <c r="I27" s="101">
        <f>SUM('1461:4131'!I27)</f>
        <v>3949968.2600000007</v>
      </c>
    </row>
    <row r="28" spans="1:9" x14ac:dyDescent="0.25">
      <c r="A28" s="520" t="s">
        <v>87</v>
      </c>
      <c r="B28" s="520"/>
      <c r="C28" s="143">
        <f>SUM('1461:4131'!C28)</f>
        <v>119.61</v>
      </c>
      <c r="D28" s="143">
        <f>SUM('1461:4131'!D28)</f>
        <v>123.67</v>
      </c>
      <c r="E28" s="116">
        <f>SUM('1461:4131'!E28)</f>
        <v>243.28</v>
      </c>
      <c r="F28" s="537">
        <f>'1461'!F28:G28</f>
        <v>1.208</v>
      </c>
      <c r="G28" s="537"/>
      <c r="H28" s="80">
        <f>SUM('1461:4131'!H28)</f>
        <v>293.88219999999995</v>
      </c>
      <c r="I28" s="101">
        <f>SUM('1461:4131'!I28)</f>
        <v>1577238.18</v>
      </c>
    </row>
    <row r="29" spans="1:9" x14ac:dyDescent="0.25">
      <c r="A29" s="520" t="s">
        <v>88</v>
      </c>
      <c r="B29" s="520"/>
      <c r="C29" s="110">
        <f>SUM('1461:4131'!C29)</f>
        <v>311.14999999999998</v>
      </c>
      <c r="D29" s="110">
        <f>SUM('1461:4131'!D29)</f>
        <v>316.90999999999997</v>
      </c>
      <c r="E29" s="154">
        <f>SUM('1461:4131'!E29)</f>
        <v>628.05999999999995</v>
      </c>
      <c r="F29" s="537">
        <f>'1461'!F29:G29</f>
        <v>1.0720000000000001</v>
      </c>
      <c r="G29" s="537"/>
      <c r="H29" s="93">
        <f>SUM('1461:4131'!H29)</f>
        <v>673.28020000000004</v>
      </c>
      <c r="I29" s="94">
        <f>SUM('1461:4131'!I29)</f>
        <v>3613431.5799999996</v>
      </c>
    </row>
    <row r="30" spans="1:9" x14ac:dyDescent="0.25">
      <c r="A30" s="538" t="s">
        <v>154</v>
      </c>
      <c r="B30" s="524"/>
      <c r="C30" s="111">
        <f>SUM(C14:C29)</f>
        <v>11185.590000000002</v>
      </c>
      <c r="D30" s="111">
        <f>SUM(D14:D29)</f>
        <v>11151.380000000001</v>
      </c>
      <c r="E30" s="187">
        <f>SUM(E14:E29)</f>
        <v>22336.97</v>
      </c>
      <c r="F30" s="539"/>
      <c r="G30" s="539"/>
      <c r="H30" s="145">
        <f>SUM(H14:H29)</f>
        <v>25717.043399999995</v>
      </c>
      <c r="I30" s="111">
        <f>SUM(I14:I29)</f>
        <v>138020956.19000003</v>
      </c>
    </row>
    <row r="31" spans="1:9" x14ac:dyDescent="0.25">
      <c r="A31" s="81" t="s">
        <v>155</v>
      </c>
      <c r="B31" s="156"/>
      <c r="C31" s="143">
        <f>Virtual!E22</f>
        <v>0</v>
      </c>
      <c r="D31" s="143">
        <f>Virtual!E23</f>
        <v>0</v>
      </c>
      <c r="E31" s="116">
        <f>IF(D$30=0,C31*2,C31+D31)</f>
        <v>0</v>
      </c>
      <c r="F31" s="537">
        <v>0.7</v>
      </c>
      <c r="G31" s="537"/>
      <c r="H31" s="80">
        <f t="shared" ref="H31" si="0">ROUND(E31*F31,4)</f>
        <v>0</v>
      </c>
      <c r="I31" s="101">
        <f>Virtual!E28</f>
        <v>0</v>
      </c>
    </row>
    <row r="32" spans="1:9" x14ac:dyDescent="0.25">
      <c r="A32" s="538" t="s">
        <v>156</v>
      </c>
      <c r="B32" s="524"/>
      <c r="C32" s="97">
        <f>SUM(C30:C31)</f>
        <v>11185.590000000002</v>
      </c>
      <c r="D32" s="97">
        <f>SUM(D30:D31)</f>
        <v>11151.380000000001</v>
      </c>
      <c r="E32" s="97">
        <f>SUM(E30:E31)</f>
        <v>22336.97</v>
      </c>
      <c r="F32" s="27"/>
      <c r="G32" s="27"/>
      <c r="H32" s="80"/>
      <c r="I32" s="97">
        <f>SUM(I30:I31)</f>
        <v>138020956.19000003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3"/>
      <c r="C35" s="101"/>
      <c r="D35" s="101"/>
      <c r="E35" s="101"/>
      <c r="F35" s="488"/>
      <c r="G35" s="488"/>
      <c r="H35" s="80"/>
      <c r="I35" s="101"/>
    </row>
    <row r="36" spans="1:9" hidden="1" x14ac:dyDescent="0.25">
      <c r="A36" s="3"/>
      <c r="B36" s="69"/>
      <c r="C36" s="69"/>
      <c r="D36" s="69"/>
      <c r="E36" s="69"/>
      <c r="F36" s="69"/>
      <c r="G36" s="69"/>
      <c r="H36" s="69"/>
      <c r="I36" s="322" t="s">
        <v>299</v>
      </c>
    </row>
    <row r="37" spans="1:9" hidden="1" x14ac:dyDescent="0.25">
      <c r="A37" s="26"/>
      <c r="B37" s="26"/>
      <c r="C37" s="88" t="str">
        <f>C11</f>
        <v>Oct 2022</v>
      </c>
      <c r="D37" s="88" t="str">
        <f>D11</f>
        <v>Feb 2023</v>
      </c>
      <c r="E37" s="89" t="s">
        <v>8</v>
      </c>
      <c r="F37" s="27"/>
      <c r="G37" s="27"/>
      <c r="H37" s="104"/>
      <c r="I37" s="24" t="s">
        <v>27</v>
      </c>
    </row>
    <row r="38" spans="1:9" hidden="1" x14ac:dyDescent="0.25">
      <c r="A38" s="540" t="s">
        <v>50</v>
      </c>
      <c r="B38" s="540"/>
      <c r="C38" s="325" t="s">
        <v>2</v>
      </c>
      <c r="D38" s="325" t="s">
        <v>2</v>
      </c>
      <c r="E38" s="90" t="s">
        <v>2</v>
      </c>
      <c r="F38" s="105"/>
      <c r="G38" s="105"/>
      <c r="H38" s="105"/>
      <c r="I38" s="31" t="s">
        <v>62</v>
      </c>
    </row>
    <row r="39" spans="1:9" hidden="1" x14ac:dyDescent="0.25">
      <c r="A39" s="541" t="s">
        <v>45</v>
      </c>
      <c r="B39" s="541"/>
      <c r="C39" s="147">
        <f>SUM('1461:4111'!C38)</f>
        <v>0</v>
      </c>
      <c r="D39" s="147">
        <f>SUM('1461:4111'!D38)</f>
        <v>0</v>
      </c>
      <c r="E39" s="187">
        <f>SUM('1461:4111'!E38)</f>
        <v>0</v>
      </c>
      <c r="F39" s="148"/>
      <c r="G39" s="148"/>
      <c r="H39" s="148"/>
      <c r="I39" s="111">
        <f>SUM('1461:4111'!I38)</f>
        <v>0</v>
      </c>
    </row>
    <row r="40" spans="1:9" hidden="1" x14ac:dyDescent="0.25">
      <c r="A40" s="520" t="s">
        <v>46</v>
      </c>
      <c r="B40" s="520"/>
      <c r="C40" s="150">
        <f>SUM('1461:4111'!C39)</f>
        <v>0</v>
      </c>
      <c r="D40" s="150">
        <f>SUM('1461:4111'!D39)</f>
        <v>0</v>
      </c>
      <c r="E40" s="116">
        <f>SUM('1461:4111'!E39)</f>
        <v>0</v>
      </c>
      <c r="F40" s="151"/>
      <c r="G40" s="151"/>
      <c r="H40" s="151"/>
      <c r="I40" s="101">
        <f>SUM('1461:4111'!I39)</f>
        <v>0</v>
      </c>
    </row>
    <row r="41" spans="1:9" hidden="1" x14ac:dyDescent="0.25">
      <c r="A41" s="527" t="s">
        <v>47</v>
      </c>
      <c r="B41" s="527"/>
      <c r="C41" s="150">
        <f>SUM('1461:4111'!C40)</f>
        <v>0</v>
      </c>
      <c r="D41" s="150">
        <f>SUM('1461:4111'!D40)</f>
        <v>0</v>
      </c>
      <c r="E41" s="116">
        <f>SUM('1461:4111'!E40)</f>
        <v>0</v>
      </c>
      <c r="F41" s="151"/>
      <c r="G41" s="151"/>
      <c r="H41" s="151"/>
      <c r="I41" s="101">
        <f>SUM('1461:4111'!I40)</f>
        <v>0</v>
      </c>
    </row>
    <row r="42" spans="1:9" hidden="1" x14ac:dyDescent="0.25">
      <c r="A42" s="520" t="s">
        <v>48</v>
      </c>
      <c r="B42" s="520"/>
      <c r="C42" s="150">
        <f>SUM('1461:4111'!C41)</f>
        <v>0</v>
      </c>
      <c r="D42" s="150">
        <f>SUM('1461:4111'!D41)</f>
        <v>0</v>
      </c>
      <c r="E42" s="116">
        <f>SUM('1461:4111'!E41)</f>
        <v>0</v>
      </c>
      <c r="F42" s="151"/>
      <c r="G42" s="151"/>
      <c r="H42" s="151"/>
      <c r="I42" s="101">
        <f>SUM('1461:4111'!I41)</f>
        <v>0</v>
      </c>
    </row>
    <row r="43" spans="1:9" hidden="1" x14ac:dyDescent="0.25">
      <c r="A43" s="520" t="s">
        <v>49</v>
      </c>
      <c r="B43" s="520"/>
      <c r="C43" s="150">
        <f>SUM('1461:4111'!C42)</f>
        <v>0</v>
      </c>
      <c r="D43" s="150">
        <f>SUM('1461:4111'!D42)</f>
        <v>0</v>
      </c>
      <c r="E43" s="116">
        <f>SUM('1461:4111'!E42)</f>
        <v>0</v>
      </c>
      <c r="F43" s="151"/>
      <c r="G43" s="151"/>
      <c r="H43" s="151"/>
      <c r="I43" s="101">
        <f>SUM('1461:4111'!I42)</f>
        <v>0</v>
      </c>
    </row>
    <row r="44" spans="1:9" hidden="1" x14ac:dyDescent="0.25">
      <c r="A44" s="520" t="s">
        <v>41</v>
      </c>
      <c r="B44" s="520"/>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25717.043399999995</v>
      </c>
      <c r="F47" s="34"/>
      <c r="G47" s="106"/>
      <c r="H47" s="107" t="s">
        <v>98</v>
      </c>
      <c r="I47" s="94">
        <f>SUM(I45,I32)</f>
        <v>138020956.19000003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395</v>
      </c>
      <c r="B50" s="26"/>
      <c r="C50" s="26"/>
      <c r="D50" s="26"/>
      <c r="E50" s="26"/>
      <c r="F50" s="34"/>
      <c r="G50" s="27"/>
      <c r="H50" s="27"/>
      <c r="I50" s="101"/>
    </row>
    <row r="51" spans="1:9" s="393" customFormat="1" ht="9" customHeight="1" x14ac:dyDescent="0.2">
      <c r="A51" s="392" t="s">
        <v>396</v>
      </c>
      <c r="F51" s="394"/>
      <c r="G51" s="395"/>
      <c r="H51" s="395"/>
      <c r="I51" s="396"/>
    </row>
    <row r="52" spans="1:9" s="393" customFormat="1" ht="11.25" customHeight="1" x14ac:dyDescent="0.2">
      <c r="A52" s="400" t="s">
        <v>397</v>
      </c>
      <c r="F52" s="394"/>
      <c r="G52" s="395"/>
      <c r="H52" s="395"/>
      <c r="I52" s="396"/>
    </row>
    <row r="53" spans="1:9" x14ac:dyDescent="0.25">
      <c r="A53" s="391"/>
      <c r="B53" s="3" t="s">
        <v>398</v>
      </c>
      <c r="C53" s="26"/>
      <c r="D53" s="26"/>
      <c r="E53" s="43" t="s">
        <v>399</v>
      </c>
      <c r="F53" s="402">
        <f>SUM('1461:4131'!F51)</f>
        <v>138020956.18999997</v>
      </c>
      <c r="G53" s="109" t="s">
        <v>6</v>
      </c>
      <c r="H53" s="403">
        <f>'1461'!H51</f>
        <v>4.5199999999999997E-2</v>
      </c>
      <c r="I53" s="101">
        <f>SUM('1461:4131'!I51)</f>
        <v>6238547.2299999995</v>
      </c>
    </row>
    <row r="54" spans="1:9" x14ac:dyDescent="0.25">
      <c r="A54" s="26"/>
      <c r="B54" s="81" t="s">
        <v>400</v>
      </c>
      <c r="C54" s="26"/>
      <c r="D54" s="26"/>
      <c r="E54" s="43" t="s">
        <v>399</v>
      </c>
      <c r="F54" s="402">
        <f>SUM('1461:4131'!F52)</f>
        <v>138020956.18999997</v>
      </c>
      <c r="G54" s="109" t="s">
        <v>6</v>
      </c>
      <c r="H54" s="403">
        <f>'1461'!H52</f>
        <v>1.41E-2</v>
      </c>
      <c r="I54" s="94">
        <f>SUM('1461:4131'!I52)</f>
        <v>1946095.4699999997</v>
      </c>
    </row>
    <row r="55" spans="1:9" x14ac:dyDescent="0.25">
      <c r="A55" s="26"/>
      <c r="B55" s="81" t="s">
        <v>401</v>
      </c>
      <c r="C55" s="26"/>
      <c r="D55" s="26"/>
      <c r="E55" s="43"/>
      <c r="F55" s="402"/>
      <c r="G55" s="109"/>
      <c r="H55" s="403"/>
      <c r="I55" s="97">
        <f>SUM(I53:I54)</f>
        <v>8184642.6999999993</v>
      </c>
    </row>
    <row r="56" spans="1:9" x14ac:dyDescent="0.25">
      <c r="A56" s="26"/>
      <c r="B56" s="26"/>
      <c r="C56" s="26"/>
      <c r="D56" s="26"/>
      <c r="E56" s="26"/>
      <c r="F56" s="34"/>
      <c r="G56" s="27"/>
      <c r="H56" s="27"/>
      <c r="I56" s="101"/>
    </row>
    <row r="57" spans="1:9" x14ac:dyDescent="0.25">
      <c r="A57" s="493"/>
      <c r="B57" s="493"/>
      <c r="C57" s="88" t="str">
        <f>C11</f>
        <v>Oct 2022</v>
      </c>
      <c r="D57" s="334" t="str">
        <f t="shared" ref="D57:D58" si="1">D11</f>
        <v>Feb 2023</v>
      </c>
      <c r="E57" s="89" t="s">
        <v>8</v>
      </c>
      <c r="F57" s="46" t="s">
        <v>440</v>
      </c>
      <c r="G57" s="109" t="s">
        <v>441</v>
      </c>
      <c r="H57" s="456" t="s">
        <v>442</v>
      </c>
      <c r="I57" s="101"/>
    </row>
    <row r="58" spans="1:9" x14ac:dyDescent="0.25">
      <c r="A58" s="36" t="s">
        <v>443</v>
      </c>
      <c r="B58" s="36"/>
      <c r="C58" s="325" t="str">
        <f t="shared" ref="C58" si="2">C12</f>
        <v>FTE</v>
      </c>
      <c r="D58" s="325" t="str">
        <f t="shared" si="1"/>
        <v>FTE</v>
      </c>
      <c r="E58" s="90" t="s">
        <v>2</v>
      </c>
      <c r="F58" s="486" t="s">
        <v>444</v>
      </c>
      <c r="G58" s="489" t="s">
        <v>444</v>
      </c>
      <c r="H58" s="457" t="s">
        <v>445</v>
      </c>
      <c r="I58" s="36"/>
    </row>
    <row r="59" spans="1:9" ht="15.75" customHeight="1" x14ac:dyDescent="0.25">
      <c r="A59" s="535" t="s">
        <v>447</v>
      </c>
      <c r="B59" s="535"/>
      <c r="C59" s="143">
        <f>SUM('1461:4131'!C57)</f>
        <v>244.22</v>
      </c>
      <c r="D59" s="143">
        <f>SUM('1461:4131'!D57)</f>
        <v>264.39</v>
      </c>
      <c r="E59" s="116">
        <f>SUM('1461:4131'!E57)</f>
        <v>508.60999999999996</v>
      </c>
      <c r="F59" s="491" t="s">
        <v>439</v>
      </c>
      <c r="G59" s="491">
        <v>251</v>
      </c>
      <c r="H59" s="459">
        <f>'1461'!H57</f>
        <v>1047</v>
      </c>
      <c r="I59" s="101">
        <f>SUM('1461:4131'!I57)</f>
        <v>532514.67000000004</v>
      </c>
    </row>
    <row r="60" spans="1:9" x14ac:dyDescent="0.25">
      <c r="A60" s="536"/>
      <c r="B60" s="536"/>
      <c r="C60" s="143">
        <f>SUM('1461:4131'!C58)</f>
        <v>37.11</v>
      </c>
      <c r="D60" s="143">
        <f>SUM('1461:4131'!D58)</f>
        <v>33.68</v>
      </c>
      <c r="E60" s="116">
        <f>SUM('1461:4131'!E58)</f>
        <v>70.790000000000006</v>
      </c>
      <c r="F60" s="491" t="s">
        <v>439</v>
      </c>
      <c r="G60" s="491">
        <v>252</v>
      </c>
      <c r="H60" s="459">
        <f>'1461'!H58</f>
        <v>3380</v>
      </c>
      <c r="I60" s="101">
        <f>SUM('1461:4131'!I58)</f>
        <v>239270.19999999998</v>
      </c>
    </row>
    <row r="61" spans="1:9" x14ac:dyDescent="0.25">
      <c r="A61" s="536"/>
      <c r="B61" s="536"/>
      <c r="C61" s="143">
        <f>SUM('1461:4131'!C59)</f>
        <v>7.75</v>
      </c>
      <c r="D61" s="143">
        <f>SUM('1461:4131'!D59)</f>
        <v>8.9700000000000006</v>
      </c>
      <c r="E61" s="116">
        <f>SUM('1461:4131'!E59)</f>
        <v>16.72</v>
      </c>
      <c r="F61" s="491" t="s">
        <v>439</v>
      </c>
      <c r="G61" s="491">
        <v>253</v>
      </c>
      <c r="H61" s="459">
        <f>'1461'!H59</f>
        <v>6896</v>
      </c>
      <c r="I61" s="101">
        <f>SUM('1461:4131'!I59)</f>
        <v>115301.12000000001</v>
      </c>
    </row>
    <row r="62" spans="1:9" x14ac:dyDescent="0.25">
      <c r="A62" s="536"/>
      <c r="B62" s="536"/>
      <c r="C62" s="143">
        <f>SUM('1461:4131'!C60)</f>
        <v>583.47</v>
      </c>
      <c r="D62" s="143">
        <f>SUM('1461:4131'!D60)</f>
        <v>560.44000000000005</v>
      </c>
      <c r="E62" s="116">
        <f>SUM('1461:4131'!E60)</f>
        <v>1143.9099999999999</v>
      </c>
      <c r="F62" s="492" t="s">
        <v>13</v>
      </c>
      <c r="G62" s="491">
        <v>251</v>
      </c>
      <c r="H62" s="459">
        <f>'1461'!H60</f>
        <v>1173</v>
      </c>
      <c r="I62" s="101">
        <f>SUM('1461:4131'!I60)</f>
        <v>1341806.43</v>
      </c>
    </row>
    <row r="63" spans="1:9" x14ac:dyDescent="0.25">
      <c r="A63" s="536"/>
      <c r="B63" s="536"/>
      <c r="C63" s="143">
        <f>SUM('1461:4131'!C61)</f>
        <v>44.550000000000004</v>
      </c>
      <c r="D63" s="143">
        <f>SUM('1461:4131'!D61)</f>
        <v>46.7</v>
      </c>
      <c r="E63" s="116">
        <f>SUM('1461:4131'!E61)</f>
        <v>91.250000000000014</v>
      </c>
      <c r="F63" s="492" t="s">
        <v>13</v>
      </c>
      <c r="G63" s="491">
        <v>252</v>
      </c>
      <c r="H63" s="459">
        <f>'1461'!H61</f>
        <v>3506</v>
      </c>
      <c r="I63" s="101">
        <f>SUM('1461:4131'!I61)</f>
        <v>319922.5</v>
      </c>
    </row>
    <row r="64" spans="1:9" x14ac:dyDescent="0.25">
      <c r="A64" s="536"/>
      <c r="B64" s="536"/>
      <c r="C64" s="143">
        <f>SUM('1461:4131'!C62)</f>
        <v>15</v>
      </c>
      <c r="D64" s="143">
        <f>SUM('1461:4131'!D62)</f>
        <v>14</v>
      </c>
      <c r="E64" s="116">
        <f>SUM('1461:4131'!E62)</f>
        <v>29</v>
      </c>
      <c r="F64" s="492" t="s">
        <v>13</v>
      </c>
      <c r="G64" s="491">
        <v>253</v>
      </c>
      <c r="H64" s="459">
        <f>'1461'!H62</f>
        <v>7023</v>
      </c>
      <c r="I64" s="101">
        <f>SUM('1461:4131'!I62)</f>
        <v>203667</v>
      </c>
    </row>
    <row r="65" spans="1:9" x14ac:dyDescent="0.25">
      <c r="A65" s="536"/>
      <c r="B65" s="536"/>
      <c r="C65" s="143">
        <f>SUM('1461:4131'!C63)</f>
        <v>396.49</v>
      </c>
      <c r="D65" s="143">
        <f>SUM('1461:4131'!D63)</f>
        <v>410.18</v>
      </c>
      <c r="E65" s="116">
        <f>SUM('1461:4131'!E63)</f>
        <v>806.67</v>
      </c>
      <c r="F65" s="492" t="s">
        <v>14</v>
      </c>
      <c r="G65" s="491">
        <v>251</v>
      </c>
      <c r="H65" s="459">
        <f>'1461'!H63</f>
        <v>835</v>
      </c>
      <c r="I65" s="101">
        <f>SUM('1461:4131'!I63)</f>
        <v>673569.45000000007</v>
      </c>
    </row>
    <row r="66" spans="1:9" x14ac:dyDescent="0.25">
      <c r="A66" s="536"/>
      <c r="B66" s="536"/>
      <c r="C66" s="143">
        <f>SUM('1461:4131'!C64)</f>
        <v>51.42</v>
      </c>
      <c r="D66" s="143">
        <f>SUM('1461:4131'!D64)</f>
        <v>52.269999999999996</v>
      </c>
      <c r="E66" s="116">
        <f>SUM('1461:4131'!E64)</f>
        <v>103.69000000000001</v>
      </c>
      <c r="F66" s="492" t="s">
        <v>14</v>
      </c>
      <c r="G66" s="491">
        <v>252</v>
      </c>
      <c r="H66" s="459">
        <f>'1461'!H64</f>
        <v>3168</v>
      </c>
      <c r="I66" s="101">
        <f>SUM('1461:4131'!I64)</f>
        <v>328489.92</v>
      </c>
    </row>
    <row r="67" spans="1:9" x14ac:dyDescent="0.25">
      <c r="A67" s="536"/>
      <c r="B67" s="536"/>
      <c r="C67" s="143">
        <f>SUM('1461:4131'!C65)</f>
        <v>102.79</v>
      </c>
      <c r="D67" s="143">
        <f>SUM('1461:4131'!D65)</f>
        <v>111.91</v>
      </c>
      <c r="E67" s="116">
        <f>SUM('1461:4131'!E65)</f>
        <v>214.70000000000002</v>
      </c>
      <c r="F67" s="492" t="s">
        <v>14</v>
      </c>
      <c r="G67" s="491">
        <v>253</v>
      </c>
      <c r="H67" s="459">
        <f>'1461'!H65</f>
        <v>6685</v>
      </c>
      <c r="I67" s="101">
        <f>SUM('1461:4131'!I65)</f>
        <v>1435269.4999999998</v>
      </c>
    </row>
    <row r="68" spans="1:9" x14ac:dyDescent="0.25">
      <c r="A68" s="487"/>
      <c r="C68" s="97">
        <f>SUM(C59:C67)</f>
        <v>1482.8</v>
      </c>
      <c r="D68" s="97">
        <f>SUM(D59:D67)</f>
        <v>1502.5400000000002</v>
      </c>
      <c r="E68" s="97">
        <f>SUM(E59:E67)</f>
        <v>2985.3399999999997</v>
      </c>
      <c r="F68" s="523" t="s">
        <v>448</v>
      </c>
      <c r="G68" s="523"/>
      <c r="H68" s="523"/>
      <c r="I68" s="97">
        <f>SUM(I59:I67)</f>
        <v>5189810.79</v>
      </c>
    </row>
    <row r="69" spans="1:9" x14ac:dyDescent="0.25">
      <c r="A69" s="493"/>
      <c r="B69" s="493"/>
      <c r="C69" s="493"/>
      <c r="D69" s="493"/>
      <c r="E69" s="493"/>
      <c r="F69" s="34"/>
      <c r="G69" s="488"/>
      <c r="H69" s="488"/>
      <c r="I69" s="101"/>
    </row>
    <row r="70" spans="1:9" x14ac:dyDescent="0.25">
      <c r="A70" s="490" t="s">
        <v>450</v>
      </c>
    </row>
    <row r="71" spans="1:9" x14ac:dyDescent="0.25">
      <c r="A71" s="519" t="s">
        <v>402</v>
      </c>
      <c r="B71" s="520"/>
      <c r="C71" s="112">
        <f>SUM('1461:4131'!C69)</f>
        <v>22336.969999999998</v>
      </c>
      <c r="D71" s="533" t="s">
        <v>413</v>
      </c>
      <c r="E71" s="533"/>
      <c r="F71" s="533"/>
      <c r="G71" s="533"/>
      <c r="H71" s="289">
        <f>'1461'!H69</f>
        <v>203305.63</v>
      </c>
      <c r="I71" s="113"/>
    </row>
    <row r="72" spans="1:9" x14ac:dyDescent="0.25">
      <c r="B72" s="69"/>
      <c r="G72" s="42" t="s">
        <v>12</v>
      </c>
      <c r="H72" s="114">
        <f>ROUND(C71/H71,6)</f>
        <v>0.10986899999999999</v>
      </c>
      <c r="I72" s="115"/>
    </row>
    <row r="73" spans="1:9" x14ac:dyDescent="0.25">
      <c r="A73" s="490" t="s">
        <v>451</v>
      </c>
    </row>
    <row r="74" spans="1:9" x14ac:dyDescent="0.25">
      <c r="A74" s="519" t="s">
        <v>403</v>
      </c>
      <c r="B74" s="520"/>
      <c r="C74" s="415">
        <f>SUM('1461:4131'!C72)</f>
        <v>25717.043400000006</v>
      </c>
      <c r="D74" s="533" t="s">
        <v>414</v>
      </c>
      <c r="E74" s="533"/>
      <c r="F74" s="533"/>
      <c r="G74" s="533"/>
      <c r="H74" s="290">
        <f>'1461'!H72</f>
        <v>227540.36</v>
      </c>
      <c r="I74" s="116"/>
    </row>
    <row r="75" spans="1:9" x14ac:dyDescent="0.25">
      <c r="G75" s="42" t="s">
        <v>12</v>
      </c>
      <c r="H75" s="114">
        <f>ROUND(C74/H74,6)</f>
        <v>0.113022</v>
      </c>
      <c r="I75" s="114"/>
    </row>
    <row r="76" spans="1:9" x14ac:dyDescent="0.25">
      <c r="A76" s="419" t="s">
        <v>452</v>
      </c>
      <c r="B76" s="416"/>
      <c r="C76" s="416"/>
      <c r="D76" s="416"/>
      <c r="E76" s="416"/>
      <c r="F76" s="416"/>
      <c r="G76" s="416"/>
      <c r="H76" s="416"/>
      <c r="I76" s="416"/>
    </row>
    <row r="77" spans="1:9" x14ac:dyDescent="0.25">
      <c r="A77" s="519" t="s">
        <v>404</v>
      </c>
      <c r="B77" s="520"/>
      <c r="C77" s="112">
        <f>SUM('1461:4131'!C75)</f>
        <v>22336.969999999998</v>
      </c>
      <c r="D77" s="532" t="s">
        <v>415</v>
      </c>
      <c r="E77" s="532"/>
      <c r="F77" s="532"/>
      <c r="G77" s="532"/>
      <c r="H77" s="289">
        <f>'1461'!H75</f>
        <v>186907.73</v>
      </c>
      <c r="I77" s="113"/>
    </row>
    <row r="78" spans="1:9" x14ac:dyDescent="0.25">
      <c r="B78" s="69"/>
      <c r="G78" s="42" t="s">
        <v>12</v>
      </c>
      <c r="H78" s="114">
        <f>ROUND(C77/H77,6)</f>
        <v>0.119508</v>
      </c>
      <c r="I78" s="115"/>
    </row>
    <row r="79" spans="1:9" x14ac:dyDescent="0.25">
      <c r="A79" s="419" t="s">
        <v>453</v>
      </c>
      <c r="B79" s="416"/>
      <c r="C79" s="416"/>
      <c r="D79" s="416"/>
      <c r="E79" s="416"/>
      <c r="F79" s="416"/>
      <c r="G79" s="416"/>
      <c r="H79" s="416"/>
      <c r="I79" s="416"/>
    </row>
    <row r="80" spans="1:9" x14ac:dyDescent="0.25">
      <c r="A80" s="519" t="s">
        <v>404</v>
      </c>
      <c r="B80" s="520"/>
      <c r="C80" s="112">
        <f>SUM('1461:4131'!C78)</f>
        <v>22336.969999999998</v>
      </c>
      <c r="D80" s="528" t="s">
        <v>416</v>
      </c>
      <c r="E80" s="528"/>
      <c r="F80" s="528"/>
      <c r="G80" s="528"/>
      <c r="H80" s="289">
        <f>'1461'!H78</f>
        <v>203080.55</v>
      </c>
      <c r="I80" s="113"/>
    </row>
    <row r="81" spans="1:9" x14ac:dyDescent="0.25">
      <c r="B81" s="69"/>
      <c r="G81" s="42" t="s">
        <v>12</v>
      </c>
      <c r="H81" s="114">
        <f>ROUND(C80/H80,6)</f>
        <v>0.10999100000000001</v>
      </c>
      <c r="I81" s="115"/>
    </row>
    <row r="82" spans="1:9" x14ac:dyDescent="0.25">
      <c r="A82" s="419" t="s">
        <v>454</v>
      </c>
      <c r="B82" s="416"/>
      <c r="C82" s="416"/>
      <c r="D82" s="416"/>
      <c r="E82" s="416"/>
      <c r="F82" s="416"/>
      <c r="G82" s="416"/>
      <c r="H82" s="416"/>
      <c r="I82" s="416"/>
    </row>
    <row r="83" spans="1:9" x14ac:dyDescent="0.25">
      <c r="A83" s="519" t="s">
        <v>412</v>
      </c>
      <c r="B83" s="520"/>
      <c r="C83" s="112">
        <f>SUM('1461:4131'!C81)</f>
        <v>22336.969999999998</v>
      </c>
      <c r="D83" s="532" t="s">
        <v>417</v>
      </c>
      <c r="E83" s="532"/>
      <c r="F83" s="532"/>
      <c r="G83" s="532"/>
      <c r="H83" s="289">
        <f>'1461'!H81</f>
        <v>186682.65</v>
      </c>
      <c r="I83" s="113"/>
    </row>
    <row r="84" spans="1:9" x14ac:dyDescent="0.25">
      <c r="B84" s="69"/>
      <c r="G84" s="42" t="s">
        <v>12</v>
      </c>
      <c r="H84" s="114">
        <f>ROUND(C83/H83,6)</f>
        <v>0.11965199999999999</v>
      </c>
      <c r="I84" s="115"/>
    </row>
    <row r="85" spans="1:9" x14ac:dyDescent="0.25">
      <c r="A85" s="242"/>
      <c r="G85" s="42"/>
      <c r="H85" s="114"/>
      <c r="I85" s="114"/>
    </row>
    <row r="86" spans="1:9" x14ac:dyDescent="0.25">
      <c r="A86" s="490" t="s">
        <v>455</v>
      </c>
      <c r="D86" s="69"/>
      <c r="E86" s="43" t="s">
        <v>294</v>
      </c>
      <c r="F86" s="291">
        <f>'1461'!F85</f>
        <v>44665536</v>
      </c>
      <c r="G86" s="37" t="s">
        <v>6</v>
      </c>
      <c r="H86" s="424">
        <f>H81</f>
        <v>0.10999100000000001</v>
      </c>
      <c r="I86" s="101">
        <f>SUM('1461:4131'!I85)</f>
        <v>4912583.6599999992</v>
      </c>
    </row>
    <row r="87" spans="1:9" x14ac:dyDescent="0.25">
      <c r="A87" s="401"/>
      <c r="D87" s="69"/>
      <c r="E87" s="43"/>
      <c r="F87" s="277"/>
      <c r="G87" s="37"/>
      <c r="H87" s="424"/>
      <c r="I87" s="101"/>
    </row>
    <row r="88" spans="1:9" x14ac:dyDescent="0.25">
      <c r="A88" s="534" t="s">
        <v>71</v>
      </c>
      <c r="B88" s="520"/>
      <c r="C88" s="520"/>
      <c r="D88" s="69"/>
      <c r="E88" s="43"/>
      <c r="F88" s="277"/>
      <c r="G88" s="37"/>
      <c r="H88" s="424"/>
      <c r="I88" s="101"/>
    </row>
    <row r="89" spans="1:9" ht="15.75" customHeight="1" x14ac:dyDescent="0.25">
      <c r="A89" s="534" t="s">
        <v>99</v>
      </c>
      <c r="B89" s="520"/>
      <c r="C89" s="520"/>
      <c r="D89" s="69"/>
      <c r="E89" s="43" t="s">
        <v>3</v>
      </c>
      <c r="F89" s="291">
        <f>'1461'!F88</f>
        <v>0</v>
      </c>
      <c r="G89" s="37" t="s">
        <v>6</v>
      </c>
      <c r="H89" s="424">
        <f>H72</f>
        <v>0.10986899999999999</v>
      </c>
      <c r="I89" s="101">
        <f>SUM('1461:4131'!I88)</f>
        <v>0</v>
      </c>
    </row>
    <row r="90" spans="1:9" ht="15.75" customHeight="1" x14ac:dyDescent="0.25">
      <c r="A90" s="433"/>
      <c r="B90" s="69"/>
      <c r="C90" s="69"/>
      <c r="D90" s="69"/>
      <c r="E90" s="43"/>
      <c r="F90" s="277"/>
      <c r="G90" s="37"/>
      <c r="H90" s="424"/>
      <c r="I90" s="101"/>
    </row>
    <row r="91" spans="1:9" x14ac:dyDescent="0.25">
      <c r="A91" s="490" t="s">
        <v>456</v>
      </c>
      <c r="D91" s="69"/>
      <c r="E91" s="43" t="s">
        <v>420</v>
      </c>
      <c r="F91" s="291">
        <f>'1461'!F90</f>
        <v>16167052</v>
      </c>
      <c r="G91" s="37" t="s">
        <v>6</v>
      </c>
      <c r="H91" s="424">
        <f>H84</f>
        <v>0.11965199999999999</v>
      </c>
      <c r="I91" s="101">
        <f>SUM('1461:4131'!I90)</f>
        <v>1934387.78</v>
      </c>
    </row>
    <row r="92" spans="1:9" x14ac:dyDescent="0.25">
      <c r="A92" s="401"/>
      <c r="D92" s="69"/>
      <c r="E92" s="43"/>
      <c r="F92" s="277"/>
      <c r="G92" s="37"/>
      <c r="H92" s="424"/>
      <c r="I92" s="101"/>
    </row>
    <row r="93" spans="1:9" x14ac:dyDescent="0.25">
      <c r="A93" s="490" t="s">
        <v>457</v>
      </c>
      <c r="D93" s="69"/>
      <c r="E93" s="43" t="s">
        <v>3</v>
      </c>
      <c r="F93" s="291">
        <f>'1461'!F92</f>
        <v>10040099</v>
      </c>
      <c r="G93" s="37" t="s">
        <v>6</v>
      </c>
      <c r="H93" s="424">
        <f>H78</f>
        <v>0.119508</v>
      </c>
      <c r="I93" s="101">
        <f>SUM('1461:4131'!I92)</f>
        <v>1199872.1499999997</v>
      </c>
    </row>
    <row r="94" spans="1:9" x14ac:dyDescent="0.25">
      <c r="A94" s="81"/>
      <c r="D94" s="69"/>
      <c r="E94" s="43"/>
      <c r="F94" s="116"/>
      <c r="G94" s="37"/>
      <c r="H94" s="420"/>
      <c r="I94" s="101"/>
    </row>
    <row r="95" spans="1:9" x14ac:dyDescent="0.25">
      <c r="A95" s="519" t="s">
        <v>421</v>
      </c>
      <c r="B95" s="520"/>
      <c r="C95" s="520"/>
      <c r="D95" s="69"/>
      <c r="E95" s="43" t="s">
        <v>4</v>
      </c>
      <c r="F95" s="291">
        <f>'1461'!F94</f>
        <v>238997674</v>
      </c>
      <c r="G95" s="37" t="s">
        <v>6</v>
      </c>
      <c r="H95" s="424">
        <f>H75</f>
        <v>0.113022</v>
      </c>
      <c r="I95" s="101">
        <f>SUM('1461:4131'!I94)</f>
        <v>27012473.099999994</v>
      </c>
    </row>
    <row r="96" spans="1:9" x14ac:dyDescent="0.25">
      <c r="A96" s="81"/>
      <c r="B96" s="69"/>
      <c r="C96" s="69"/>
      <c r="D96" s="69"/>
      <c r="E96" s="43"/>
      <c r="F96" s="277"/>
      <c r="G96" s="37"/>
      <c r="H96" s="424"/>
      <c r="I96" s="101"/>
    </row>
    <row r="97" spans="1:9" x14ac:dyDescent="0.25">
      <c r="A97" s="519" t="s">
        <v>422</v>
      </c>
      <c r="B97" s="520"/>
      <c r="C97" s="520"/>
      <c r="D97" s="69"/>
      <c r="E97" s="43" t="s">
        <v>4</v>
      </c>
      <c r="F97" s="291">
        <f>'1461'!F96</f>
        <v>-1600047</v>
      </c>
      <c r="G97" s="37" t="s">
        <v>6</v>
      </c>
      <c r="H97" s="424">
        <f>H75</f>
        <v>0.113022</v>
      </c>
      <c r="I97" s="101">
        <f>SUM('1461:4131'!I96)</f>
        <v>-180843.70999999996</v>
      </c>
    </row>
    <row r="98" spans="1:9" x14ac:dyDescent="0.25">
      <c r="A98" s="81"/>
      <c r="B98" s="69"/>
      <c r="C98" s="69"/>
      <c r="D98" s="69"/>
      <c r="E98" s="43"/>
      <c r="F98" s="277"/>
      <c r="G98" s="37"/>
      <c r="H98" s="424"/>
      <c r="I98" s="101"/>
    </row>
    <row r="99" spans="1:9" x14ac:dyDescent="0.25">
      <c r="A99" s="401" t="s">
        <v>423</v>
      </c>
    </row>
    <row r="100" spans="1:9" x14ac:dyDescent="0.25">
      <c r="B100" s="69"/>
      <c r="C100" s="529" t="s">
        <v>60</v>
      </c>
      <c r="D100" s="529"/>
      <c r="E100" s="69"/>
      <c r="F100" s="39" t="s">
        <v>28</v>
      </c>
      <c r="G100" s="69"/>
      <c r="H100" s="69"/>
      <c r="I100" s="69"/>
    </row>
    <row r="101" spans="1:9" x14ac:dyDescent="0.25">
      <c r="A101" s="3"/>
      <c r="B101" s="118"/>
      <c r="C101" s="530" t="s">
        <v>101</v>
      </c>
      <c r="D101" s="530"/>
      <c r="E101" s="119" t="s">
        <v>424</v>
      </c>
      <c r="F101" s="120" t="s">
        <v>106</v>
      </c>
      <c r="G101" s="121"/>
      <c r="H101" s="121"/>
      <c r="I101" s="121"/>
    </row>
    <row r="102" spans="1:9" x14ac:dyDescent="0.25">
      <c r="A102" s="26"/>
      <c r="B102" s="52" t="s">
        <v>105</v>
      </c>
      <c r="C102" s="518">
        <f>SUM('1461:4131'!C101)</f>
        <v>8011.7186000000011</v>
      </c>
      <c r="D102" s="518">
        <f>SUM('1461:4131'!D101)</f>
        <v>0</v>
      </c>
      <c r="E102" s="46">
        <f>'1461'!E101</f>
        <v>1.0442</v>
      </c>
      <c r="F102" s="292">
        <f>'1461'!F101</f>
        <v>947.59</v>
      </c>
      <c r="G102" s="39" t="s">
        <v>12</v>
      </c>
      <c r="H102" s="101">
        <f>SUM('1461:4131'!H101)</f>
        <v>7927383.0599999987</v>
      </c>
      <c r="I102" s="104"/>
    </row>
    <row r="103" spans="1:9" x14ac:dyDescent="0.25">
      <c r="A103" s="49"/>
      <c r="B103" s="49" t="s">
        <v>104</v>
      </c>
      <c r="C103" s="518">
        <f>SUM('1461:4131'!C102)</f>
        <v>10153.130099999998</v>
      </c>
      <c r="D103" s="518">
        <f>SUM('1461:4131'!D102)</f>
        <v>0</v>
      </c>
      <c r="E103" s="46">
        <f>'1461'!E102</f>
        <v>1.0442</v>
      </c>
      <c r="F103" s="292">
        <f>'1461'!F102</f>
        <v>904.74</v>
      </c>
      <c r="G103" s="39" t="s">
        <v>12</v>
      </c>
      <c r="H103" s="101">
        <f>SUM('1461:4131'!H102)</f>
        <v>9591961.6000000015</v>
      </c>
    </row>
    <row r="104" spans="1:9" x14ac:dyDescent="0.25">
      <c r="A104" s="52"/>
      <c r="B104" s="52" t="s">
        <v>103</v>
      </c>
      <c r="C104" s="518">
        <f>SUM('1461:4131'!C103)</f>
        <v>7552.1947000000018</v>
      </c>
      <c r="D104" s="518">
        <f>SUM('1461:4131'!D103)</f>
        <v>0</v>
      </c>
      <c r="E104" s="46">
        <f>'1461'!E103</f>
        <v>1.0442</v>
      </c>
      <c r="F104" s="292">
        <f>'1461'!F103</f>
        <v>906.93</v>
      </c>
      <c r="G104" s="39" t="s">
        <v>12</v>
      </c>
      <c r="H104" s="94">
        <f>SUM('1461:4131'!H103)</f>
        <v>7152051.5399999991</v>
      </c>
    </row>
    <row r="105" spans="1:9" ht="16.5" thickBot="1" x14ac:dyDescent="0.3">
      <c r="A105" s="55"/>
      <c r="B105" s="122" t="s">
        <v>102</v>
      </c>
      <c r="C105" s="531">
        <f>SUM(C102:C104)</f>
        <v>25717.043400000002</v>
      </c>
      <c r="D105" s="531"/>
      <c r="E105" s="123"/>
      <c r="F105" s="123"/>
      <c r="G105" s="123"/>
      <c r="H105" s="124" t="s">
        <v>100</v>
      </c>
      <c r="I105" s="101">
        <f>SUM('1461:4131'!I104)</f>
        <v>24671396.200000003</v>
      </c>
    </row>
    <row r="106" spans="1:9" ht="16.5" thickTop="1" x14ac:dyDescent="0.25">
      <c r="A106" s="556" t="s">
        <v>65</v>
      </c>
      <c r="B106" s="556"/>
      <c r="C106" s="556"/>
      <c r="D106" s="556"/>
      <c r="E106" s="556"/>
      <c r="F106" s="556"/>
      <c r="G106" s="556"/>
      <c r="H106" s="556"/>
      <c r="I106" s="556"/>
    </row>
    <row r="107" spans="1:9" x14ac:dyDescent="0.25">
      <c r="A107" s="434"/>
      <c r="B107" s="434"/>
      <c r="C107" s="434"/>
      <c r="D107" s="434"/>
      <c r="E107" s="434"/>
      <c r="F107" s="434"/>
      <c r="G107" s="434"/>
      <c r="H107" s="434"/>
      <c r="I107" s="434"/>
    </row>
    <row r="108" spans="1:9" x14ac:dyDescent="0.25">
      <c r="A108" s="81" t="s">
        <v>428</v>
      </c>
      <c r="C108" s="43"/>
      <c r="D108" s="69"/>
      <c r="E108" s="43" t="s">
        <v>32</v>
      </c>
      <c r="F108" s="557"/>
      <c r="G108" s="557"/>
      <c r="H108" s="557"/>
      <c r="I108" s="557"/>
    </row>
    <row r="109" spans="1:9" x14ac:dyDescent="0.25">
      <c r="B109" s="69"/>
      <c r="C109" s="88" t="s">
        <v>359</v>
      </c>
      <c r="D109" s="334" t="s">
        <v>360</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32" t="s">
        <v>379</v>
      </c>
      <c r="B111" s="553"/>
      <c r="C111" s="143">
        <f>SUM('1461:4131'!C110)</f>
        <v>3524</v>
      </c>
      <c r="D111" s="143">
        <f>SUM('1461:4131'!D110)</f>
        <v>3413</v>
      </c>
      <c r="E111" s="116">
        <f>SUM('1461:4131'!E110)</f>
        <v>3468.5</v>
      </c>
      <c r="F111" s="126" t="s">
        <v>30</v>
      </c>
      <c r="G111" s="293">
        <f>'1461'!G110</f>
        <v>565</v>
      </c>
      <c r="I111" s="101">
        <f>SUM('1461:4131'!I110)</f>
        <v>1959702.5</v>
      </c>
    </row>
    <row r="112" spans="1:9" x14ac:dyDescent="0.25">
      <c r="A112" s="532" t="s">
        <v>380</v>
      </c>
      <c r="B112" s="553"/>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19" t="s">
        <v>429</v>
      </c>
      <c r="B115" s="520"/>
      <c r="C115" s="520"/>
      <c r="D115" s="69"/>
      <c r="E115" s="39" t="s">
        <v>295</v>
      </c>
      <c r="F115" s="529"/>
      <c r="G115" s="529"/>
      <c r="H115" s="529"/>
      <c r="I115" s="529"/>
    </row>
    <row r="116" spans="1:10" hidden="1" x14ac:dyDescent="0.25">
      <c r="B116" s="69"/>
      <c r="C116" s="530" t="s">
        <v>66</v>
      </c>
      <c r="D116" s="530"/>
      <c r="E116" s="530"/>
      <c r="F116" s="37"/>
      <c r="G116" s="37"/>
      <c r="H116" s="39" t="s">
        <v>108</v>
      </c>
      <c r="I116" s="37"/>
    </row>
    <row r="117" spans="1:10" hidden="1" x14ac:dyDescent="0.25">
      <c r="B117" s="69"/>
      <c r="C117" s="88" t="str">
        <f>C109</f>
        <v>Oct 2022</v>
      </c>
      <c r="D117" s="88" t="str">
        <f>D109</f>
        <v>Feb 2023</v>
      </c>
      <c r="E117" s="137" t="s">
        <v>8</v>
      </c>
      <c r="F117" s="533" t="s">
        <v>109</v>
      </c>
      <c r="G117" s="529"/>
      <c r="H117" s="37" t="s">
        <v>29</v>
      </c>
      <c r="I117" s="37"/>
    </row>
    <row r="118" spans="1:10" ht="15.75" hidden="1" customHeight="1" x14ac:dyDescent="0.25">
      <c r="A118" s="530" t="s">
        <v>69</v>
      </c>
      <c r="B118" s="530"/>
      <c r="C118" s="90" t="s">
        <v>2</v>
      </c>
      <c r="D118" s="90" t="s">
        <v>2</v>
      </c>
      <c r="E118" s="59" t="s">
        <v>2</v>
      </c>
      <c r="F118" s="530" t="s">
        <v>28</v>
      </c>
      <c r="G118" s="530"/>
      <c r="H118" s="59" t="s">
        <v>28</v>
      </c>
      <c r="I118" s="59" t="s">
        <v>8</v>
      </c>
    </row>
    <row r="119" spans="1:10" ht="15.75" hidden="1" customHeight="1" x14ac:dyDescent="0.25">
      <c r="A119" s="554" t="s">
        <v>56</v>
      </c>
      <c r="B119" s="554"/>
      <c r="C119" s="141">
        <v>0</v>
      </c>
      <c r="D119" s="141">
        <v>0</v>
      </c>
      <c r="E119" s="187">
        <f>IF(D31=0,C119*2,C119+D119)</f>
        <v>0</v>
      </c>
      <c r="F119" s="555">
        <v>0</v>
      </c>
      <c r="G119" s="555"/>
      <c r="H119" s="224">
        <f>IF(C119=0,0,125)</f>
        <v>0</v>
      </c>
      <c r="I119" s="101">
        <f>ROUND((H119+F119)*E119,2)</f>
        <v>0</v>
      </c>
    </row>
    <row r="120" spans="1:10" ht="15.75" hidden="1" customHeight="1" x14ac:dyDescent="0.25">
      <c r="A120" s="524" t="s">
        <v>57</v>
      </c>
      <c r="B120" s="524"/>
      <c r="C120" s="143">
        <v>0</v>
      </c>
      <c r="D120" s="143">
        <v>0</v>
      </c>
      <c r="E120" s="116">
        <f>IF(D32=0,C120*2,C120+D120)</f>
        <v>0</v>
      </c>
      <c r="F120" s="525">
        <f>ROUND(F119/2,2)</f>
        <v>0</v>
      </c>
      <c r="G120" s="525"/>
      <c r="H120" s="224">
        <f>IF(C120=0,0,62.5)</f>
        <v>0</v>
      </c>
      <c r="I120" s="101">
        <f>ROUND((H120+F120)*E120,2)</f>
        <v>0</v>
      </c>
    </row>
    <row r="121" spans="1:10" ht="15.75" hidden="1" customHeight="1" x14ac:dyDescent="0.25">
      <c r="A121" s="524" t="s">
        <v>58</v>
      </c>
      <c r="B121" s="524"/>
      <c r="C121" s="143">
        <v>0</v>
      </c>
      <c r="D121" s="143">
        <v>0</v>
      </c>
      <c r="E121" s="116">
        <f>IF(D33=0,C121*2,C121+D121)</f>
        <v>0</v>
      </c>
      <c r="F121" s="526"/>
      <c r="G121" s="526"/>
      <c r="H121" s="225">
        <f>IF(H119&gt;0,436,0)</f>
        <v>0</v>
      </c>
      <c r="I121" s="101">
        <f>ROUND(H121*E121,2)</f>
        <v>0</v>
      </c>
    </row>
    <row r="122" spans="1:10" ht="16.5" hidden="1" customHeight="1" x14ac:dyDescent="0.25">
      <c r="A122" s="529" t="s">
        <v>8</v>
      </c>
      <c r="B122" s="529"/>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19" t="s">
        <v>431</v>
      </c>
      <c r="B124" s="520"/>
      <c r="C124" s="520"/>
      <c r="D124" s="69"/>
      <c r="E124" s="68" t="s">
        <v>34</v>
      </c>
      <c r="F124" s="522"/>
      <c r="G124" s="522"/>
      <c r="H124" s="522"/>
      <c r="I124" s="154">
        <f>SUM('1461:4131'!I123)</f>
        <v>0</v>
      </c>
    </row>
    <row r="125" spans="1:10" x14ac:dyDescent="0.25">
      <c r="B125" s="69"/>
      <c r="C125" s="69"/>
      <c r="D125" s="69"/>
      <c r="E125" s="68"/>
      <c r="F125" s="68"/>
      <c r="G125" s="68"/>
      <c r="H125" s="68"/>
      <c r="I125" s="116"/>
    </row>
    <row r="126" spans="1:10" x14ac:dyDescent="0.25">
      <c r="A126" s="523" t="s">
        <v>8</v>
      </c>
      <c r="B126" s="523"/>
      <c r="C126" s="523"/>
      <c r="D126" s="523"/>
      <c r="E126" s="523"/>
      <c r="F126" s="523"/>
      <c r="G126" s="523"/>
      <c r="H126" s="523"/>
      <c r="I126" s="94">
        <f>SUM('1461:4131'!I125)</f>
        <v>204725624.65999997</v>
      </c>
      <c r="J126" s="251"/>
    </row>
    <row r="127" spans="1:10" x14ac:dyDescent="0.25">
      <c r="A127" s="26"/>
      <c r="B127" s="26"/>
      <c r="C127" s="26"/>
      <c r="D127" s="26"/>
      <c r="E127" s="26"/>
      <c r="F127" s="26"/>
      <c r="G127" s="26"/>
      <c r="H127" s="26"/>
      <c r="I127" s="101"/>
      <c r="J127" s="251"/>
    </row>
    <row r="128" spans="1:10" x14ac:dyDescent="0.25">
      <c r="A128" s="81" t="s">
        <v>464</v>
      </c>
      <c r="B128" s="26"/>
      <c r="C128" s="26"/>
      <c r="D128" s="26"/>
      <c r="E128" s="26"/>
      <c r="F128" s="26"/>
      <c r="G128" s="26"/>
      <c r="H128" s="26"/>
      <c r="I128" s="101">
        <f>SUM('1461:4131'!I127)</f>
        <v>196540981.95999998</v>
      </c>
      <c r="J128" s="251"/>
    </row>
    <row r="129" spans="1:13" x14ac:dyDescent="0.25">
      <c r="A129" s="26"/>
      <c r="B129" s="26"/>
      <c r="C129" s="26"/>
      <c r="D129" s="26"/>
      <c r="E129" s="26"/>
      <c r="F129" s="26"/>
      <c r="G129" s="26"/>
      <c r="H129" s="26"/>
      <c r="I129" s="101"/>
      <c r="J129" s="251"/>
    </row>
    <row r="130" spans="1:13" x14ac:dyDescent="0.25">
      <c r="A130" s="519" t="s">
        <v>465</v>
      </c>
      <c r="B130" s="520"/>
      <c r="C130" s="520"/>
      <c r="D130" s="520"/>
      <c r="E130" s="520"/>
      <c r="F130" s="520"/>
      <c r="G130" s="520"/>
      <c r="H130" s="81" t="s">
        <v>326</v>
      </c>
      <c r="I130" s="134"/>
      <c r="J130" s="251"/>
    </row>
    <row r="131" spans="1:13" x14ac:dyDescent="0.25">
      <c r="A131" s="520" t="s">
        <v>70</v>
      </c>
      <c r="B131" s="520"/>
      <c r="C131" s="520"/>
      <c r="D131" s="520"/>
      <c r="E131" s="520"/>
      <c r="F131" s="520"/>
      <c r="G131" s="520"/>
      <c r="H131" s="70"/>
      <c r="I131" s="116">
        <f>SUM('1461:4131'!I130)</f>
        <v>7643924.8299999991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196540981.95999998</v>
      </c>
      <c r="I133" s="94">
        <f>SUM('1461:4131'!I132)</f>
        <v>-3159955.83</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201565668.82999998</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-34217090.519999988</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167348578.31000003</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10</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16734857.860000003</v>
      </c>
      <c r="K143" s="420"/>
      <c r="L143" s="420"/>
      <c r="M143" s="420"/>
    </row>
    <row r="144" spans="1:13" s="135" customFormat="1" ht="16.5" thickTop="1" x14ac:dyDescent="0.25">
      <c r="A144" s="427"/>
      <c r="B144" s="427"/>
      <c r="C144" s="428"/>
      <c r="D144" s="429"/>
      <c r="E144" s="430"/>
      <c r="F144" s="223"/>
      <c r="G144" s="431"/>
      <c r="H144" s="432"/>
      <c r="I144" s="426"/>
    </row>
    <row r="145" spans="1:8" x14ac:dyDescent="0.25">
      <c r="A145" s="552" t="s">
        <v>7</v>
      </c>
      <c r="B145" s="552"/>
      <c r="C145" s="552"/>
      <c r="D145" s="552"/>
      <c r="E145" s="552"/>
      <c r="F145" s="552"/>
      <c r="G145" s="552"/>
      <c r="H145" s="552"/>
    </row>
    <row r="146" spans="1:8" ht="26.25" customHeight="1" x14ac:dyDescent="0.25">
      <c r="A146" s="521" t="s">
        <v>466</v>
      </c>
      <c r="B146" s="521"/>
      <c r="C146" s="521"/>
      <c r="D146" s="521"/>
      <c r="E146" s="521"/>
      <c r="F146" s="521"/>
      <c r="G146" s="521"/>
      <c r="H146" s="521"/>
    </row>
    <row r="147" spans="1:8" x14ac:dyDescent="0.25">
      <c r="A147" s="552" t="s">
        <v>371</v>
      </c>
      <c r="B147" s="552"/>
      <c r="C147" s="552"/>
      <c r="D147" s="552"/>
      <c r="E147" s="552"/>
      <c r="F147" s="552"/>
      <c r="G147" s="552"/>
      <c r="H147" s="552"/>
    </row>
    <row r="148" spans="1:8" x14ac:dyDescent="0.25">
      <c r="A148" s="552" t="s">
        <v>372</v>
      </c>
      <c r="B148" s="552"/>
      <c r="C148" s="552"/>
      <c r="D148" s="552"/>
      <c r="E148" s="552"/>
      <c r="F148" s="552"/>
      <c r="G148" s="552"/>
      <c r="H148" s="552"/>
    </row>
    <row r="149" spans="1:8" x14ac:dyDescent="0.25">
      <c r="A149" s="552" t="s">
        <v>373</v>
      </c>
      <c r="B149" s="552"/>
      <c r="C149" s="552"/>
      <c r="D149" s="552"/>
      <c r="E149" s="552"/>
      <c r="F149" s="552"/>
      <c r="G149" s="552"/>
      <c r="H149" s="552"/>
    </row>
    <row r="150" spans="1:8" x14ac:dyDescent="0.25">
      <c r="A150" s="552" t="s">
        <v>374</v>
      </c>
      <c r="B150" s="552"/>
      <c r="C150" s="552"/>
      <c r="D150" s="552"/>
      <c r="E150" s="552"/>
      <c r="F150" s="552"/>
      <c r="G150" s="552"/>
      <c r="H150" s="552"/>
    </row>
    <row r="151" spans="1:8" x14ac:dyDescent="0.25">
      <c r="A151" s="552" t="s">
        <v>375</v>
      </c>
      <c r="B151" s="552"/>
      <c r="C151" s="552"/>
      <c r="D151" s="552"/>
      <c r="E151" s="552"/>
      <c r="F151" s="552"/>
      <c r="G151" s="552"/>
      <c r="H151" s="552"/>
    </row>
    <row r="152" spans="1:8" ht="26.25" customHeight="1" x14ac:dyDescent="0.25">
      <c r="A152" s="514" t="s">
        <v>467</v>
      </c>
      <c r="B152" s="514"/>
      <c r="C152" s="514"/>
      <c r="D152" s="514"/>
      <c r="E152" s="514"/>
      <c r="F152" s="514"/>
      <c r="G152" s="514"/>
      <c r="H152" s="514"/>
    </row>
    <row r="153" spans="1:8" ht="26.25" customHeight="1" x14ac:dyDescent="0.25">
      <c r="A153" s="521" t="s">
        <v>468</v>
      </c>
      <c r="B153" s="521"/>
      <c r="C153" s="521"/>
      <c r="D153" s="521"/>
      <c r="E153" s="521"/>
      <c r="F153" s="521"/>
      <c r="G153" s="521"/>
      <c r="H153" s="521"/>
    </row>
    <row r="154" spans="1:8" ht="26.25" customHeight="1" x14ac:dyDescent="0.25">
      <c r="A154" s="521" t="s">
        <v>381</v>
      </c>
      <c r="B154" s="521"/>
      <c r="C154" s="521"/>
      <c r="D154" s="521"/>
      <c r="E154" s="521"/>
      <c r="F154" s="521"/>
      <c r="G154" s="521"/>
      <c r="H154" s="521"/>
    </row>
    <row r="155" spans="1:8" ht="16.5" customHeight="1" x14ac:dyDescent="0.25">
      <c r="A155" s="494" t="s">
        <v>289</v>
      </c>
      <c r="B155" s="494"/>
      <c r="C155" s="494"/>
      <c r="D155" s="494"/>
      <c r="E155" s="494"/>
      <c r="F155" s="494"/>
      <c r="G155" s="494"/>
      <c r="H155" s="494"/>
    </row>
    <row r="156" spans="1:8" ht="26.25" customHeight="1" x14ac:dyDescent="0.25">
      <c r="A156" s="514" t="s">
        <v>469</v>
      </c>
      <c r="B156" s="514"/>
      <c r="C156" s="514"/>
      <c r="D156" s="514"/>
      <c r="E156" s="514"/>
      <c r="F156" s="514"/>
      <c r="G156" s="514"/>
      <c r="H156" s="514"/>
    </row>
    <row r="157" spans="1:8" ht="26.25" customHeight="1" x14ac:dyDescent="0.25">
      <c r="A157" s="514" t="s">
        <v>470</v>
      </c>
      <c r="B157" s="514"/>
      <c r="C157" s="514"/>
      <c r="D157" s="514"/>
      <c r="E157" s="514"/>
      <c r="F157" s="514"/>
      <c r="G157" s="514"/>
      <c r="H157" s="514"/>
    </row>
    <row r="158" spans="1:8" x14ac:dyDescent="0.25">
      <c r="A158" s="513" t="s">
        <v>67</v>
      </c>
      <c r="B158" s="514"/>
      <c r="C158" s="514"/>
      <c r="D158" s="514"/>
      <c r="E158" s="514"/>
      <c r="F158" s="514"/>
      <c r="G158" s="514"/>
      <c r="H158" s="514"/>
    </row>
    <row r="159" spans="1:8" ht="54.75" customHeight="1" x14ac:dyDescent="0.25">
      <c r="A159" s="515" t="s">
        <v>471</v>
      </c>
      <c r="B159" s="515"/>
      <c r="C159" s="515"/>
      <c r="D159" s="515"/>
      <c r="E159" s="515"/>
      <c r="F159" s="515"/>
      <c r="G159" s="515"/>
      <c r="H159" s="515"/>
    </row>
    <row r="160" spans="1:8" ht="42.75" customHeight="1" x14ac:dyDescent="0.25">
      <c r="A160" s="515" t="s">
        <v>472</v>
      </c>
      <c r="B160" s="515"/>
      <c r="C160" s="515"/>
      <c r="D160" s="515"/>
      <c r="E160" s="515"/>
      <c r="F160" s="515"/>
      <c r="G160" s="515"/>
      <c r="H160" s="515"/>
    </row>
    <row r="161" spans="1:8" x14ac:dyDescent="0.25">
      <c r="A161" s="495"/>
      <c r="B161" s="495"/>
      <c r="C161" s="495"/>
      <c r="D161" s="495"/>
      <c r="E161" s="495"/>
      <c r="F161" s="495"/>
      <c r="G161" s="495"/>
      <c r="H161" s="495"/>
    </row>
    <row r="162" spans="1:8" x14ac:dyDescent="0.25">
      <c r="A162" s="516" t="s">
        <v>68</v>
      </c>
      <c r="B162" s="516"/>
      <c r="C162" s="516"/>
      <c r="D162" s="516"/>
      <c r="E162" s="516"/>
      <c r="F162" s="516"/>
      <c r="G162" s="516"/>
      <c r="H162" s="516"/>
    </row>
    <row r="163" spans="1:8" ht="26.25" customHeight="1" x14ac:dyDescent="0.25">
      <c r="A163" s="515" t="s">
        <v>473</v>
      </c>
      <c r="B163" s="515"/>
      <c r="C163" s="515"/>
      <c r="D163" s="515"/>
      <c r="E163" s="515"/>
      <c r="F163" s="515"/>
      <c r="G163" s="515"/>
      <c r="H163" s="515"/>
    </row>
    <row r="164" spans="1:8" x14ac:dyDescent="0.25">
      <c r="A164" s="517" t="s">
        <v>11</v>
      </c>
      <c r="B164" s="517"/>
      <c r="C164" s="517"/>
      <c r="D164" s="517"/>
      <c r="E164" s="517"/>
      <c r="F164" s="517"/>
      <c r="G164" s="517"/>
      <c r="H164" s="517"/>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318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207.31</v>
      </c>
      <c r="D18" s="143">
        <v>228.38</v>
      </c>
      <c r="E18" s="116">
        <f t="shared" si="1"/>
        <v>435.69</v>
      </c>
      <c r="F18" s="558">
        <f>'1461'!F18:G18</f>
        <v>0.98799999999999999</v>
      </c>
      <c r="G18" s="558"/>
      <c r="H18" s="80">
        <f t="shared" si="2"/>
        <v>430.46170000000001</v>
      </c>
      <c r="I18" s="101">
        <f t="shared" si="3"/>
        <v>2310247.5099999998</v>
      </c>
      <c r="N18" s="571" t="s">
        <v>24</v>
      </c>
      <c r="O18" s="571"/>
      <c r="P18" s="572">
        <f t="shared" si="0"/>
        <v>0</v>
      </c>
      <c r="Q18" s="572"/>
      <c r="R18" s="573">
        <v>1</v>
      </c>
      <c r="S18" s="573"/>
      <c r="T18" s="95">
        <f t="shared" si="4"/>
        <v>0</v>
      </c>
      <c r="U18" s="475">
        <f t="shared" si="5"/>
        <v>0</v>
      </c>
    </row>
    <row r="19" spans="1:21" x14ac:dyDescent="0.25">
      <c r="A19" s="520" t="s">
        <v>25</v>
      </c>
      <c r="B19" s="520"/>
      <c r="C19" s="143">
        <v>51</v>
      </c>
      <c r="D19" s="143">
        <v>60.07</v>
      </c>
      <c r="E19" s="116">
        <f t="shared" si="1"/>
        <v>111.07</v>
      </c>
      <c r="F19" s="558">
        <f>'1461'!F19:G19</f>
        <v>0.98799999999999999</v>
      </c>
      <c r="G19" s="558"/>
      <c r="H19" s="80">
        <f t="shared" si="2"/>
        <v>109.7372</v>
      </c>
      <c r="I19" s="101">
        <f t="shared" si="3"/>
        <v>588949.24</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16</v>
      </c>
      <c r="D28" s="143">
        <v>20.21</v>
      </c>
      <c r="E28" s="116">
        <f t="shared" si="1"/>
        <v>36.21</v>
      </c>
      <c r="F28" s="558">
        <f>'1461'!F28:G28</f>
        <v>1.208</v>
      </c>
      <c r="G28" s="558"/>
      <c r="H28" s="80">
        <f t="shared" si="2"/>
        <v>43.741700000000002</v>
      </c>
      <c r="I28" s="101">
        <f t="shared" si="3"/>
        <v>234757.6</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274.31</v>
      </c>
      <c r="D30" s="94">
        <f>SUM(D14:D29)</f>
        <v>308.65999999999997</v>
      </c>
      <c r="E30" s="94">
        <f>SUM(E14:E29)</f>
        <v>582.97</v>
      </c>
      <c r="F30" s="539"/>
      <c r="G30" s="539"/>
      <c r="H30" s="99">
        <f>SUM(H14:H29)</f>
        <v>583.94060000000002</v>
      </c>
      <c r="I30" s="94">
        <f>SUM(I14:I29)</f>
        <v>3133954.35</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583.94060000000002</v>
      </c>
      <c r="F46" s="34"/>
      <c r="G46" s="106"/>
      <c r="H46" s="107" t="s">
        <v>98</v>
      </c>
      <c r="I46" s="94">
        <f>SUM(I44,I30)</f>
        <v>3133954.35</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3133954.35</v>
      </c>
      <c r="G51" s="109" t="s">
        <v>6</v>
      </c>
      <c r="H51" s="403">
        <v>4.5199999999999997E-2</v>
      </c>
      <c r="I51" s="101">
        <f>ROUND(F51*H51,2)</f>
        <v>141654.74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3133954.35</v>
      </c>
      <c r="G52" s="109" t="s">
        <v>6</v>
      </c>
      <c r="H52" s="403">
        <v>1.41E-2</v>
      </c>
      <c r="I52" s="101">
        <f>ROUND(F52*H52,2)</f>
        <v>44188.76</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185843.5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51</v>
      </c>
      <c r="D63" s="143">
        <v>58.77</v>
      </c>
      <c r="E63" s="116">
        <f t="shared" si="10"/>
        <v>109.77000000000001</v>
      </c>
      <c r="F63" s="446" t="s">
        <v>14</v>
      </c>
      <c r="G63" s="445">
        <v>251</v>
      </c>
      <c r="H63" s="459">
        <f>'1461'!H63</f>
        <v>835</v>
      </c>
      <c r="I63" s="101">
        <f t="shared" si="11"/>
        <v>91657.95</v>
      </c>
      <c r="N63" s="622"/>
      <c r="O63" s="622"/>
      <c r="P63" s="625"/>
      <c r="Q63" s="625"/>
      <c r="R63" s="40" t="s">
        <v>14</v>
      </c>
      <c r="S63" s="451">
        <v>251</v>
      </c>
      <c r="T63" s="462">
        <f t="shared" si="12"/>
        <v>835</v>
      </c>
      <c r="U63" s="476">
        <f t="shared" si="13"/>
        <v>0</v>
      </c>
      <c r="V63" s="426"/>
    </row>
    <row r="64" spans="1:22" x14ac:dyDescent="0.25">
      <c r="A64" s="536"/>
      <c r="B64" s="536"/>
      <c r="C64" s="143">
        <v>0</v>
      </c>
      <c r="D64" s="143">
        <v>1.3</v>
      </c>
      <c r="E64" s="116">
        <f t="shared" si="10"/>
        <v>1.3</v>
      </c>
      <c r="F64" s="446" t="s">
        <v>14</v>
      </c>
      <c r="G64" s="445">
        <v>252</v>
      </c>
      <c r="H64" s="459">
        <f>'1461'!H64</f>
        <v>3168</v>
      </c>
      <c r="I64" s="101">
        <f t="shared" si="11"/>
        <v>4118.3999999999996</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51</v>
      </c>
      <c r="D66" s="97">
        <f>SUM(D57:D65)</f>
        <v>60.07</v>
      </c>
      <c r="E66" s="97">
        <f>SUM(E57:E65)</f>
        <v>111.07000000000001</v>
      </c>
      <c r="F66" s="523" t="s">
        <v>448</v>
      </c>
      <c r="G66" s="523"/>
      <c r="H66" s="523"/>
      <c r="I66" s="97">
        <f>SUM(I57:I65)</f>
        <v>95776.349999999991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582.97</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2.8670000000000002E-3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583.94060000000002</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2.5660000000000001E-3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582.97</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3.1189999999999998E-3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582.97</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2.8709999999999999E-3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582.97</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3.1229999999999999E-3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2.8709999999999999E-3</v>
      </c>
      <c r="I85" s="101">
        <f>ROUND(F85*H85,2)</f>
        <v>128234.75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2.8670000000000002E-3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3.1229999999999999E-3</v>
      </c>
      <c r="I90" s="101">
        <f>ROUND(F90*H90,2)</f>
        <v>50489.7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3.1189999999999998E-3</v>
      </c>
      <c r="I92" s="101">
        <f t="shared" ref="I92:I96" si="14">ROUND(F92*H92,2)</f>
        <v>31315.07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2.5660000000000001E-3</v>
      </c>
      <c r="I94" s="101">
        <f t="shared" si="14"/>
        <v>613268.03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2.5660000000000001E-3</v>
      </c>
      <c r="I96" s="101">
        <f t="shared" si="14"/>
        <v>-4105.72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583.94060000000002</v>
      </c>
      <c r="D103" s="518"/>
      <c r="E103" s="46">
        <f>H8</f>
        <v>1.0442</v>
      </c>
      <c r="F103" s="304">
        <f>'1461'!F103</f>
        <v>906.93</v>
      </c>
      <c r="G103" s="39" t="s">
        <v>12</v>
      </c>
      <c r="H103" s="94">
        <f>ROUND(C103*E103*F103,2)</f>
        <v>553001.27</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583.94060000000002</v>
      </c>
      <c r="D104" s="531"/>
      <c r="E104" s="123"/>
      <c r="F104" s="123"/>
      <c r="G104" s="123"/>
      <c r="H104" s="124" t="s">
        <v>100</v>
      </c>
      <c r="I104" s="101">
        <f>IF(A1=75,0,H103+H102+H101)</f>
        <v>553001.27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83</v>
      </c>
      <c r="D110" s="143">
        <v>76</v>
      </c>
      <c r="E110" s="116">
        <f>(C110+D110)/2</f>
        <v>79.5</v>
      </c>
      <c r="F110" s="126" t="s">
        <v>30</v>
      </c>
      <c r="G110" s="305">
        <f>'1461'!G110</f>
        <v>565</v>
      </c>
      <c r="I110" s="101">
        <f>ROUND(G110*E110,2)</f>
        <v>44917.5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4646851.3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4461007.8</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4461007.8</v>
      </c>
      <c r="I132" s="94">
        <f>ROUND(IF(E30=0,0,IF(E30&gt;250,-(((250/E30)*H132)*IF(G132="H",0.02,0.05)),IF(G132="H",-0.02*H132,-0.05*H132))),2)</f>
        <v>-95652.6</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4551198.7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-780704.28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3770494.42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377049.44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127397.79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129</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112.01</v>
      </c>
      <c r="D14" s="141">
        <v>107.48</v>
      </c>
      <c r="E14" s="187">
        <f>IF(D$30=0,C14*2,C14+D14)</f>
        <v>219.49</v>
      </c>
      <c r="F14" s="561">
        <f>'1461'!F14:G14</f>
        <v>1.1220000000000001</v>
      </c>
      <c r="G14" s="561"/>
      <c r="H14" s="145">
        <f>ROUND(E14*F14,4)</f>
        <v>246.26779999999999</v>
      </c>
      <c r="I14" s="111">
        <f>ROUND(ROUND(ROUND(H14*$C$8,4)*($H$8),2)*(MAX($H$9,1)),2)</f>
        <v>1321696.1499999999</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9.5</v>
      </c>
      <c r="D15" s="143">
        <v>10.54</v>
      </c>
      <c r="E15" s="116">
        <f t="shared" ref="E15:E29" si="1">IF(D$30=0,C15*2,C15+D15)</f>
        <v>20.04</v>
      </c>
      <c r="F15" s="558">
        <f>'1461'!F15:G15</f>
        <v>1.1220000000000001</v>
      </c>
      <c r="G15" s="558"/>
      <c r="H15" s="80">
        <f t="shared" ref="H15:H29" si="2">ROUND(E15*F15,4)</f>
        <v>22.4849</v>
      </c>
      <c r="I15" s="101">
        <f t="shared" ref="I15:I29" si="3">ROUND(ROUND(ROUND(H15*$C$8,4)*($H$8),2)*(MAX($H$9,1)),2)</f>
        <v>120674.35</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171.44</v>
      </c>
      <c r="D16" s="143">
        <v>175.71</v>
      </c>
      <c r="E16" s="116">
        <f t="shared" si="1"/>
        <v>347.15</v>
      </c>
      <c r="F16" s="558">
        <f>'1461'!F16:G16</f>
        <v>1</v>
      </c>
      <c r="G16" s="558"/>
      <c r="H16" s="80">
        <f t="shared" si="2"/>
        <v>347.15</v>
      </c>
      <c r="I16" s="101">
        <f t="shared" si="3"/>
        <v>1863121.44</v>
      </c>
      <c r="N16" s="571" t="s">
        <v>22</v>
      </c>
      <c r="O16" s="571"/>
      <c r="P16" s="572">
        <f t="shared" si="0"/>
        <v>0</v>
      </c>
      <c r="Q16" s="572"/>
      <c r="R16" s="573">
        <v>1</v>
      </c>
      <c r="S16" s="573"/>
      <c r="T16" s="95">
        <f t="shared" si="4"/>
        <v>0</v>
      </c>
      <c r="U16" s="475">
        <f t="shared" si="5"/>
        <v>0</v>
      </c>
    </row>
    <row r="17" spans="1:21" x14ac:dyDescent="0.25">
      <c r="A17" s="520" t="s">
        <v>23</v>
      </c>
      <c r="B17" s="520"/>
      <c r="C17" s="143">
        <v>23</v>
      </c>
      <c r="D17" s="143">
        <v>19</v>
      </c>
      <c r="E17" s="116">
        <f t="shared" si="1"/>
        <v>42</v>
      </c>
      <c r="F17" s="558">
        <f>'1461'!F17:G17</f>
        <v>1</v>
      </c>
      <c r="G17" s="558"/>
      <c r="H17" s="80">
        <f t="shared" si="2"/>
        <v>42</v>
      </c>
      <c r="I17" s="101">
        <f t="shared" si="3"/>
        <v>225410.05</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22.25</v>
      </c>
      <c r="D26" s="143">
        <v>23.49</v>
      </c>
      <c r="E26" s="116">
        <f t="shared" si="1"/>
        <v>45.739999999999995</v>
      </c>
      <c r="F26" s="558">
        <f>'1461'!F26:G26</f>
        <v>1.208</v>
      </c>
      <c r="G26" s="558"/>
      <c r="H26" s="80">
        <f t="shared" si="2"/>
        <v>55.253900000000002</v>
      </c>
      <c r="I26" s="101">
        <f t="shared" si="3"/>
        <v>296542.49</v>
      </c>
      <c r="N26" s="571" t="s">
        <v>85</v>
      </c>
      <c r="O26" s="571"/>
      <c r="P26" s="572">
        <f t="shared" si="0"/>
        <v>0</v>
      </c>
      <c r="Q26" s="572"/>
      <c r="R26" s="573">
        <v>1</v>
      </c>
      <c r="S26" s="573"/>
      <c r="T26" s="95">
        <f t="shared" si="4"/>
        <v>0</v>
      </c>
      <c r="U26" s="475">
        <f t="shared" si="5"/>
        <v>0</v>
      </c>
    </row>
    <row r="27" spans="1:21" x14ac:dyDescent="0.25">
      <c r="A27" s="520" t="s">
        <v>86</v>
      </c>
      <c r="B27" s="520"/>
      <c r="C27" s="143">
        <v>18.32</v>
      </c>
      <c r="D27" s="143">
        <v>19.510000000000002</v>
      </c>
      <c r="E27" s="116">
        <f t="shared" si="1"/>
        <v>37.83</v>
      </c>
      <c r="F27" s="558">
        <f>'1461'!F27:G27</f>
        <v>1.208</v>
      </c>
      <c r="G27" s="558"/>
      <c r="H27" s="80">
        <f t="shared" si="2"/>
        <v>45.698599999999999</v>
      </c>
      <c r="I27" s="101">
        <f t="shared" si="3"/>
        <v>245260.09</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356.52</v>
      </c>
      <c r="D30" s="94">
        <f>SUM(D14:D29)</f>
        <v>355.73</v>
      </c>
      <c r="E30" s="94">
        <f>SUM(E14:E29)</f>
        <v>712.25</v>
      </c>
      <c r="F30" s="539"/>
      <c r="G30" s="539"/>
      <c r="H30" s="99">
        <f>SUM(H14:H29)</f>
        <v>758.85519999999997</v>
      </c>
      <c r="I30" s="94">
        <f>SUM(I14:I29)</f>
        <v>4072704.5699999994</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758.85519999999997</v>
      </c>
      <c r="F46" s="34"/>
      <c r="G46" s="106"/>
      <c r="H46" s="107" t="s">
        <v>98</v>
      </c>
      <c r="I46" s="94">
        <f>SUM(I44,I30)</f>
        <v>4072704.5699999994</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4072704.5699999994</v>
      </c>
      <c r="G51" s="109" t="s">
        <v>6</v>
      </c>
      <c r="H51" s="403">
        <v>4.5199999999999997E-2</v>
      </c>
      <c r="I51" s="101">
        <f>ROUND(F51*H51,2)</f>
        <v>184086.25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4072704.5699999994</v>
      </c>
      <c r="G52" s="109" t="s">
        <v>6</v>
      </c>
      <c r="H52" s="403">
        <v>1.41E-2</v>
      </c>
      <c r="I52" s="101">
        <f>ROUND(F52*H52,2)</f>
        <v>57425.13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241511.38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9</v>
      </c>
      <c r="D57" s="143">
        <v>10.039999999999999</v>
      </c>
      <c r="E57" s="116">
        <f t="shared" ref="E57:E65" si="10">IF(D$72=0,C57*2,C57+D57)</f>
        <v>19.04</v>
      </c>
      <c r="F57" s="445" t="s">
        <v>439</v>
      </c>
      <c r="G57" s="445">
        <v>251</v>
      </c>
      <c r="H57" s="459">
        <f>'1461'!H57</f>
        <v>1047</v>
      </c>
      <c r="I57" s="101">
        <f>ROUND(E57*H57,2)</f>
        <v>19934.88</v>
      </c>
      <c r="N57" s="621" t="s">
        <v>447</v>
      </c>
      <c r="O57" s="621"/>
      <c r="P57" s="624"/>
      <c r="Q57" s="624"/>
      <c r="R57" s="451" t="s">
        <v>439</v>
      </c>
      <c r="S57" s="451">
        <v>251</v>
      </c>
      <c r="T57" s="462">
        <f>H57</f>
        <v>1047</v>
      </c>
      <c r="U57" s="476">
        <f>ROUND(P57*T57,2)</f>
        <v>0</v>
      </c>
      <c r="V57" s="426"/>
    </row>
    <row r="58" spans="1:22" x14ac:dyDescent="0.25">
      <c r="A58" s="536"/>
      <c r="B58" s="536"/>
      <c r="C58" s="143">
        <v>0.5</v>
      </c>
      <c r="D58" s="143">
        <v>0</v>
      </c>
      <c r="E58" s="116">
        <f t="shared" si="10"/>
        <v>0.5</v>
      </c>
      <c r="F58" s="445" t="s">
        <v>439</v>
      </c>
      <c r="G58" s="445">
        <v>252</v>
      </c>
      <c r="H58" s="459">
        <f>'1461'!H58</f>
        <v>3380</v>
      </c>
      <c r="I58" s="101">
        <f t="shared" ref="I58:I65" si="11">ROUND(E58*H58,2)</f>
        <v>1690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0.5</v>
      </c>
      <c r="E59" s="116">
        <f t="shared" si="10"/>
        <v>0.5</v>
      </c>
      <c r="F59" s="445" t="s">
        <v>439</v>
      </c>
      <c r="G59" s="445">
        <v>253</v>
      </c>
      <c r="H59" s="459">
        <f>'1461'!H59</f>
        <v>6896</v>
      </c>
      <c r="I59" s="101">
        <f t="shared" si="11"/>
        <v>3448</v>
      </c>
      <c r="N59" s="622"/>
      <c r="O59" s="622"/>
      <c r="P59" s="625"/>
      <c r="Q59" s="625"/>
      <c r="R59" s="451" t="s">
        <v>439</v>
      </c>
      <c r="S59" s="451">
        <v>253</v>
      </c>
      <c r="T59" s="462">
        <f t="shared" si="12"/>
        <v>6896</v>
      </c>
      <c r="U59" s="476">
        <f t="shared" si="13"/>
        <v>0</v>
      </c>
      <c r="V59" s="426"/>
    </row>
    <row r="60" spans="1:22" x14ac:dyDescent="0.25">
      <c r="A60" s="536"/>
      <c r="B60" s="536"/>
      <c r="C60" s="143">
        <v>23</v>
      </c>
      <c r="D60" s="143">
        <v>18.5</v>
      </c>
      <c r="E60" s="116">
        <f t="shared" si="10"/>
        <v>41.5</v>
      </c>
      <c r="F60" s="446" t="s">
        <v>13</v>
      </c>
      <c r="G60" s="445">
        <v>251</v>
      </c>
      <c r="H60" s="459">
        <f>'1461'!H60</f>
        <v>1173</v>
      </c>
      <c r="I60" s="101">
        <f t="shared" si="11"/>
        <v>48679.5</v>
      </c>
      <c r="N60" s="622"/>
      <c r="O60" s="622"/>
      <c r="P60" s="625"/>
      <c r="Q60" s="625"/>
      <c r="R60" s="40" t="s">
        <v>13</v>
      </c>
      <c r="S60" s="451">
        <v>251</v>
      </c>
      <c r="T60" s="462">
        <f t="shared" si="12"/>
        <v>1173</v>
      </c>
      <c r="U60" s="476">
        <f t="shared" si="13"/>
        <v>0</v>
      </c>
      <c r="V60" s="426"/>
    </row>
    <row r="61" spans="1:22" x14ac:dyDescent="0.25">
      <c r="A61" s="536"/>
      <c r="B61" s="536"/>
      <c r="C61" s="143">
        <v>0</v>
      </c>
      <c r="D61" s="143">
        <v>0.5</v>
      </c>
      <c r="E61" s="116">
        <f t="shared" si="10"/>
        <v>0.5</v>
      </c>
      <c r="F61" s="446" t="s">
        <v>13</v>
      </c>
      <c r="G61" s="445">
        <v>252</v>
      </c>
      <c r="H61" s="459">
        <f>'1461'!H61</f>
        <v>3506</v>
      </c>
      <c r="I61" s="101">
        <f t="shared" si="11"/>
        <v>1753</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32.5</v>
      </c>
      <c r="D66" s="97">
        <f>SUM(D57:D65)</f>
        <v>29.54</v>
      </c>
      <c r="E66" s="97">
        <f>SUM(E57:E65)</f>
        <v>62.04</v>
      </c>
      <c r="F66" s="523" t="s">
        <v>448</v>
      </c>
      <c r="G66" s="523"/>
      <c r="H66" s="523"/>
      <c r="I66" s="97">
        <f>SUM(I57:I65)</f>
        <v>75505.38</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712.25</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3.503E-3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758.85519999999997</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3.3349999999999999E-3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712.25</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3.8110000000000002E-3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712.25</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3.5070000000000001E-3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712.25</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3.8149999999999998E-3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3.5070000000000001E-3</v>
      </c>
      <c r="I85" s="101">
        <f>ROUND(F85*H85,2)</f>
        <v>156642.03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3.503E-3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3.8149999999999998E-3</v>
      </c>
      <c r="I90" s="101">
        <f>ROUND(F90*H90,2)</f>
        <v>61677.3</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3.8110000000000002E-3</v>
      </c>
      <c r="I92" s="101">
        <f t="shared" ref="I92:I96" si="14">ROUND(F92*H92,2)</f>
        <v>38262.82</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3.3349999999999999E-3</v>
      </c>
      <c r="I94" s="101">
        <f t="shared" si="14"/>
        <v>797057.24</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3.3349999999999999E-3</v>
      </c>
      <c r="I96" s="101">
        <f t="shared" si="14"/>
        <v>-5336.16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324.00659999999999</v>
      </c>
      <c r="D101" s="518"/>
      <c r="E101" s="46">
        <f>H8</f>
        <v>1.0442</v>
      </c>
      <c r="F101" s="304">
        <f>'1461'!F101</f>
        <v>947.59</v>
      </c>
      <c r="G101" s="39" t="s">
        <v>12</v>
      </c>
      <c r="H101" s="101">
        <f>ROUND(C101*E101*F101,2)</f>
        <v>320595.94</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434.84859999999998</v>
      </c>
      <c r="D102" s="518"/>
      <c r="E102" s="46">
        <f>H8</f>
        <v>1.0442</v>
      </c>
      <c r="F102" s="304">
        <f>'1461'!F102</f>
        <v>904.74</v>
      </c>
      <c r="G102" s="39" t="s">
        <v>12</v>
      </c>
      <c r="H102" s="101">
        <f>ROUND(C102*E102*F102,2)</f>
        <v>410814.3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758.85519999999997</v>
      </c>
      <c r="D104" s="531"/>
      <c r="E104" s="123"/>
      <c r="F104" s="123"/>
      <c r="G104" s="123"/>
      <c r="H104" s="124" t="s">
        <v>100</v>
      </c>
      <c r="I104" s="101">
        <f>IF(A1=75,0,H103+H102+H101)</f>
        <v>731410.24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54</v>
      </c>
      <c r="D110" s="143">
        <v>54</v>
      </c>
      <c r="E110" s="116">
        <f>(C110+D110)/2</f>
        <v>54</v>
      </c>
      <c r="F110" s="126" t="s">
        <v>30</v>
      </c>
      <c r="G110" s="305">
        <f>'1461'!G110</f>
        <v>565</v>
      </c>
      <c r="I110" s="101">
        <f>ROUND(G110*E110,2)</f>
        <v>30510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5958433.4199999999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5716922.04</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5716922.04</v>
      </c>
      <c r="I132" s="94">
        <f>ROUND(IF(E30=0,0,IF(E30&gt;250,-(((250/E30)*H132)*IF(G132="H",0.02,0.05)),IF(G132="H",-0.02*H132,-0.05*H132))),2)</f>
        <v>-100332.08</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5858101.3399999999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-996968.76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4861132.58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486113.26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185514.02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130</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174.71</v>
      </c>
      <c r="D14" s="141">
        <v>171.48</v>
      </c>
      <c r="E14" s="187">
        <f>IF(D$30=0,C14*2,C14+D14)</f>
        <v>346.19</v>
      </c>
      <c r="F14" s="561">
        <f>'1461'!F14:G14</f>
        <v>1.1220000000000001</v>
      </c>
      <c r="G14" s="561"/>
      <c r="H14" s="145">
        <f>ROUND(E14*F14,4)</f>
        <v>388.42520000000002</v>
      </c>
      <c r="I14" s="111">
        <f>ROUND(ROUND(ROUND(H14*$C$8,4)*($H$8),2)*(MAX($H$9,1)),2)</f>
        <v>2084641.56</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21</v>
      </c>
      <c r="D15" s="143">
        <v>21.54</v>
      </c>
      <c r="E15" s="116">
        <f t="shared" ref="E15:E29" si="1">IF(D$30=0,C15*2,C15+D15)</f>
        <v>42.54</v>
      </c>
      <c r="F15" s="558">
        <f>'1461'!F15:G15</f>
        <v>1.1220000000000001</v>
      </c>
      <c r="G15" s="558"/>
      <c r="H15" s="80">
        <f t="shared" ref="H15:H29" si="2">ROUND(E15*F15,4)</f>
        <v>47.729900000000001</v>
      </c>
      <c r="I15" s="101">
        <f t="shared" ref="I15:I29" si="3">ROUND(ROUND(ROUND(H15*$C$8,4)*($H$8),2)*(MAX($H$9,1)),2)</f>
        <v>256161.89</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229.15</v>
      </c>
      <c r="D16" s="143">
        <v>236.4</v>
      </c>
      <c r="E16" s="116">
        <f t="shared" si="1"/>
        <v>465.55</v>
      </c>
      <c r="F16" s="558">
        <f>'1461'!F16:G16</f>
        <v>1</v>
      </c>
      <c r="G16" s="558"/>
      <c r="H16" s="80">
        <f t="shared" si="2"/>
        <v>465.55</v>
      </c>
      <c r="I16" s="101">
        <f t="shared" si="3"/>
        <v>2498563.12</v>
      </c>
      <c r="N16" s="571" t="s">
        <v>22</v>
      </c>
      <c r="O16" s="571"/>
      <c r="P16" s="572">
        <f t="shared" si="0"/>
        <v>0</v>
      </c>
      <c r="Q16" s="572"/>
      <c r="R16" s="573">
        <v>1</v>
      </c>
      <c r="S16" s="573"/>
      <c r="T16" s="95">
        <f t="shared" si="4"/>
        <v>0</v>
      </c>
      <c r="U16" s="475">
        <f t="shared" si="5"/>
        <v>0</v>
      </c>
    </row>
    <row r="17" spans="1:21" x14ac:dyDescent="0.25">
      <c r="A17" s="520" t="s">
        <v>23</v>
      </c>
      <c r="B17" s="520"/>
      <c r="C17" s="143">
        <v>31.86</v>
      </c>
      <c r="D17" s="143">
        <v>32.29</v>
      </c>
      <c r="E17" s="116">
        <f t="shared" si="1"/>
        <v>64.150000000000006</v>
      </c>
      <c r="F17" s="558">
        <f>'1461'!F17:G17</f>
        <v>1</v>
      </c>
      <c r="G17" s="558"/>
      <c r="H17" s="80">
        <f t="shared" si="2"/>
        <v>64.150000000000006</v>
      </c>
      <c r="I17" s="101">
        <f t="shared" si="3"/>
        <v>344287.02</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68.239999999999995</v>
      </c>
      <c r="D26" s="143">
        <v>70.02</v>
      </c>
      <c r="E26" s="116">
        <f t="shared" si="1"/>
        <v>138.26</v>
      </c>
      <c r="F26" s="558">
        <f>'1461'!F26:G26</f>
        <v>1.208</v>
      </c>
      <c r="G26" s="558"/>
      <c r="H26" s="80">
        <f t="shared" si="2"/>
        <v>167.0181</v>
      </c>
      <c r="I26" s="101">
        <f t="shared" si="3"/>
        <v>896370.45</v>
      </c>
      <c r="N26" s="571" t="s">
        <v>85</v>
      </c>
      <c r="O26" s="571"/>
      <c r="P26" s="572">
        <f t="shared" si="0"/>
        <v>0</v>
      </c>
      <c r="Q26" s="572"/>
      <c r="R26" s="573">
        <v>1</v>
      </c>
      <c r="S26" s="573"/>
      <c r="T26" s="95">
        <f t="shared" si="4"/>
        <v>0</v>
      </c>
      <c r="U26" s="475">
        <f t="shared" si="5"/>
        <v>0</v>
      </c>
    </row>
    <row r="27" spans="1:21" x14ac:dyDescent="0.25">
      <c r="A27" s="520" t="s">
        <v>86</v>
      </c>
      <c r="B27" s="520"/>
      <c r="C27" s="143">
        <v>44.19</v>
      </c>
      <c r="D27" s="143">
        <v>42.67</v>
      </c>
      <c r="E27" s="116">
        <f t="shared" si="1"/>
        <v>86.86</v>
      </c>
      <c r="F27" s="558">
        <f>'1461'!F27:G27</f>
        <v>1.208</v>
      </c>
      <c r="G27" s="558"/>
      <c r="H27" s="80">
        <f t="shared" si="2"/>
        <v>104.9269</v>
      </c>
      <c r="I27" s="101">
        <f t="shared" si="3"/>
        <v>563132.81999999995</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569.15000000000009</v>
      </c>
      <c r="D30" s="94">
        <f>SUM(D14:D29)</f>
        <v>574.4</v>
      </c>
      <c r="E30" s="94">
        <f>SUM(E14:E29)</f>
        <v>1143.55</v>
      </c>
      <c r="F30" s="539"/>
      <c r="G30" s="539"/>
      <c r="H30" s="99">
        <f>SUM(H14:H29)</f>
        <v>1237.8000999999999</v>
      </c>
      <c r="I30" s="94">
        <f>SUM(I14:I29)</f>
        <v>6643156.8600000003</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1237.8000999999999</v>
      </c>
      <c r="F46" s="34"/>
      <c r="G46" s="106"/>
      <c r="H46" s="107" t="s">
        <v>98</v>
      </c>
      <c r="I46" s="94">
        <f>SUM(I44,I30)</f>
        <v>6643156.8600000003</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6643156.8600000003</v>
      </c>
      <c r="G51" s="109" t="s">
        <v>6</v>
      </c>
      <c r="H51" s="403">
        <v>4.5199999999999997E-2</v>
      </c>
      <c r="I51" s="101">
        <f>ROUND(F51*H51,2)</f>
        <v>300270.69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6643156.8600000003</v>
      </c>
      <c r="G52" s="109" t="s">
        <v>6</v>
      </c>
      <c r="H52" s="403">
        <v>1.41E-2</v>
      </c>
      <c r="I52" s="101">
        <f>ROUND(F52*H52,2)</f>
        <v>93668.51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393939.20000000001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16.5</v>
      </c>
      <c r="D57" s="143">
        <v>16.53</v>
      </c>
      <c r="E57" s="116">
        <f t="shared" ref="E57:E65" si="10">IF(D$72=0,C57*2,C57+D57)</f>
        <v>33.03</v>
      </c>
      <c r="F57" s="445" t="s">
        <v>439</v>
      </c>
      <c r="G57" s="445">
        <v>251</v>
      </c>
      <c r="H57" s="459">
        <f>'1461'!H57</f>
        <v>1047</v>
      </c>
      <c r="I57" s="101">
        <f>ROUND(E57*H57,2)</f>
        <v>34582.410000000003</v>
      </c>
      <c r="N57" s="621" t="s">
        <v>447</v>
      </c>
      <c r="O57" s="621"/>
      <c r="P57" s="624"/>
      <c r="Q57" s="624"/>
      <c r="R57" s="451" t="s">
        <v>439</v>
      </c>
      <c r="S57" s="451">
        <v>251</v>
      </c>
      <c r="T57" s="462">
        <f>H57</f>
        <v>1047</v>
      </c>
      <c r="U57" s="476">
        <f>ROUND(P57*T57,2)</f>
        <v>0</v>
      </c>
      <c r="V57" s="426"/>
    </row>
    <row r="58" spans="1:22" x14ac:dyDescent="0.25">
      <c r="A58" s="536"/>
      <c r="B58" s="536"/>
      <c r="C58" s="143">
        <v>4.5</v>
      </c>
      <c r="D58" s="143">
        <v>4.51</v>
      </c>
      <c r="E58" s="116">
        <f t="shared" si="10"/>
        <v>9.01</v>
      </c>
      <c r="F58" s="445" t="s">
        <v>439</v>
      </c>
      <c r="G58" s="445">
        <v>252</v>
      </c>
      <c r="H58" s="459">
        <f>'1461'!H58</f>
        <v>3380</v>
      </c>
      <c r="I58" s="101">
        <f t="shared" ref="I58:I65" si="11">ROUND(E58*H58,2)</f>
        <v>30453.8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0.5</v>
      </c>
      <c r="E59" s="116">
        <f t="shared" si="10"/>
        <v>0.5</v>
      </c>
      <c r="F59" s="445" t="s">
        <v>439</v>
      </c>
      <c r="G59" s="445">
        <v>253</v>
      </c>
      <c r="H59" s="459">
        <f>'1461'!H59</f>
        <v>6896</v>
      </c>
      <c r="I59" s="101">
        <f t="shared" si="11"/>
        <v>3448</v>
      </c>
      <c r="N59" s="622"/>
      <c r="O59" s="622"/>
      <c r="P59" s="625"/>
      <c r="Q59" s="625"/>
      <c r="R59" s="451" t="s">
        <v>439</v>
      </c>
      <c r="S59" s="451">
        <v>253</v>
      </c>
      <c r="T59" s="462">
        <f t="shared" si="12"/>
        <v>6896</v>
      </c>
      <c r="U59" s="476">
        <f t="shared" si="13"/>
        <v>0</v>
      </c>
      <c r="V59" s="426"/>
    </row>
    <row r="60" spans="1:22" x14ac:dyDescent="0.25">
      <c r="A60" s="536"/>
      <c r="B60" s="536"/>
      <c r="C60" s="143">
        <v>27.85</v>
      </c>
      <c r="D60" s="143">
        <v>27.76</v>
      </c>
      <c r="E60" s="116">
        <f t="shared" si="10"/>
        <v>55.61</v>
      </c>
      <c r="F60" s="446" t="s">
        <v>13</v>
      </c>
      <c r="G60" s="445">
        <v>251</v>
      </c>
      <c r="H60" s="459">
        <f>'1461'!H60</f>
        <v>1173</v>
      </c>
      <c r="I60" s="101">
        <f t="shared" si="11"/>
        <v>65230.53</v>
      </c>
      <c r="N60" s="622"/>
      <c r="O60" s="622"/>
      <c r="P60" s="625"/>
      <c r="Q60" s="625"/>
      <c r="R60" s="40" t="s">
        <v>13</v>
      </c>
      <c r="S60" s="451">
        <v>251</v>
      </c>
      <c r="T60" s="462">
        <f t="shared" si="12"/>
        <v>1173</v>
      </c>
      <c r="U60" s="476">
        <f t="shared" si="13"/>
        <v>0</v>
      </c>
      <c r="V60" s="426"/>
    </row>
    <row r="61" spans="1:22" x14ac:dyDescent="0.25">
      <c r="A61" s="536"/>
      <c r="B61" s="536"/>
      <c r="C61" s="143">
        <v>4.01</v>
      </c>
      <c r="D61" s="143">
        <v>4.53</v>
      </c>
      <c r="E61" s="116">
        <f t="shared" si="10"/>
        <v>8.5399999999999991</v>
      </c>
      <c r="F61" s="446" t="s">
        <v>13</v>
      </c>
      <c r="G61" s="445">
        <v>252</v>
      </c>
      <c r="H61" s="459">
        <f>'1461'!H61</f>
        <v>3506</v>
      </c>
      <c r="I61" s="101">
        <f t="shared" si="11"/>
        <v>29941.24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52.86</v>
      </c>
      <c r="D66" s="97">
        <f>SUM(D57:D65)</f>
        <v>53.83</v>
      </c>
      <c r="E66" s="97">
        <f>SUM(E57:E65)</f>
        <v>106.69</v>
      </c>
      <c r="F66" s="523" t="s">
        <v>448</v>
      </c>
      <c r="G66" s="523"/>
      <c r="H66" s="523"/>
      <c r="I66" s="97">
        <f>SUM(I57:I65)</f>
        <v>163655.97999999998</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1143.55</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5.6249999999999998E-3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1237.8000999999999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5.4400000000000004E-3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1143.55</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6.1180000000000002E-3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1143.55</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5.6309999999999997E-3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1143.55</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6.1260000000000004E-3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5.6309999999999997E-3</v>
      </c>
      <c r="I85" s="101">
        <f>ROUND(F85*H85,2)</f>
        <v>251511.63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5.6249999999999998E-3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6.1260000000000004E-3</v>
      </c>
      <c r="I90" s="101">
        <f>ROUND(F90*H90,2)</f>
        <v>99039.360000000001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6.1180000000000002E-3</v>
      </c>
      <c r="I92" s="101">
        <f t="shared" ref="I92:I96" si="14">ROUND(F92*H92,2)</f>
        <v>61425.33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5.4400000000000004E-3</v>
      </c>
      <c r="I94" s="101">
        <f t="shared" si="14"/>
        <v>1300147.3500000001</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5.4400000000000004E-3</v>
      </c>
      <c r="I96" s="101">
        <f t="shared" si="14"/>
        <v>-8704.26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603.17319999999995</v>
      </c>
      <c r="D101" s="518"/>
      <c r="E101" s="46">
        <f>H8</f>
        <v>1.0442</v>
      </c>
      <c r="F101" s="304">
        <f>'1461'!F101</f>
        <v>947.59</v>
      </c>
      <c r="G101" s="39" t="s">
        <v>12</v>
      </c>
      <c r="H101" s="101">
        <f>ROUND(C101*E101*F101,2)</f>
        <v>596823.88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634.62690000000009</v>
      </c>
      <c r="D102" s="518"/>
      <c r="E102" s="46">
        <f>H8</f>
        <v>1.0442</v>
      </c>
      <c r="F102" s="304">
        <f>'1461'!F102</f>
        <v>904.74</v>
      </c>
      <c r="G102" s="39" t="s">
        <v>12</v>
      </c>
      <c r="H102" s="101">
        <f>ROUND(C102*E102*F102,2)</f>
        <v>599550.76</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1237.8000999999999</v>
      </c>
      <c r="D104" s="531"/>
      <c r="E104" s="123"/>
      <c r="F104" s="123"/>
      <c r="G104" s="123"/>
      <c r="H104" s="124" t="s">
        <v>100</v>
      </c>
      <c r="I104" s="101">
        <f>IF(A1=75,0,H103+H102+H101)</f>
        <v>1196374.6400000001</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5</v>
      </c>
      <c r="D110" s="143">
        <v>2</v>
      </c>
      <c r="E110" s="116">
        <f>(C110+D110)/2</f>
        <v>3.5</v>
      </c>
      <c r="F110" s="126" t="s">
        <v>30</v>
      </c>
      <c r="G110" s="305">
        <f>'1461'!G110</f>
        <v>565</v>
      </c>
      <c r="I110" s="101">
        <f>ROUND(G110*E110,2)</f>
        <v>1977.5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9708584.3900000006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9314645.1900000013</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9314645.1900000013</v>
      </c>
      <c r="I132" s="94">
        <f>ROUND(IF(E30=0,0,IF(E30&gt;250,-(((250/E30)*H132)*IF(G132="H",0.02,0.05)),IF(G132="H",-0.02*H132,-0.05*H132))),2)</f>
        <v>-101817.21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9606767.1799999997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-1632755.08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7974012.0999999996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797401.21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363915.05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131</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273.76</v>
      </c>
      <c r="D16" s="143">
        <v>270.77</v>
      </c>
      <c r="E16" s="116">
        <f t="shared" si="1"/>
        <v>544.53</v>
      </c>
      <c r="F16" s="558">
        <f>'1461'!F16:G16</f>
        <v>1</v>
      </c>
      <c r="G16" s="558"/>
      <c r="H16" s="80">
        <f t="shared" si="2"/>
        <v>544.53</v>
      </c>
      <c r="I16" s="101">
        <f t="shared" si="3"/>
        <v>2922441.36</v>
      </c>
      <c r="N16" s="571" t="s">
        <v>22</v>
      </c>
      <c r="O16" s="571"/>
      <c r="P16" s="572">
        <f t="shared" si="0"/>
        <v>0</v>
      </c>
      <c r="Q16" s="572"/>
      <c r="R16" s="573">
        <v>1</v>
      </c>
      <c r="S16" s="573"/>
      <c r="T16" s="95">
        <f t="shared" si="4"/>
        <v>0</v>
      </c>
      <c r="U16" s="475">
        <f t="shared" si="5"/>
        <v>0</v>
      </c>
    </row>
    <row r="17" spans="1:21" x14ac:dyDescent="0.25">
      <c r="A17" s="520" t="s">
        <v>23</v>
      </c>
      <c r="B17" s="520"/>
      <c r="C17" s="143">
        <v>65</v>
      </c>
      <c r="D17" s="143">
        <v>61.51</v>
      </c>
      <c r="E17" s="116">
        <f t="shared" si="1"/>
        <v>126.50999999999999</v>
      </c>
      <c r="F17" s="558">
        <f>'1461'!F17:G17</f>
        <v>1</v>
      </c>
      <c r="G17" s="558"/>
      <c r="H17" s="80">
        <f t="shared" si="2"/>
        <v>126.51</v>
      </c>
      <c r="I17" s="101">
        <f t="shared" si="3"/>
        <v>678967.29</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6.49</v>
      </c>
      <c r="D27" s="143">
        <v>7.15</v>
      </c>
      <c r="E27" s="116">
        <f t="shared" si="1"/>
        <v>13.64</v>
      </c>
      <c r="F27" s="558">
        <f>'1461'!F27:G27</f>
        <v>1.208</v>
      </c>
      <c r="G27" s="558"/>
      <c r="H27" s="80">
        <f t="shared" si="2"/>
        <v>16.4771</v>
      </c>
      <c r="I27" s="101">
        <f t="shared" si="3"/>
        <v>88431.05</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345.25</v>
      </c>
      <c r="D30" s="94">
        <f>SUM(D14:D29)</f>
        <v>339.42999999999995</v>
      </c>
      <c r="E30" s="94">
        <f>SUM(E14:E29)</f>
        <v>684.68</v>
      </c>
      <c r="F30" s="539"/>
      <c r="G30" s="539"/>
      <c r="H30" s="99">
        <f>SUM(H14:H29)</f>
        <v>687.51709999999991</v>
      </c>
      <c r="I30" s="94">
        <f>SUM(I14:I29)</f>
        <v>3689839.6999999997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687.51709999999991</v>
      </c>
      <c r="F46" s="34"/>
      <c r="G46" s="106"/>
      <c r="H46" s="107" t="s">
        <v>98</v>
      </c>
      <c r="I46" s="94">
        <f>SUM(I44,I30)</f>
        <v>3689839.6999999997</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3689839.6999999997</v>
      </c>
      <c r="G51" s="109" t="s">
        <v>6</v>
      </c>
      <c r="H51" s="403">
        <v>4.5199999999999997E-2</v>
      </c>
      <c r="I51" s="101">
        <f>ROUND(F51*H51,2)</f>
        <v>166780.75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3689839.6999999997</v>
      </c>
      <c r="G52" s="109" t="s">
        <v>6</v>
      </c>
      <c r="H52" s="403">
        <v>1.41E-2</v>
      </c>
      <c r="I52" s="101">
        <f>ROUND(F52*H52,2)</f>
        <v>52026.74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218807.49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63</v>
      </c>
      <c r="D60" s="143">
        <v>59.51</v>
      </c>
      <c r="E60" s="116">
        <f t="shared" si="10"/>
        <v>122.50999999999999</v>
      </c>
      <c r="F60" s="446" t="s">
        <v>13</v>
      </c>
      <c r="G60" s="445">
        <v>251</v>
      </c>
      <c r="H60" s="459">
        <f>'1461'!H60</f>
        <v>1173</v>
      </c>
      <c r="I60" s="101">
        <f t="shared" si="11"/>
        <v>143704.23000000001</v>
      </c>
      <c r="N60" s="622"/>
      <c r="O60" s="622"/>
      <c r="P60" s="625"/>
      <c r="Q60" s="625"/>
      <c r="R60" s="40" t="s">
        <v>13</v>
      </c>
      <c r="S60" s="451">
        <v>251</v>
      </c>
      <c r="T60" s="462">
        <f t="shared" si="12"/>
        <v>1173</v>
      </c>
      <c r="U60" s="476">
        <f t="shared" si="13"/>
        <v>0</v>
      </c>
      <c r="V60" s="426"/>
    </row>
    <row r="61" spans="1:22" x14ac:dyDescent="0.25">
      <c r="A61" s="536"/>
      <c r="B61" s="536"/>
      <c r="C61" s="143">
        <v>2</v>
      </c>
      <c r="D61" s="143">
        <v>2</v>
      </c>
      <c r="E61" s="116">
        <f t="shared" si="10"/>
        <v>4</v>
      </c>
      <c r="F61" s="446" t="s">
        <v>13</v>
      </c>
      <c r="G61" s="445">
        <v>252</v>
      </c>
      <c r="H61" s="459">
        <f>'1461'!H61</f>
        <v>3506</v>
      </c>
      <c r="I61" s="101">
        <f t="shared" si="11"/>
        <v>14024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65</v>
      </c>
      <c r="D66" s="97">
        <f>SUM(D57:D65)</f>
        <v>61.51</v>
      </c>
      <c r="E66" s="97">
        <f>SUM(E57:E65)</f>
        <v>126.50999999999999</v>
      </c>
      <c r="F66" s="523" t="s">
        <v>448</v>
      </c>
      <c r="G66" s="523"/>
      <c r="H66" s="523"/>
      <c r="I66" s="97">
        <f>SUM(I57:I65)</f>
        <v>157728.23000000001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684.68</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3.3679999999999999E-3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687.51709999999991</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3.0219999999999999E-3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684.68</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3.663E-3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684.68</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3.3709999999999999E-3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684.68</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3.6679999999999998E-3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3.3709999999999999E-3</v>
      </c>
      <c r="I85" s="101">
        <f>ROUND(F85*H85,2)</f>
        <v>150567.51999999999</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3.3679999999999999E-3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3.6679999999999998E-3</v>
      </c>
      <c r="I90" s="101">
        <f>ROUND(F90*H90,2)</f>
        <v>59300.75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3.663E-3</v>
      </c>
      <c r="I92" s="101">
        <f t="shared" ref="I92:I96" si="14">ROUND(F92*H92,2)</f>
        <v>36776.879999999997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3.0219999999999999E-3</v>
      </c>
      <c r="I94" s="101">
        <f t="shared" si="14"/>
        <v>722250.97</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3.0219999999999999E-3</v>
      </c>
      <c r="I96" s="101">
        <f t="shared" si="14"/>
        <v>-4835.34</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687.51709999999991</v>
      </c>
      <c r="D102" s="518"/>
      <c r="E102" s="46">
        <f>H8</f>
        <v>1.0442</v>
      </c>
      <c r="F102" s="304">
        <f>'1461'!F102</f>
        <v>904.74</v>
      </c>
      <c r="G102" s="39" t="s">
        <v>12</v>
      </c>
      <c r="H102" s="101">
        <f>ROUND(C102*E102*F102,2)</f>
        <v>649517.68999999994</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687.51709999999991</v>
      </c>
      <c r="D104" s="531"/>
      <c r="E104" s="123"/>
      <c r="F104" s="123"/>
      <c r="G104" s="123"/>
      <c r="H104" s="124" t="s">
        <v>100</v>
      </c>
      <c r="I104" s="101">
        <f>IF(A1=75,0,H103+H102+H101)</f>
        <v>649517.68999999994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5461146.4000000004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5242338.91</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5242338.91</v>
      </c>
      <c r="I132" s="94">
        <f>ROUND(IF(E30=0,0,IF(E30&gt;250,-(((250/E30)*H132)*IF(G132="H",0.02,0.05)),IF(G132="H",-0.02*H132,-0.05*H132))),2)</f>
        <v>-38283.129999999997</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5422863.2700000005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-926284.56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4496578.7100000009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449657.87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66563.649999999994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132</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452.59</v>
      </c>
      <c r="D18" s="143">
        <v>446.86</v>
      </c>
      <c r="E18" s="116">
        <f t="shared" si="1"/>
        <v>899.45</v>
      </c>
      <c r="F18" s="558">
        <f>'1461'!F18:G18</f>
        <v>0.98799999999999999</v>
      </c>
      <c r="G18" s="558"/>
      <c r="H18" s="80">
        <f t="shared" si="2"/>
        <v>888.65660000000003</v>
      </c>
      <c r="I18" s="101">
        <f t="shared" si="3"/>
        <v>4769336.5</v>
      </c>
      <c r="N18" s="571" t="s">
        <v>24</v>
      </c>
      <c r="O18" s="571"/>
      <c r="P18" s="572">
        <f t="shared" si="0"/>
        <v>0</v>
      </c>
      <c r="Q18" s="572"/>
      <c r="R18" s="573">
        <v>1</v>
      </c>
      <c r="S18" s="573"/>
      <c r="T18" s="95">
        <f t="shared" si="4"/>
        <v>0</v>
      </c>
      <c r="U18" s="475">
        <f t="shared" si="5"/>
        <v>0</v>
      </c>
    </row>
    <row r="19" spans="1:21" x14ac:dyDescent="0.25">
      <c r="A19" s="520" t="s">
        <v>25</v>
      </c>
      <c r="B19" s="520"/>
      <c r="C19" s="143">
        <v>41.68</v>
      </c>
      <c r="D19" s="143">
        <v>38.9</v>
      </c>
      <c r="E19" s="116">
        <f t="shared" si="1"/>
        <v>80.58</v>
      </c>
      <c r="F19" s="558">
        <f>'1461'!F19:G19</f>
        <v>0.98799999999999999</v>
      </c>
      <c r="G19" s="558"/>
      <c r="H19" s="80">
        <f t="shared" si="2"/>
        <v>79.613</v>
      </c>
      <c r="I19" s="101">
        <f t="shared" si="3"/>
        <v>427275.49</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12.13</v>
      </c>
      <c r="D28" s="143">
        <v>11.07</v>
      </c>
      <c r="E28" s="116">
        <f t="shared" si="1"/>
        <v>23.200000000000003</v>
      </c>
      <c r="F28" s="558">
        <f>'1461'!F28:G28</f>
        <v>1.208</v>
      </c>
      <c r="G28" s="558"/>
      <c r="H28" s="80">
        <f t="shared" si="2"/>
        <v>28.025600000000001</v>
      </c>
      <c r="I28" s="101">
        <f t="shared" si="3"/>
        <v>150410.76</v>
      </c>
      <c r="N28" s="571" t="s">
        <v>87</v>
      </c>
      <c r="O28" s="571"/>
      <c r="P28" s="572">
        <f t="shared" si="0"/>
        <v>0</v>
      </c>
      <c r="Q28" s="572"/>
      <c r="R28" s="573">
        <v>1</v>
      </c>
      <c r="S28" s="573"/>
      <c r="T28" s="95">
        <f t="shared" si="4"/>
        <v>0</v>
      </c>
      <c r="U28" s="475">
        <f t="shared" si="5"/>
        <v>0</v>
      </c>
    </row>
    <row r="29" spans="1:21" x14ac:dyDescent="0.25">
      <c r="A29" s="520" t="s">
        <v>88</v>
      </c>
      <c r="B29" s="520"/>
      <c r="C29" s="110">
        <v>28.41</v>
      </c>
      <c r="D29" s="110">
        <v>28.7</v>
      </c>
      <c r="E29" s="154">
        <f t="shared" si="1"/>
        <v>57.11</v>
      </c>
      <c r="F29" s="558">
        <f>'1461'!F29:G29</f>
        <v>1.0720000000000001</v>
      </c>
      <c r="G29" s="558"/>
      <c r="H29" s="93">
        <f t="shared" si="2"/>
        <v>61.221899999999998</v>
      </c>
      <c r="I29" s="94">
        <f t="shared" si="3"/>
        <v>328572.19</v>
      </c>
      <c r="N29" s="588" t="s">
        <v>88</v>
      </c>
      <c r="O29" s="588"/>
      <c r="P29" s="572">
        <f t="shared" si="0"/>
        <v>0</v>
      </c>
      <c r="Q29" s="572"/>
      <c r="R29" s="589">
        <v>1</v>
      </c>
      <c r="S29" s="589"/>
      <c r="T29" s="95">
        <f t="shared" si="4"/>
        <v>0</v>
      </c>
      <c r="U29" s="475">
        <f t="shared" si="5"/>
        <v>0</v>
      </c>
    </row>
    <row r="30" spans="1:21" x14ac:dyDescent="0.25">
      <c r="A30" s="523" t="s">
        <v>5</v>
      </c>
      <c r="B30" s="523"/>
      <c r="C30" s="94">
        <f>SUM(C14:C29)</f>
        <v>534.80999999999995</v>
      </c>
      <c r="D30" s="94">
        <f>SUM(D14:D29)</f>
        <v>525.53</v>
      </c>
      <c r="E30" s="94">
        <f>SUM(E14:E29)</f>
        <v>1060.3400000000001</v>
      </c>
      <c r="F30" s="539"/>
      <c r="G30" s="539"/>
      <c r="H30" s="99">
        <f>SUM(H14:H29)</f>
        <v>1057.5171</v>
      </c>
      <c r="I30" s="94">
        <f>SUM(I14:I29)</f>
        <v>5675594.9400000004</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1057.5171</v>
      </c>
      <c r="F46" s="34"/>
      <c r="G46" s="106"/>
      <c r="H46" s="107" t="s">
        <v>98</v>
      </c>
      <c r="I46" s="94">
        <f>SUM(I44,I30)</f>
        <v>5675594.9400000004</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5675594.9400000004</v>
      </c>
      <c r="G51" s="109" t="s">
        <v>6</v>
      </c>
      <c r="H51" s="403">
        <v>4.5199999999999997E-2</v>
      </c>
      <c r="I51" s="101">
        <f>ROUND(F51*H51,2)</f>
        <v>256536.89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5675594.9400000004</v>
      </c>
      <c r="G52" s="109" t="s">
        <v>6</v>
      </c>
      <c r="H52" s="403">
        <v>1.41E-2</v>
      </c>
      <c r="I52" s="101">
        <f>ROUND(F52*H52,2)</f>
        <v>80025.89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336562.78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41.18</v>
      </c>
      <c r="D63" s="143">
        <v>38.5</v>
      </c>
      <c r="E63" s="116">
        <f t="shared" si="10"/>
        <v>79.680000000000007</v>
      </c>
      <c r="F63" s="446" t="s">
        <v>14</v>
      </c>
      <c r="G63" s="445">
        <v>251</v>
      </c>
      <c r="H63" s="459">
        <f>'1461'!H63</f>
        <v>835</v>
      </c>
      <c r="I63" s="101">
        <f t="shared" si="11"/>
        <v>66532.800000000003</v>
      </c>
      <c r="N63" s="622"/>
      <c r="O63" s="622"/>
      <c r="P63" s="625"/>
      <c r="Q63" s="625"/>
      <c r="R63" s="40" t="s">
        <v>14</v>
      </c>
      <c r="S63" s="451">
        <v>251</v>
      </c>
      <c r="T63" s="462">
        <f t="shared" si="12"/>
        <v>835</v>
      </c>
      <c r="U63" s="476">
        <f t="shared" si="13"/>
        <v>0</v>
      </c>
      <c r="V63" s="426"/>
    </row>
    <row r="64" spans="1:22" x14ac:dyDescent="0.25">
      <c r="A64" s="536"/>
      <c r="B64" s="536"/>
      <c r="C64" s="143">
        <v>0.5</v>
      </c>
      <c r="D64" s="143">
        <v>0.4</v>
      </c>
      <c r="E64" s="116">
        <f t="shared" si="10"/>
        <v>0.9</v>
      </c>
      <c r="F64" s="446" t="s">
        <v>14</v>
      </c>
      <c r="G64" s="445">
        <v>252</v>
      </c>
      <c r="H64" s="459">
        <f>'1461'!H64</f>
        <v>3168</v>
      </c>
      <c r="I64" s="101">
        <f t="shared" si="11"/>
        <v>2851.2</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41.68</v>
      </c>
      <c r="D66" s="97">
        <f>SUM(D57:D65)</f>
        <v>38.9</v>
      </c>
      <c r="E66" s="97">
        <f>SUM(E57:E65)</f>
        <v>80.580000000000013</v>
      </c>
      <c r="F66" s="523" t="s">
        <v>448</v>
      </c>
      <c r="G66" s="523"/>
      <c r="H66" s="523"/>
      <c r="I66" s="97">
        <f>SUM(I57:I65)</f>
        <v>69384</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1060.3400000000001</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5.215E-3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1057.5171</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4.6480000000000002E-3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1060.3400000000001</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5.6730000000000001E-3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1060.3400000000001</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5.2209999999999999E-3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1060.3400000000001</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5.6800000000000002E-3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5.2209999999999999E-3</v>
      </c>
      <c r="I85" s="101">
        <f>ROUND(F85*H85,2)</f>
        <v>233198.76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5.215E-3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5.6800000000000002E-3</v>
      </c>
      <c r="I90" s="101">
        <f>ROUND(F90*H90,2)</f>
        <v>91828.86</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5.6730000000000001E-3</v>
      </c>
      <c r="I92" s="101">
        <f t="shared" ref="I92:I96" si="14">ROUND(F92*H92,2)</f>
        <v>56957.48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4.6480000000000002E-3</v>
      </c>
      <c r="I94" s="101">
        <f t="shared" si="14"/>
        <v>1110861.19</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4.6480000000000002E-3</v>
      </c>
      <c r="I96" s="101">
        <f t="shared" si="14"/>
        <v>-7437.02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1057.5171</v>
      </c>
      <c r="D103" s="518"/>
      <c r="E103" s="46">
        <f>H8</f>
        <v>1.0442</v>
      </c>
      <c r="F103" s="304">
        <f>'1461'!F103</f>
        <v>906.93</v>
      </c>
      <c r="G103" s="39" t="s">
        <v>12</v>
      </c>
      <c r="H103" s="94">
        <f>ROUND(C103*E103*F103,2)</f>
        <v>1001485.94</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1057.5171</v>
      </c>
      <c r="D104" s="531"/>
      <c r="E104" s="123"/>
      <c r="F104" s="123"/>
      <c r="G104" s="123"/>
      <c r="H104" s="124" t="s">
        <v>100</v>
      </c>
      <c r="I104" s="101">
        <f>IF(A1=75,0,H103+H102+H101)</f>
        <v>1001485.94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v>
      </c>
      <c r="D110" s="143">
        <v>0</v>
      </c>
      <c r="E110" s="116">
        <f>(C110+D110)/2</f>
        <v>0.5</v>
      </c>
      <c r="F110" s="126" t="s">
        <v>30</v>
      </c>
      <c r="G110" s="305">
        <f>'1461'!G110</f>
        <v>565</v>
      </c>
      <c r="I110" s="101">
        <f>ROUND(G110*E110,2)</f>
        <v>282.5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8232156.6500000004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7895593.8700000001</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80" t="s">
        <v>241</v>
      </c>
      <c r="H132" s="139">
        <f>IF(H130=1,I130,I127)</f>
        <v>7895593.8700000001</v>
      </c>
      <c r="I132" s="94">
        <f>ROUND(IF(E30=0,0,IF(E30&gt;250,-(((250/E30)*H132)*IF(G132="H",0.02,0.05)),IF(G132="H",-0.02*H132,-0.05*H132))),2)</f>
        <v>-37231.43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8194925.2200000007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-1396767.02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6798158.2000000011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679815.82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120680.45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323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249.92</v>
      </c>
      <c r="D14" s="141">
        <v>249.2</v>
      </c>
      <c r="E14" s="187">
        <f>IF(D$30=0,C14*2,C14+D14)</f>
        <v>499.12</v>
      </c>
      <c r="F14" s="561">
        <f>'1461'!F14:G14</f>
        <v>1.1220000000000001</v>
      </c>
      <c r="G14" s="561"/>
      <c r="H14" s="145">
        <f>ROUND(E14*F14,4)</f>
        <v>560.01260000000002</v>
      </c>
      <c r="I14" s="111">
        <f>ROUND(ROUND(ROUND(H14*$C$8,4)*($H$8),2)*(MAX($H$9,1)),2)</f>
        <v>3005535.02</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21.5</v>
      </c>
      <c r="D15" s="143">
        <v>23.54</v>
      </c>
      <c r="E15" s="116">
        <f t="shared" ref="E15:E29" si="1">IF(D$30=0,C15*2,C15+D15)</f>
        <v>45.04</v>
      </c>
      <c r="F15" s="558">
        <f>'1461'!F15:G15</f>
        <v>1.1220000000000001</v>
      </c>
      <c r="G15" s="558"/>
      <c r="H15" s="80">
        <f t="shared" ref="H15:H29" si="2">ROUND(E15*F15,4)</f>
        <v>50.5349</v>
      </c>
      <c r="I15" s="101">
        <f t="shared" ref="I15:I29" si="3">ROUND(ROUND(ROUND(H15*$C$8,4)*($H$8),2)*(MAX($H$9,1)),2)</f>
        <v>271216.06</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303.26</v>
      </c>
      <c r="D16" s="143">
        <v>295.35000000000002</v>
      </c>
      <c r="E16" s="116">
        <f t="shared" si="1"/>
        <v>598.61</v>
      </c>
      <c r="F16" s="558">
        <f>'1461'!F16:G16</f>
        <v>1</v>
      </c>
      <c r="G16" s="558"/>
      <c r="H16" s="80">
        <f t="shared" si="2"/>
        <v>598.61</v>
      </c>
      <c r="I16" s="101">
        <f t="shared" si="3"/>
        <v>3212683.64</v>
      </c>
      <c r="N16" s="571" t="s">
        <v>22</v>
      </c>
      <c r="O16" s="571"/>
      <c r="P16" s="572">
        <f t="shared" si="0"/>
        <v>0</v>
      </c>
      <c r="Q16" s="572"/>
      <c r="R16" s="573">
        <v>1</v>
      </c>
      <c r="S16" s="573"/>
      <c r="T16" s="95">
        <f t="shared" si="4"/>
        <v>0</v>
      </c>
      <c r="U16" s="475">
        <f t="shared" si="5"/>
        <v>0</v>
      </c>
    </row>
    <row r="17" spans="1:21" x14ac:dyDescent="0.25">
      <c r="A17" s="520" t="s">
        <v>23</v>
      </c>
      <c r="B17" s="520"/>
      <c r="C17" s="143">
        <v>39</v>
      </c>
      <c r="D17" s="143">
        <v>35.409999999999997</v>
      </c>
      <c r="E17" s="116">
        <f t="shared" si="1"/>
        <v>74.41</v>
      </c>
      <c r="F17" s="558">
        <f>'1461'!F17:G17</f>
        <v>1</v>
      </c>
      <c r="G17" s="558"/>
      <c r="H17" s="80">
        <f t="shared" si="2"/>
        <v>74.41</v>
      </c>
      <c r="I17" s="101">
        <f t="shared" si="3"/>
        <v>399351.48</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c r="D18" s="143"/>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c r="D19" s="143"/>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21.58</v>
      </c>
      <c r="D26" s="143">
        <v>22.53</v>
      </c>
      <c r="E26" s="116">
        <f t="shared" si="1"/>
        <v>44.11</v>
      </c>
      <c r="F26" s="558">
        <f>'1461'!F26:G26</f>
        <v>1.208</v>
      </c>
      <c r="G26" s="558"/>
      <c r="H26" s="80">
        <f t="shared" si="2"/>
        <v>53.2849</v>
      </c>
      <c r="I26" s="101">
        <f t="shared" si="3"/>
        <v>285975.05</v>
      </c>
      <c r="N26" s="571" t="s">
        <v>85</v>
      </c>
      <c r="O26" s="571"/>
      <c r="P26" s="572">
        <f t="shared" si="0"/>
        <v>0</v>
      </c>
      <c r="Q26" s="572"/>
      <c r="R26" s="573">
        <v>1</v>
      </c>
      <c r="S26" s="573"/>
      <c r="T26" s="95">
        <f t="shared" si="4"/>
        <v>0</v>
      </c>
      <c r="U26" s="475">
        <f t="shared" si="5"/>
        <v>0</v>
      </c>
    </row>
    <row r="27" spans="1:21" x14ac:dyDescent="0.25">
      <c r="A27" s="520" t="s">
        <v>86</v>
      </c>
      <c r="B27" s="520"/>
      <c r="C27" s="143">
        <v>17.850000000000001</v>
      </c>
      <c r="D27" s="143">
        <v>17.600000000000001</v>
      </c>
      <c r="E27" s="116">
        <f t="shared" si="1"/>
        <v>35.450000000000003</v>
      </c>
      <c r="F27" s="558">
        <f>'1461'!F27:G27</f>
        <v>1.208</v>
      </c>
      <c r="G27" s="558"/>
      <c r="H27" s="80">
        <f t="shared" si="2"/>
        <v>42.823599999999999</v>
      </c>
      <c r="I27" s="101">
        <f t="shared" si="3"/>
        <v>229830.24</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653.11</v>
      </c>
      <c r="D30" s="94">
        <f>SUM(D14:D29)</f>
        <v>643.63</v>
      </c>
      <c r="E30" s="94">
        <f>SUM(E14:E29)</f>
        <v>1296.74</v>
      </c>
      <c r="F30" s="539"/>
      <c r="G30" s="539"/>
      <c r="H30" s="99">
        <f>SUM(H14:H29)</f>
        <v>1379.6760000000002</v>
      </c>
      <c r="I30" s="94">
        <f>SUM(I14:I29)</f>
        <v>7404591.4900000012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1379.6760000000002</v>
      </c>
      <c r="F46" s="34"/>
      <c r="G46" s="106"/>
      <c r="H46" s="107" t="s">
        <v>98</v>
      </c>
      <c r="I46" s="94">
        <f>SUM(I44,I30)</f>
        <v>7404591.4900000012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7404591.4900000012</v>
      </c>
      <c r="G51" s="109" t="s">
        <v>6</v>
      </c>
      <c r="H51" s="403">
        <v>4.5199999999999997E-2</v>
      </c>
      <c r="I51" s="101">
        <f>ROUND(F51*H51,2)</f>
        <v>334687.53999999998</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7404591.4900000012</v>
      </c>
      <c r="G52" s="109" t="s">
        <v>6</v>
      </c>
      <c r="H52" s="403">
        <v>1.41E-2</v>
      </c>
      <c r="I52" s="101">
        <f>ROUND(F52*H52,2)</f>
        <v>104404.74</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439092.27999999997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20</v>
      </c>
      <c r="D57" s="143">
        <v>21.04</v>
      </c>
      <c r="E57" s="116">
        <f t="shared" ref="E57:E65" si="10">IF(D$72=0,C57*2,C57+D57)</f>
        <v>41.04</v>
      </c>
      <c r="F57" s="445" t="s">
        <v>439</v>
      </c>
      <c r="G57" s="445">
        <v>251</v>
      </c>
      <c r="H57" s="459">
        <f>'1461'!H57</f>
        <v>1047</v>
      </c>
      <c r="I57" s="101">
        <f>ROUND(E57*H57,2)</f>
        <v>42968.88</v>
      </c>
      <c r="N57" s="621" t="s">
        <v>447</v>
      </c>
      <c r="O57" s="621"/>
      <c r="P57" s="624"/>
      <c r="Q57" s="624"/>
      <c r="R57" s="451" t="s">
        <v>439</v>
      </c>
      <c r="S57" s="451">
        <v>251</v>
      </c>
      <c r="T57" s="462">
        <f>H57</f>
        <v>1047</v>
      </c>
      <c r="U57" s="476">
        <f>ROUND(P57*T57,2)</f>
        <v>0</v>
      </c>
      <c r="V57" s="426"/>
    </row>
    <row r="58" spans="1:22" x14ac:dyDescent="0.25">
      <c r="A58" s="536"/>
      <c r="B58" s="536"/>
      <c r="C58" s="143">
        <v>1.5</v>
      </c>
      <c r="D58" s="143">
        <v>2.5</v>
      </c>
      <c r="E58" s="116">
        <f t="shared" si="10"/>
        <v>4</v>
      </c>
      <c r="F58" s="445" t="s">
        <v>439</v>
      </c>
      <c r="G58" s="445">
        <v>252</v>
      </c>
      <c r="H58" s="459">
        <f>'1461'!H58</f>
        <v>3380</v>
      </c>
      <c r="I58" s="101">
        <f t="shared" ref="I58:I65" si="11">ROUND(E58*H58,2)</f>
        <v>13520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34.5</v>
      </c>
      <c r="D60" s="143">
        <v>30.41</v>
      </c>
      <c r="E60" s="116">
        <f t="shared" si="10"/>
        <v>64.91</v>
      </c>
      <c r="F60" s="446" t="s">
        <v>13</v>
      </c>
      <c r="G60" s="445">
        <v>251</v>
      </c>
      <c r="H60" s="459">
        <f>'1461'!H60</f>
        <v>1173</v>
      </c>
      <c r="I60" s="101">
        <f t="shared" si="11"/>
        <v>76139.429999999993</v>
      </c>
      <c r="N60" s="622"/>
      <c r="O60" s="622"/>
      <c r="P60" s="625"/>
      <c r="Q60" s="625"/>
      <c r="R60" s="40" t="s">
        <v>13</v>
      </c>
      <c r="S60" s="451">
        <v>251</v>
      </c>
      <c r="T60" s="462">
        <f t="shared" si="12"/>
        <v>1173</v>
      </c>
      <c r="U60" s="476">
        <f t="shared" si="13"/>
        <v>0</v>
      </c>
      <c r="V60" s="426"/>
    </row>
    <row r="61" spans="1:22" x14ac:dyDescent="0.25">
      <c r="A61" s="536"/>
      <c r="B61" s="536"/>
      <c r="C61" s="143">
        <v>4.5</v>
      </c>
      <c r="D61" s="143">
        <v>5</v>
      </c>
      <c r="E61" s="116">
        <f t="shared" si="10"/>
        <v>9.5</v>
      </c>
      <c r="F61" s="446" t="s">
        <v>13</v>
      </c>
      <c r="G61" s="445">
        <v>252</v>
      </c>
      <c r="H61" s="459">
        <f>'1461'!H61</f>
        <v>3506</v>
      </c>
      <c r="I61" s="101">
        <f t="shared" si="11"/>
        <v>33307</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60.5</v>
      </c>
      <c r="D66" s="97">
        <f>SUM(D57:D65)</f>
        <v>58.95</v>
      </c>
      <c r="E66" s="97">
        <f>SUM(E57:E65)</f>
        <v>119.44999999999999</v>
      </c>
      <c r="F66" s="523" t="s">
        <v>448</v>
      </c>
      <c r="G66" s="523"/>
      <c r="H66" s="523"/>
      <c r="I66" s="97">
        <f>SUM(I57:I65)</f>
        <v>165935.31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1296.74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6.378E-3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1379.6760000000002</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6.0629999999999998E-3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1296.74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6.9379999999999997E-3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1296.74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6.3850000000000001E-3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1296.74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6.9459999999999999E-3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6.3850000000000001E-3</v>
      </c>
      <c r="I85" s="101">
        <f>ROUND(F85*H85,2)</f>
        <v>285189.45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6.378E-3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6.9459999999999999E-3</v>
      </c>
      <c r="I90" s="101">
        <f>ROUND(F90*H90,2)</f>
        <v>112296.34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6.9379999999999997E-3</v>
      </c>
      <c r="I92" s="101">
        <f t="shared" ref="I92:I96" si="14">ROUND(F92*H92,2)</f>
        <v>69658.210000000006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6.0629999999999998E-3</v>
      </c>
      <c r="I94" s="101">
        <f t="shared" si="14"/>
        <v>1449042.9</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6.0629999999999998E-3</v>
      </c>
      <c r="I96" s="101">
        <f t="shared" si="14"/>
        <v>-9701.08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663.83240000000001</v>
      </c>
      <c r="D101" s="518"/>
      <c r="E101" s="46">
        <f>H8</f>
        <v>1.0442</v>
      </c>
      <c r="F101" s="304">
        <f>'1461'!F101</f>
        <v>947.59</v>
      </c>
      <c r="G101" s="39" t="s">
        <v>12</v>
      </c>
      <c r="H101" s="101">
        <f>ROUND(C101*E101*F101,2)</f>
        <v>656844.55000000005</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715.84359999999992</v>
      </c>
      <c r="D102" s="518"/>
      <c r="E102" s="46">
        <f>H8</f>
        <v>1.0442</v>
      </c>
      <c r="F102" s="304">
        <f>'1461'!F102</f>
        <v>904.74</v>
      </c>
      <c r="G102" s="39" t="s">
        <v>12</v>
      </c>
      <c r="H102" s="101">
        <f>ROUND(C102*E102*F102,2)</f>
        <v>676278.57</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1379.6759999999999</v>
      </c>
      <c r="D104" s="531"/>
      <c r="E104" s="123"/>
      <c r="F104" s="123"/>
      <c r="G104" s="123"/>
      <c r="H104" s="124" t="s">
        <v>100</v>
      </c>
      <c r="I104" s="101">
        <f>IF(A1=75,0,H103+H102+H101)</f>
        <v>1333123.1200000001</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196</v>
      </c>
      <c r="D110" s="143">
        <v>200</v>
      </c>
      <c r="E110" s="116">
        <f>(C110+D110)/2</f>
        <v>198</v>
      </c>
      <c r="F110" s="126" t="s">
        <v>30</v>
      </c>
      <c r="G110" s="305">
        <f>'1461'!G110</f>
        <v>565</v>
      </c>
      <c r="I110" s="101">
        <f>ROUND(G110*E110,2)</f>
        <v>111870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10922005.740000002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10482913.460000003</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10482913.460000003</v>
      </c>
      <c r="I132" s="94">
        <f>ROUND(IF(E30=0,0,IF(E30&gt;250,-(((250/E30)*H132)*IF(G132="H",0.02,0.05)),IF(G132="H",-0.02*H132,-0.05*H132))),2)</f>
        <v>-101050.65</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10820955.090000002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-1840105.11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8980849.9800000023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898085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423095.02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308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J11" s="256"/>
      <c r="K11" s="255"/>
      <c r="L11" s="255"/>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J12" s="254"/>
      <c r="K12" s="255"/>
      <c r="L12" s="255"/>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K13" s="255"/>
      <c r="L13" s="255"/>
      <c r="N13" s="574" t="s">
        <v>36</v>
      </c>
      <c r="O13" s="574"/>
      <c r="P13" s="575" t="s">
        <v>37</v>
      </c>
      <c r="Q13" s="575"/>
      <c r="R13" s="576" t="s">
        <v>38</v>
      </c>
      <c r="S13" s="576"/>
      <c r="T13" s="22" t="s">
        <v>39</v>
      </c>
      <c r="U13" s="23" t="s">
        <v>40</v>
      </c>
    </row>
    <row r="14" spans="1:21" x14ac:dyDescent="0.25">
      <c r="A14" s="541" t="s">
        <v>20</v>
      </c>
      <c r="B14" s="541"/>
      <c r="C14" s="143">
        <v>46.8</v>
      </c>
      <c r="D14" s="141">
        <v>46.52</v>
      </c>
      <c r="E14" s="187">
        <f>IF(D$30=0,C14*2,C14+D14)</f>
        <v>93.32</v>
      </c>
      <c r="F14" s="561">
        <f>'1461'!F14:G14</f>
        <v>1.1220000000000001</v>
      </c>
      <c r="G14" s="561"/>
      <c r="H14" s="145">
        <f>ROUND(E14*F14,4)</f>
        <v>104.705</v>
      </c>
      <c r="I14" s="111">
        <f>ROUND(ROUND(ROUND(H14*$C$8,4)*($H$8),2)*(MAX($H$9,1)),2)</f>
        <v>561941.9</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3.5</v>
      </c>
      <c r="D15" s="143">
        <v>3.41</v>
      </c>
      <c r="E15" s="116">
        <f t="shared" ref="E15:E29" si="1">IF(D$30=0,C15*2,C15+D15)</f>
        <v>6.91</v>
      </c>
      <c r="F15" s="558">
        <f>'1461'!F15:G15</f>
        <v>1.1220000000000001</v>
      </c>
      <c r="G15" s="558"/>
      <c r="H15" s="80">
        <f t="shared" ref="H15:H29" si="2">ROUND(E15*F15,4)</f>
        <v>7.7530000000000001</v>
      </c>
      <c r="I15" s="101">
        <f t="shared" ref="I15:I29" si="3">ROUND(ROUND(ROUND(H15*$C$8,4)*($H$8),2)*(MAX($H$9,1)),2)</f>
        <v>41609.620000000003</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26.41</v>
      </c>
      <c r="D16" s="143">
        <v>26.78</v>
      </c>
      <c r="E16" s="116">
        <f t="shared" si="1"/>
        <v>53.19</v>
      </c>
      <c r="F16" s="558">
        <f>'1461'!F16:G16</f>
        <v>1</v>
      </c>
      <c r="G16" s="558"/>
      <c r="H16" s="80">
        <f t="shared" si="2"/>
        <v>53.19</v>
      </c>
      <c r="I16" s="101">
        <f t="shared" si="3"/>
        <v>285465.73</v>
      </c>
      <c r="N16" s="571" t="s">
        <v>22</v>
      </c>
      <c r="O16" s="571"/>
      <c r="P16" s="572">
        <f t="shared" si="0"/>
        <v>0</v>
      </c>
      <c r="Q16" s="572"/>
      <c r="R16" s="573">
        <v>1</v>
      </c>
      <c r="S16" s="573"/>
      <c r="T16" s="95">
        <f t="shared" si="4"/>
        <v>0</v>
      </c>
      <c r="U16" s="475">
        <f t="shared" si="5"/>
        <v>0</v>
      </c>
    </row>
    <row r="17" spans="1:21" x14ac:dyDescent="0.25">
      <c r="A17" s="520" t="s">
        <v>23</v>
      </c>
      <c r="B17" s="520"/>
      <c r="C17" s="143">
        <v>1.5</v>
      </c>
      <c r="D17" s="143">
        <v>1.5</v>
      </c>
      <c r="E17" s="116">
        <f t="shared" si="1"/>
        <v>3</v>
      </c>
      <c r="F17" s="558">
        <f>'1461'!F17:G17</f>
        <v>1</v>
      </c>
      <c r="G17" s="558"/>
      <c r="H17" s="80">
        <f t="shared" si="2"/>
        <v>3</v>
      </c>
      <c r="I17" s="101">
        <f t="shared" si="3"/>
        <v>16100.72</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65.2</v>
      </c>
      <c r="D26" s="143">
        <v>62.35</v>
      </c>
      <c r="E26" s="116">
        <f t="shared" si="1"/>
        <v>127.55000000000001</v>
      </c>
      <c r="F26" s="558">
        <f>'1461'!F26:G26</f>
        <v>1.208</v>
      </c>
      <c r="G26" s="558"/>
      <c r="H26" s="80">
        <f t="shared" si="2"/>
        <v>154.0804</v>
      </c>
      <c r="I26" s="101">
        <f t="shared" si="3"/>
        <v>826935.03</v>
      </c>
      <c r="N26" s="571" t="s">
        <v>85</v>
      </c>
      <c r="O26" s="571"/>
      <c r="P26" s="572">
        <f t="shared" si="0"/>
        <v>0</v>
      </c>
      <c r="Q26" s="572"/>
      <c r="R26" s="573">
        <v>1</v>
      </c>
      <c r="S26" s="573"/>
      <c r="T26" s="95">
        <f t="shared" si="4"/>
        <v>0</v>
      </c>
      <c r="U26" s="475">
        <f t="shared" si="5"/>
        <v>0</v>
      </c>
    </row>
    <row r="27" spans="1:21" x14ac:dyDescent="0.25">
      <c r="A27" s="520" t="s">
        <v>86</v>
      </c>
      <c r="B27" s="520"/>
      <c r="C27" s="143">
        <v>29.1</v>
      </c>
      <c r="D27" s="143">
        <v>25.83</v>
      </c>
      <c r="E27" s="116">
        <f t="shared" si="1"/>
        <v>54.93</v>
      </c>
      <c r="F27" s="558">
        <f>'1461'!F27:G27</f>
        <v>1.208</v>
      </c>
      <c r="G27" s="558"/>
      <c r="H27" s="80">
        <f t="shared" si="2"/>
        <v>66.355400000000003</v>
      </c>
      <c r="I27" s="101">
        <f t="shared" si="3"/>
        <v>356123.2</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172.51</v>
      </c>
      <c r="D30" s="94">
        <f>SUM(D14:D29)+0</f>
        <v>166.39</v>
      </c>
      <c r="E30" s="94">
        <f>SUM(E14:E29)</f>
        <v>338.90000000000003</v>
      </c>
      <c r="F30" s="539"/>
      <c r="G30" s="539"/>
      <c r="H30" s="99">
        <f>SUM(H14:H29)</f>
        <v>389.0838</v>
      </c>
      <c r="I30" s="94">
        <f>SUM(I14:I29)</f>
        <v>2088176.2</v>
      </c>
      <c r="K30" s="237">
        <f>I30-J30</f>
        <v>2088176.2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389.0838</v>
      </c>
      <c r="F46" s="34"/>
      <c r="G46" s="106"/>
      <c r="H46" s="107" t="s">
        <v>98</v>
      </c>
      <c r="I46" s="94">
        <f>SUM(I44,I30)</f>
        <v>2088176.2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2088176.2</v>
      </c>
      <c r="G51" s="109" t="s">
        <v>6</v>
      </c>
      <c r="H51" s="403">
        <v>4.5199999999999997E-2</v>
      </c>
      <c r="I51" s="101">
        <f>ROUND(F51*H51,2)</f>
        <v>94385.56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2088176.2</v>
      </c>
      <c r="G52" s="109" t="s">
        <v>6</v>
      </c>
      <c r="H52" s="403">
        <v>1.41E-2</v>
      </c>
      <c r="I52" s="101">
        <f>ROUND(F52*H52,2)</f>
        <v>29443.279999999999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123828.84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3</v>
      </c>
      <c r="D57" s="143">
        <v>2.91</v>
      </c>
      <c r="E57" s="116">
        <f t="shared" ref="E57:E65" si="10">IF(D$72=0,C57*2,C57+D57)</f>
        <v>5.91</v>
      </c>
      <c r="F57" s="445" t="s">
        <v>439</v>
      </c>
      <c r="G57" s="445">
        <v>251</v>
      </c>
      <c r="H57" s="459">
        <f>'1461'!H57</f>
        <v>1047</v>
      </c>
      <c r="I57" s="101">
        <f>ROUND(E57*H57,2)</f>
        <v>6187.77</v>
      </c>
      <c r="N57" s="621" t="s">
        <v>447</v>
      </c>
      <c r="O57" s="621"/>
      <c r="P57" s="624"/>
      <c r="Q57" s="624"/>
      <c r="R57" s="451" t="s">
        <v>439</v>
      </c>
      <c r="S57" s="451">
        <v>251</v>
      </c>
      <c r="T57" s="462">
        <f>H57</f>
        <v>1047</v>
      </c>
      <c r="U57" s="476">
        <f>ROUND(P57*T57,2)</f>
        <v>0</v>
      </c>
      <c r="V57" s="426"/>
    </row>
    <row r="58" spans="1:22" x14ac:dyDescent="0.25">
      <c r="A58" s="536"/>
      <c r="B58" s="536"/>
      <c r="C58" s="143">
        <v>0.5</v>
      </c>
      <c r="D58" s="143">
        <v>0.5</v>
      </c>
      <c r="E58" s="116">
        <f t="shared" si="10"/>
        <v>1</v>
      </c>
      <c r="F58" s="445" t="s">
        <v>439</v>
      </c>
      <c r="G58" s="445">
        <v>252</v>
      </c>
      <c r="H58" s="459">
        <f>'1461'!H58</f>
        <v>3380</v>
      </c>
      <c r="I58" s="101">
        <f t="shared" ref="I58:I65" si="11">ROUND(E58*H58,2)</f>
        <v>3380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1.5</v>
      </c>
      <c r="D60" s="143">
        <v>1.5</v>
      </c>
      <c r="E60" s="116">
        <f t="shared" si="10"/>
        <v>3</v>
      </c>
      <c r="F60" s="446" t="s">
        <v>13</v>
      </c>
      <c r="G60" s="445">
        <v>251</v>
      </c>
      <c r="H60" s="459">
        <f>'1461'!H60</f>
        <v>1173</v>
      </c>
      <c r="I60" s="101">
        <f t="shared" si="11"/>
        <v>3519</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v>
      </c>
      <c r="D66" s="97">
        <f>SUM(D57:D65)</f>
        <v>4.91</v>
      </c>
      <c r="E66" s="97">
        <f>SUM(E57:E65)</f>
        <v>9.91</v>
      </c>
      <c r="F66" s="523" t="s">
        <v>448</v>
      </c>
      <c r="G66" s="523"/>
      <c r="H66" s="523"/>
      <c r="I66" s="97">
        <f>SUM(I57:I65)</f>
        <v>13086.77</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338.90000000000003</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1.6670000000000001E-3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389.0838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1.7099999999999999E-3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338.90000000000003</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1.8129999999999999E-3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338.90000000000003</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1.6689999999999999E-3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338.90000000000003</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1.815E-3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1.6689999999999999E-3</v>
      </c>
      <c r="I85" s="101">
        <f>ROUND(F85*H85,2)</f>
        <v>74546.78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1.6670000000000001E-3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1.815E-3</v>
      </c>
      <c r="I90" s="101">
        <f>ROUND(F90*H90,2)</f>
        <v>29343.200000000001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1.8129999999999999E-3</v>
      </c>
      <c r="I92" s="101">
        <f t="shared" ref="I92:I96" si="14">ROUND(F92*H92,2)</f>
        <v>18202.7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1.7099999999999999E-3</v>
      </c>
      <c r="I94" s="101">
        <f t="shared" si="14"/>
        <v>408686.02</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1.7099999999999999E-3</v>
      </c>
      <c r="I96" s="101">
        <f t="shared" si="14"/>
        <v>-2736.08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266.53840000000002</v>
      </c>
      <c r="D101" s="518"/>
      <c r="E101" s="46">
        <f>H8</f>
        <v>1.0442</v>
      </c>
      <c r="F101" s="304">
        <f>'1461'!F101</f>
        <v>947.59</v>
      </c>
      <c r="G101" s="39" t="s">
        <v>12</v>
      </c>
      <c r="H101" s="101">
        <f>ROUND(C101*E101*F101,2)</f>
        <v>263732.68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122.5454</v>
      </c>
      <c r="D102" s="518"/>
      <c r="E102" s="46">
        <f>H8</f>
        <v>1.0442</v>
      </c>
      <c r="F102" s="304">
        <f>'1461'!F102</f>
        <v>904.74</v>
      </c>
      <c r="G102" s="39" t="s">
        <v>12</v>
      </c>
      <c r="H102" s="101">
        <f>ROUND(C102*E102*F102,2)</f>
        <v>115772.26</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389.0838</v>
      </c>
      <c r="D104" s="531"/>
      <c r="E104" s="123"/>
      <c r="F104" s="123"/>
      <c r="G104" s="123"/>
      <c r="H104" s="124" t="s">
        <v>100</v>
      </c>
      <c r="I104" s="101">
        <f>IF(A1=75,0,H103+H102+H101)</f>
        <v>379504.94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v>
      </c>
      <c r="D110" s="143">
        <v>0</v>
      </c>
      <c r="E110" s="116">
        <f>(C110+D110)/2</f>
        <v>0.5</v>
      </c>
      <c r="F110" s="126" t="s">
        <v>30</v>
      </c>
      <c r="G110" s="305">
        <f>'1461'!G110</f>
        <v>565</v>
      </c>
      <c r="I110" s="101">
        <f>ROUND(G110*E110,2)</f>
        <v>282.5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3009093.03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2885264.19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2885264.19</v>
      </c>
      <c r="I132" s="94">
        <f>ROUND(IF(E30=0,0,IF(E30&gt;250,-(((250/E30)*H132)*IF(G132="H",0.02,0.05)),IF(G132="H",-0.02*H132,-0.05*H132))),2)</f>
        <v>-106420.19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2902672.84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v>-492894.36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2409778.48</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240977.85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37843.019999999997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rgb="FFFFCCCC"/>
  </sheetPr>
  <dimension ref="A1:V218"/>
  <sheetViews>
    <sheetView showGridLines="0" zoomScaleNormal="100" workbookViewId="0">
      <pane ySplit="1" topLeftCell="A111"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328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J11" s="256"/>
      <c r="K11" s="255"/>
      <c r="L11" s="255"/>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J12" s="254"/>
      <c r="K12" s="255"/>
      <c r="L12" s="255"/>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K13" s="255"/>
      <c r="L13" s="255"/>
      <c r="N13" s="574" t="s">
        <v>36</v>
      </c>
      <c r="O13" s="574"/>
      <c r="P13" s="575" t="s">
        <v>37</v>
      </c>
      <c r="Q13" s="575"/>
      <c r="R13" s="576" t="s">
        <v>38</v>
      </c>
      <c r="S13" s="576"/>
      <c r="T13" s="22" t="s">
        <v>39</v>
      </c>
      <c r="U13" s="23" t="s">
        <v>40</v>
      </c>
    </row>
    <row r="14" spans="1:21" x14ac:dyDescent="0.25">
      <c r="A14" s="541" t="s">
        <v>20</v>
      </c>
      <c r="B14" s="541"/>
      <c r="C14" s="143">
        <v>81.58</v>
      </c>
      <c r="D14" s="141">
        <v>81.75</v>
      </c>
      <c r="E14" s="187">
        <f>IF(D$30=0,C14*2,C14+D14)</f>
        <v>163.32999999999998</v>
      </c>
      <c r="F14" s="561">
        <f>'1461'!F14:G14</f>
        <v>1.1220000000000001</v>
      </c>
      <c r="G14" s="561"/>
      <c r="H14" s="145">
        <f>ROUND(E14*F14,4)</f>
        <v>183.25630000000001</v>
      </c>
      <c r="I14" s="111">
        <f>ROUND(ROUND(ROUND(H14*$C$8,4)*($H$8),2)*(MAX($H$9,1)),2)</f>
        <v>983519.35</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5.5</v>
      </c>
      <c r="D15" s="143">
        <v>5.5</v>
      </c>
      <c r="E15" s="116">
        <f t="shared" ref="E15:E29" si="1">IF(D$30=0,C15*2,C15+D15)</f>
        <v>11</v>
      </c>
      <c r="F15" s="558">
        <f>'1461'!F15:G15</f>
        <v>1.1220000000000001</v>
      </c>
      <c r="G15" s="558"/>
      <c r="H15" s="80">
        <f t="shared" ref="H15:H29" si="2">ROUND(E15*F15,4)</f>
        <v>12.342000000000001</v>
      </c>
      <c r="I15" s="101">
        <f t="shared" ref="I15:I29" si="3">ROUND(ROUND(ROUND(H15*$C$8,4)*($H$8),2)*(MAX($H$9,1)),2)</f>
        <v>66238.350000000006</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96.88</v>
      </c>
      <c r="D16" s="143">
        <v>101.5</v>
      </c>
      <c r="E16" s="116">
        <f t="shared" si="1"/>
        <v>198.38</v>
      </c>
      <c r="F16" s="558">
        <f>'1461'!F16:G16</f>
        <v>1</v>
      </c>
      <c r="G16" s="558"/>
      <c r="H16" s="80">
        <f t="shared" si="2"/>
        <v>198.38</v>
      </c>
      <c r="I16" s="101">
        <f t="shared" si="3"/>
        <v>1064686.83</v>
      </c>
      <c r="N16" s="571" t="s">
        <v>22</v>
      </c>
      <c r="O16" s="571"/>
      <c r="P16" s="572">
        <f t="shared" si="0"/>
        <v>0</v>
      </c>
      <c r="Q16" s="572"/>
      <c r="R16" s="573">
        <v>1</v>
      </c>
      <c r="S16" s="573"/>
      <c r="T16" s="95">
        <f t="shared" si="4"/>
        <v>0</v>
      </c>
      <c r="U16" s="475">
        <f t="shared" si="5"/>
        <v>0</v>
      </c>
    </row>
    <row r="17" spans="1:21" x14ac:dyDescent="0.25">
      <c r="A17" s="520" t="s">
        <v>23</v>
      </c>
      <c r="B17" s="520"/>
      <c r="C17" s="143">
        <v>19.78</v>
      </c>
      <c r="D17" s="143">
        <v>18.059999999999999</v>
      </c>
      <c r="E17" s="116">
        <f t="shared" si="1"/>
        <v>37.840000000000003</v>
      </c>
      <c r="F17" s="558">
        <f>'1461'!F17:G17</f>
        <v>1</v>
      </c>
      <c r="G17" s="558"/>
      <c r="H17" s="80">
        <f t="shared" si="2"/>
        <v>37.840000000000003</v>
      </c>
      <c r="I17" s="101">
        <f t="shared" si="3"/>
        <v>203083.73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14.92</v>
      </c>
      <c r="D26" s="143">
        <v>17.09</v>
      </c>
      <c r="E26" s="116">
        <f t="shared" si="1"/>
        <v>32.01</v>
      </c>
      <c r="F26" s="558">
        <f>'1461'!F26:G26</f>
        <v>1.208</v>
      </c>
      <c r="G26" s="558"/>
      <c r="H26" s="80">
        <f t="shared" si="2"/>
        <v>38.668100000000003</v>
      </c>
      <c r="I26" s="101">
        <f t="shared" si="3"/>
        <v>207528.06</v>
      </c>
      <c r="N26" s="571" t="s">
        <v>85</v>
      </c>
      <c r="O26" s="571"/>
      <c r="P26" s="572">
        <f t="shared" si="0"/>
        <v>0</v>
      </c>
      <c r="Q26" s="572"/>
      <c r="R26" s="573">
        <v>1</v>
      </c>
      <c r="S26" s="573"/>
      <c r="T26" s="95">
        <f t="shared" si="4"/>
        <v>0</v>
      </c>
      <c r="U26" s="475">
        <f t="shared" si="5"/>
        <v>0</v>
      </c>
    </row>
    <row r="27" spans="1:21" x14ac:dyDescent="0.25">
      <c r="A27" s="520" t="s">
        <v>86</v>
      </c>
      <c r="B27" s="520"/>
      <c r="C27" s="143">
        <v>12.66</v>
      </c>
      <c r="D27" s="143">
        <v>12.98</v>
      </c>
      <c r="E27" s="116">
        <f t="shared" si="1"/>
        <v>25.64</v>
      </c>
      <c r="F27" s="558">
        <f>'1461'!F27:G27</f>
        <v>1.208</v>
      </c>
      <c r="G27" s="558"/>
      <c r="H27" s="80">
        <f t="shared" si="2"/>
        <v>30.973099999999999</v>
      </c>
      <c r="I27" s="101">
        <f t="shared" si="3"/>
        <v>166229.72</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231.31999999999996</v>
      </c>
      <c r="D30" s="94">
        <f>SUM(D14:D29)</f>
        <v>236.88</v>
      </c>
      <c r="E30" s="94">
        <f>SUM(E14:E29)</f>
        <v>468.19999999999993</v>
      </c>
      <c r="F30" s="539"/>
      <c r="G30" s="539"/>
      <c r="H30" s="99">
        <f>SUM(H14:H29)</f>
        <v>501.45949999999999</v>
      </c>
      <c r="I30" s="94">
        <f>SUM(I14:I29)</f>
        <v>2691286.0400000005</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501.45949999999999</v>
      </c>
      <c r="F46" s="34"/>
      <c r="G46" s="106"/>
      <c r="H46" s="107" t="s">
        <v>98</v>
      </c>
      <c r="I46" s="94">
        <f>SUM(I44,I30)</f>
        <v>2691286.0400000005</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2691286.0400000005</v>
      </c>
      <c r="G51" s="109" t="s">
        <v>6</v>
      </c>
      <c r="H51" s="403">
        <v>4.5199999999999997E-2</v>
      </c>
      <c r="I51" s="101">
        <f>ROUND(F51*H51,2)</f>
        <v>121646.13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2691286.0400000005</v>
      </c>
      <c r="G52" s="109" t="s">
        <v>6</v>
      </c>
      <c r="H52" s="403">
        <v>1.41E-2</v>
      </c>
      <c r="I52" s="101">
        <f>ROUND(F52*H52,2)</f>
        <v>37947.129999999997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159593.26</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4</v>
      </c>
      <c r="D57" s="143">
        <v>4.4800000000000004</v>
      </c>
      <c r="E57" s="116">
        <f t="shared" ref="E57:E65" si="10">IF(D$72=0,C57*2,C57+D57)</f>
        <v>8.48</v>
      </c>
      <c r="F57" s="445" t="s">
        <v>439</v>
      </c>
      <c r="G57" s="445">
        <v>251</v>
      </c>
      <c r="H57" s="459">
        <f>'1461'!H57</f>
        <v>1047</v>
      </c>
      <c r="I57" s="101">
        <f>ROUND(E57*H57,2)</f>
        <v>8878.56</v>
      </c>
      <c r="N57" s="621" t="s">
        <v>447</v>
      </c>
      <c r="O57" s="621"/>
      <c r="P57" s="624"/>
      <c r="Q57" s="624"/>
      <c r="R57" s="451" t="s">
        <v>439</v>
      </c>
      <c r="S57" s="451">
        <v>251</v>
      </c>
      <c r="T57" s="462">
        <f>H57</f>
        <v>1047</v>
      </c>
      <c r="U57" s="476">
        <f>ROUND(P57*T57,2)</f>
        <v>0</v>
      </c>
      <c r="V57" s="426"/>
    </row>
    <row r="58" spans="1:22" x14ac:dyDescent="0.25">
      <c r="A58" s="536"/>
      <c r="B58" s="536"/>
      <c r="C58" s="143">
        <v>1</v>
      </c>
      <c r="D58" s="143">
        <v>0.51</v>
      </c>
      <c r="E58" s="116">
        <f t="shared" si="10"/>
        <v>1.51</v>
      </c>
      <c r="F58" s="445" t="s">
        <v>439</v>
      </c>
      <c r="G58" s="445">
        <v>252</v>
      </c>
      <c r="H58" s="459">
        <f>'1461'!H58</f>
        <v>3380</v>
      </c>
      <c r="I58" s="101">
        <f t="shared" ref="I58:I65" si="11">ROUND(E58*H58,2)</f>
        <v>5103.8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0.5</v>
      </c>
      <c r="D59" s="143">
        <v>0.51</v>
      </c>
      <c r="E59" s="116">
        <f t="shared" si="10"/>
        <v>1.01</v>
      </c>
      <c r="F59" s="445" t="s">
        <v>439</v>
      </c>
      <c r="G59" s="445">
        <v>253</v>
      </c>
      <c r="H59" s="459">
        <f>'1461'!H59</f>
        <v>6896</v>
      </c>
      <c r="I59" s="101">
        <f t="shared" si="11"/>
        <v>6964.96</v>
      </c>
      <c r="N59" s="622"/>
      <c r="O59" s="622"/>
      <c r="P59" s="625"/>
      <c r="Q59" s="625"/>
      <c r="R59" s="451" t="s">
        <v>439</v>
      </c>
      <c r="S59" s="451">
        <v>253</v>
      </c>
      <c r="T59" s="462">
        <f t="shared" si="12"/>
        <v>6896</v>
      </c>
      <c r="U59" s="476">
        <f t="shared" si="13"/>
        <v>0</v>
      </c>
      <c r="V59" s="426"/>
    </row>
    <row r="60" spans="1:22" x14ac:dyDescent="0.25">
      <c r="A60" s="536"/>
      <c r="B60" s="536"/>
      <c r="C60" s="143">
        <v>17.77</v>
      </c>
      <c r="D60" s="143">
        <v>16.14</v>
      </c>
      <c r="E60" s="116">
        <f t="shared" si="10"/>
        <v>33.909999999999997</v>
      </c>
      <c r="F60" s="446" t="s">
        <v>13</v>
      </c>
      <c r="G60" s="445">
        <v>251</v>
      </c>
      <c r="H60" s="459">
        <f>'1461'!H60</f>
        <v>1173</v>
      </c>
      <c r="I60" s="101">
        <f t="shared" si="11"/>
        <v>39776.43</v>
      </c>
      <c r="N60" s="622"/>
      <c r="O60" s="622"/>
      <c r="P60" s="625"/>
      <c r="Q60" s="625"/>
      <c r="R60" s="40" t="s">
        <v>13</v>
      </c>
      <c r="S60" s="451">
        <v>251</v>
      </c>
      <c r="T60" s="462">
        <f t="shared" si="12"/>
        <v>1173</v>
      </c>
      <c r="U60" s="476">
        <f t="shared" si="13"/>
        <v>0</v>
      </c>
      <c r="V60" s="426"/>
    </row>
    <row r="61" spans="1:22" x14ac:dyDescent="0.25">
      <c r="A61" s="536"/>
      <c r="B61" s="536"/>
      <c r="C61" s="143">
        <v>2.0099999999999998</v>
      </c>
      <c r="D61" s="143">
        <v>1.92</v>
      </c>
      <c r="E61" s="116">
        <f t="shared" si="10"/>
        <v>3.9299999999999997</v>
      </c>
      <c r="F61" s="446" t="s">
        <v>13</v>
      </c>
      <c r="G61" s="445">
        <v>252</v>
      </c>
      <c r="H61" s="459">
        <f>'1461'!H61</f>
        <v>3506</v>
      </c>
      <c r="I61" s="101">
        <f t="shared" si="11"/>
        <v>13778.58</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25.28</v>
      </c>
      <c r="D66" s="97">
        <f>SUM(D57:D65)</f>
        <v>23.560000000000002</v>
      </c>
      <c r="E66" s="97">
        <f>SUM(E57:E65)</f>
        <v>48.839999999999996</v>
      </c>
      <c r="F66" s="523" t="s">
        <v>448</v>
      </c>
      <c r="G66" s="523"/>
      <c r="H66" s="523"/>
      <c r="I66" s="97">
        <f>SUM(I57:I65)</f>
        <v>74502.33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468.19999999999993</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2.3029999999999999E-3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501.45949999999999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2.2039999999999998E-3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468.19999999999993</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2.5049999999999998E-3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468.19999999999993</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2.3050000000000002E-3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468.19999999999993</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2.5079999999999998E-3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2.3050000000000002E-3</v>
      </c>
      <c r="I85" s="101">
        <f>ROUND(F85*H85,2)</f>
        <v>102954.06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2.3029999999999999E-3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2.5079999999999998E-3</v>
      </c>
      <c r="I90" s="101">
        <f>ROUND(F90*H90,2)</f>
        <v>40546.97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2.5049999999999998E-3</v>
      </c>
      <c r="I92" s="101">
        <f t="shared" ref="I92:I96" si="14">ROUND(F92*H92,2)</f>
        <v>25150.45</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2.2039999999999998E-3</v>
      </c>
      <c r="I94" s="101">
        <f t="shared" si="14"/>
        <v>526750.87</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2.2039999999999998E-3</v>
      </c>
      <c r="I96" s="101">
        <f t="shared" si="14"/>
        <v>-3526.5</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234.26640000000003</v>
      </c>
      <c r="D101" s="518"/>
      <c r="E101" s="46">
        <f>H8</f>
        <v>1.0442</v>
      </c>
      <c r="F101" s="304">
        <f>'1461'!F101</f>
        <v>947.59</v>
      </c>
      <c r="G101" s="39" t="s">
        <v>12</v>
      </c>
      <c r="H101" s="101">
        <f>ROUND(C101*E101*F101,2)</f>
        <v>231800.39</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267.19310000000002</v>
      </c>
      <c r="D102" s="518"/>
      <c r="E102" s="46">
        <f>H8</f>
        <v>1.0442</v>
      </c>
      <c r="F102" s="304">
        <f>'1461'!F102</f>
        <v>904.74</v>
      </c>
      <c r="G102" s="39" t="s">
        <v>12</v>
      </c>
      <c r="H102" s="101">
        <f>ROUND(C102*E102*F102,2)</f>
        <v>252425.21</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501.45950000000005</v>
      </c>
      <c r="D104" s="531"/>
      <c r="E104" s="123"/>
      <c r="F104" s="123"/>
      <c r="G104" s="123"/>
      <c r="H104" s="124" t="s">
        <v>100</v>
      </c>
      <c r="I104" s="101">
        <f>IF(A1=75,0,H103+H102+H101)</f>
        <v>484225.6</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3941889.8200000012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3782296.5600000015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3782296.5600000015</v>
      </c>
      <c r="I132" s="94">
        <f>ROUND(IF(E30=0,0,IF(E30&gt;250,-(((250/E30)*H132)*IF(G132="H",0.02,0.05)),IF(G132="H",-0.02*H132,-0.05*H132))),2)</f>
        <v>-100979.72</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3840910.100000001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v>-652963.75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3187946.350000001</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318794.64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88135.11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34.5</v>
      </c>
      <c r="D16" s="143">
        <v>32.43</v>
      </c>
      <c r="E16" s="116">
        <f t="shared" si="1"/>
        <v>66.930000000000007</v>
      </c>
      <c r="F16" s="558">
        <f>'1461'!F16:G16</f>
        <v>1</v>
      </c>
      <c r="G16" s="558"/>
      <c r="H16" s="80">
        <f t="shared" si="2"/>
        <v>66.930000000000007</v>
      </c>
      <c r="I16" s="101">
        <f t="shared" si="3"/>
        <v>359207.02</v>
      </c>
      <c r="N16" s="571" t="s">
        <v>22</v>
      </c>
      <c r="O16" s="571"/>
      <c r="P16" s="572">
        <f t="shared" si="0"/>
        <v>0</v>
      </c>
      <c r="Q16" s="572"/>
      <c r="R16" s="573">
        <v>1</v>
      </c>
      <c r="S16" s="573"/>
      <c r="T16" s="95">
        <f t="shared" si="4"/>
        <v>0</v>
      </c>
      <c r="U16" s="475">
        <f t="shared" si="5"/>
        <v>0</v>
      </c>
    </row>
    <row r="17" spans="1:21" x14ac:dyDescent="0.25">
      <c r="A17" s="520" t="s">
        <v>23</v>
      </c>
      <c r="B17" s="520"/>
      <c r="C17" s="143">
        <v>6.94</v>
      </c>
      <c r="D17" s="143">
        <v>7.28</v>
      </c>
      <c r="E17" s="116">
        <f t="shared" si="1"/>
        <v>14.22</v>
      </c>
      <c r="F17" s="558">
        <f>'1461'!F17:G17</f>
        <v>1</v>
      </c>
      <c r="G17" s="558"/>
      <c r="H17" s="80">
        <f t="shared" si="2"/>
        <v>14.22</v>
      </c>
      <c r="I17" s="101">
        <f t="shared" si="3"/>
        <v>76317.399999999994</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41.44</v>
      </c>
      <c r="D30" s="94">
        <f>SUM(D14:D29)</f>
        <v>39.71</v>
      </c>
      <c r="E30" s="94">
        <f>SUM(E14:E29)</f>
        <v>81.150000000000006</v>
      </c>
      <c r="F30" s="539"/>
      <c r="G30" s="539"/>
      <c r="H30" s="99">
        <f>SUM(H14:H29)</f>
        <v>81.150000000000006</v>
      </c>
      <c r="I30" s="94">
        <f>SUM(I14:I29)</f>
        <v>435524.42000000004</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81.150000000000006</v>
      </c>
      <c r="F46" s="34"/>
      <c r="G46" s="106"/>
      <c r="H46" s="107" t="s">
        <v>98</v>
      </c>
      <c r="I46" s="94">
        <f>SUM(I44,I30)</f>
        <v>435524.42000000004</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435524.42000000004</v>
      </c>
      <c r="G51" s="109" t="s">
        <v>6</v>
      </c>
      <c r="H51" s="403">
        <v>4.5199999999999997E-2</v>
      </c>
      <c r="I51" s="101">
        <f>ROUND(F51*H51,2)</f>
        <v>19685.7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435524.42000000004</v>
      </c>
      <c r="G52" s="109" t="s">
        <v>6</v>
      </c>
      <c r="H52" s="403">
        <v>1.41E-2</v>
      </c>
      <c r="I52" s="101">
        <f>ROUND(F52*H52,2)</f>
        <v>6140.89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25826.59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5.93</v>
      </c>
      <c r="D60" s="143">
        <v>6.27</v>
      </c>
      <c r="E60" s="116">
        <f t="shared" si="10"/>
        <v>12.2</v>
      </c>
      <c r="F60" s="446" t="s">
        <v>13</v>
      </c>
      <c r="G60" s="445">
        <v>251</v>
      </c>
      <c r="H60" s="459">
        <f>'1461'!H60</f>
        <v>1173</v>
      </c>
      <c r="I60" s="101">
        <f t="shared" si="11"/>
        <v>14310.6</v>
      </c>
      <c r="N60" s="622"/>
      <c r="O60" s="622"/>
      <c r="P60" s="625"/>
      <c r="Q60" s="625"/>
      <c r="R60" s="40" t="s">
        <v>13</v>
      </c>
      <c r="S60" s="451">
        <v>251</v>
      </c>
      <c r="T60" s="462">
        <f t="shared" si="12"/>
        <v>1173</v>
      </c>
      <c r="U60" s="476">
        <f t="shared" si="13"/>
        <v>0</v>
      </c>
      <c r="V60" s="426"/>
    </row>
    <row r="61" spans="1:22" x14ac:dyDescent="0.25">
      <c r="A61" s="536"/>
      <c r="B61" s="536"/>
      <c r="C61" s="143">
        <v>1.01</v>
      </c>
      <c r="D61" s="143">
        <v>1.01</v>
      </c>
      <c r="E61" s="116">
        <f t="shared" si="10"/>
        <v>2.02</v>
      </c>
      <c r="F61" s="446" t="s">
        <v>13</v>
      </c>
      <c r="G61" s="445">
        <v>252</v>
      </c>
      <c r="H61" s="459">
        <f>'1461'!H61</f>
        <v>3506</v>
      </c>
      <c r="I61" s="101">
        <f t="shared" si="11"/>
        <v>7082.12</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6.9399999999999995</v>
      </c>
      <c r="D66" s="97">
        <f>SUM(D57:D65)</f>
        <v>7.2799999999999994</v>
      </c>
      <c r="E66" s="97">
        <f>SUM(E57:E65)</f>
        <v>14.219999999999999</v>
      </c>
      <c r="F66" s="523" t="s">
        <v>448</v>
      </c>
      <c r="G66" s="523"/>
      <c r="H66" s="523"/>
      <c r="I66" s="97">
        <f>SUM(I57:I65)</f>
        <v>21392.720000000001</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81.150000000000006</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3.9899999999999999E-4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81.150000000000006</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3.57E-4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81.150000000000006</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4.3399999999999998E-4</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81.150000000000006</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4.0000000000000002E-4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81.150000000000006</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4.35E-4</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4.0000000000000002E-4</v>
      </c>
      <c r="I85" s="101">
        <f>ROUND(F85*H85,2)</f>
        <v>17866.21</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3.9899999999999999E-4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4.35E-4</v>
      </c>
      <c r="I90" s="101">
        <f>ROUND(F90*H90,2)</f>
        <v>7032.67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4.3399999999999998E-4</v>
      </c>
      <c r="I92" s="101">
        <f t="shared" ref="I92:I96" si="14">ROUND(F92*H92,2)</f>
        <v>4357.3999999999996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3.57E-4</v>
      </c>
      <c r="I94" s="101">
        <f t="shared" si="14"/>
        <v>85322.17</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3.57E-4</v>
      </c>
      <c r="I96" s="101">
        <f t="shared" si="14"/>
        <v>-571.22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81.150000000000006</v>
      </c>
      <c r="D102" s="518"/>
      <c r="E102" s="46">
        <f>H8</f>
        <v>1.0442</v>
      </c>
      <c r="F102" s="304">
        <f>'1461'!F102</f>
        <v>904.74</v>
      </c>
      <c r="G102" s="39" t="s">
        <v>12</v>
      </c>
      <c r="H102" s="101">
        <f>ROUND(C102*E102*F102,2)</f>
        <v>76664.800000000003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81.150000000000006</v>
      </c>
      <c r="D104" s="531"/>
      <c r="E104" s="123"/>
      <c r="F104" s="123"/>
      <c r="G104" s="123"/>
      <c r="H104" s="124" t="s">
        <v>100</v>
      </c>
      <c r="I104" s="101">
        <f>IF(A1=75,0,H103+H102+H101)</f>
        <v>76664.800000000003</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647589.17000000016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621762.58000000019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621762.58000000019</v>
      </c>
      <c r="I132" s="94">
        <f>ROUND(IF(E30=0,0,IF(E30&gt;250,-(((250/E30)*H132)*IF(G132="H",0.02,0.05)),IF(G132="H",-0.02*H132,-0.05*H132))),2)</f>
        <v>-12435.25</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635153.92000000016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-108168.41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526985.51000000013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52698.55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134</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150.74</v>
      </c>
      <c r="D14" s="141">
        <v>146.88999999999999</v>
      </c>
      <c r="E14" s="187">
        <f>IF(D$30=0,C14*2,C14+D14)</f>
        <v>297.63</v>
      </c>
      <c r="F14" s="561">
        <f>'1461'!F14:G14</f>
        <v>1.1220000000000001</v>
      </c>
      <c r="G14" s="561"/>
      <c r="H14" s="145">
        <f>ROUND(E14*F14,4)</f>
        <v>333.9409</v>
      </c>
      <c r="I14" s="111">
        <f>ROUND(ROUND(ROUND(H14*$C$8,4)*($H$8),2)*(MAX($H$9,1)),2)</f>
        <v>1792229.44</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8</v>
      </c>
      <c r="D15" s="143">
        <v>7.97</v>
      </c>
      <c r="E15" s="116">
        <f t="shared" ref="E15:E29" si="1">IF(D$30=0,C15*2,C15+D15)</f>
        <v>15.969999999999999</v>
      </c>
      <c r="F15" s="558">
        <f>'1461'!F15:G15</f>
        <v>1.1220000000000001</v>
      </c>
      <c r="G15" s="558"/>
      <c r="H15" s="80">
        <f t="shared" ref="H15:H29" si="2">ROUND(E15*F15,4)</f>
        <v>17.918299999999999</v>
      </c>
      <c r="I15" s="101">
        <f t="shared" ref="I15:I29" si="3">ROUND(ROUND(ROUND(H15*$C$8,4)*($H$8),2)*(MAX($H$9,1)),2)</f>
        <v>96165.83</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193.55</v>
      </c>
      <c r="D16" s="143">
        <v>189.08</v>
      </c>
      <c r="E16" s="116">
        <f t="shared" si="1"/>
        <v>382.63</v>
      </c>
      <c r="F16" s="558">
        <f>'1461'!F16:G16</f>
        <v>1</v>
      </c>
      <c r="G16" s="558"/>
      <c r="H16" s="80">
        <f t="shared" si="2"/>
        <v>382.63</v>
      </c>
      <c r="I16" s="101">
        <f t="shared" si="3"/>
        <v>2053539.27</v>
      </c>
      <c r="N16" s="571" t="s">
        <v>22</v>
      </c>
      <c r="O16" s="571"/>
      <c r="P16" s="572">
        <f t="shared" si="0"/>
        <v>0</v>
      </c>
      <c r="Q16" s="572"/>
      <c r="R16" s="573">
        <v>1</v>
      </c>
      <c r="S16" s="573"/>
      <c r="T16" s="95">
        <f t="shared" si="4"/>
        <v>0</v>
      </c>
      <c r="U16" s="475">
        <f t="shared" si="5"/>
        <v>0</v>
      </c>
    </row>
    <row r="17" spans="1:21" x14ac:dyDescent="0.25">
      <c r="A17" s="520" t="s">
        <v>23</v>
      </c>
      <c r="B17" s="520"/>
      <c r="C17" s="143">
        <v>23.5</v>
      </c>
      <c r="D17" s="143">
        <v>20.94</v>
      </c>
      <c r="E17" s="116">
        <f t="shared" si="1"/>
        <v>44.44</v>
      </c>
      <c r="F17" s="558">
        <f>'1461'!F17:G17</f>
        <v>1</v>
      </c>
      <c r="G17" s="558"/>
      <c r="H17" s="80">
        <f t="shared" si="2"/>
        <v>44.44</v>
      </c>
      <c r="I17" s="101">
        <f t="shared" si="3"/>
        <v>238505.31</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21.28</v>
      </c>
      <c r="D26" s="143">
        <v>19.68</v>
      </c>
      <c r="E26" s="116">
        <f t="shared" si="1"/>
        <v>40.96</v>
      </c>
      <c r="F26" s="558">
        <f>'1461'!F26:G26</f>
        <v>1.208</v>
      </c>
      <c r="G26" s="558"/>
      <c r="H26" s="80">
        <f t="shared" si="2"/>
        <v>49.479700000000001</v>
      </c>
      <c r="I26" s="101">
        <f t="shared" si="3"/>
        <v>265552.90000000002</v>
      </c>
      <c r="N26" s="571" t="s">
        <v>85</v>
      </c>
      <c r="O26" s="571"/>
      <c r="P26" s="572">
        <f t="shared" si="0"/>
        <v>0</v>
      </c>
      <c r="Q26" s="572"/>
      <c r="R26" s="573">
        <v>1</v>
      </c>
      <c r="S26" s="573"/>
      <c r="T26" s="95">
        <f t="shared" si="4"/>
        <v>0</v>
      </c>
      <c r="U26" s="475">
        <f t="shared" si="5"/>
        <v>0</v>
      </c>
    </row>
    <row r="27" spans="1:21" x14ac:dyDescent="0.25">
      <c r="A27" s="520" t="s">
        <v>86</v>
      </c>
      <c r="B27" s="520"/>
      <c r="C27" s="143">
        <v>10.56</v>
      </c>
      <c r="D27" s="143">
        <v>13.52</v>
      </c>
      <c r="E27" s="116">
        <f t="shared" si="1"/>
        <v>24.08</v>
      </c>
      <c r="F27" s="558">
        <f>'1461'!F27:G27</f>
        <v>1.208</v>
      </c>
      <c r="G27" s="558"/>
      <c r="H27" s="80">
        <f t="shared" si="2"/>
        <v>29.0886</v>
      </c>
      <c r="I27" s="101">
        <f t="shared" si="3"/>
        <v>156115.78</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407.63000000000005</v>
      </c>
      <c r="D30" s="94">
        <f>SUM(D14:D29)</f>
        <v>398.08</v>
      </c>
      <c r="E30" s="94">
        <f>SUM(E14:E29)</f>
        <v>805.71000000000015</v>
      </c>
      <c r="F30" s="539"/>
      <c r="G30" s="539"/>
      <c r="H30" s="99">
        <f>SUM(H14:H29)</f>
        <v>857.49750000000006</v>
      </c>
      <c r="I30" s="94">
        <f>SUM(I14:I29)</f>
        <v>4602108.53</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857.49750000000006</v>
      </c>
      <c r="F46" s="34"/>
      <c r="G46" s="106"/>
      <c r="H46" s="107" t="s">
        <v>98</v>
      </c>
      <c r="I46" s="94">
        <f>SUM(I44,I30)</f>
        <v>4602108.53</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4602108.53</v>
      </c>
      <c r="G51" s="109" t="s">
        <v>6</v>
      </c>
      <c r="H51" s="403">
        <v>4.5199999999999997E-2</v>
      </c>
      <c r="I51" s="101">
        <f>ROUND(F51*H51,2)</f>
        <v>208015.31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4602108.53</v>
      </c>
      <c r="G52" s="109" t="s">
        <v>6</v>
      </c>
      <c r="H52" s="403">
        <v>1.41E-2</v>
      </c>
      <c r="I52" s="101">
        <f>ROUND(F52*H52,2)</f>
        <v>64889.73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272905.03999999998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6</v>
      </c>
      <c r="D57" s="143">
        <v>7.56</v>
      </c>
      <c r="E57" s="116">
        <f t="shared" ref="E57:E65" si="10">IF(D$72=0,C57*2,C57+D57)</f>
        <v>13.559999999999999</v>
      </c>
      <c r="F57" s="445" t="s">
        <v>439</v>
      </c>
      <c r="G57" s="445">
        <v>251</v>
      </c>
      <c r="H57" s="459">
        <f>'1461'!H57</f>
        <v>1047</v>
      </c>
      <c r="I57" s="101">
        <f>ROUND(E57*H57,2)</f>
        <v>14197.32</v>
      </c>
      <c r="N57" s="621" t="s">
        <v>447</v>
      </c>
      <c r="O57" s="621"/>
      <c r="P57" s="624"/>
      <c r="Q57" s="624"/>
      <c r="R57" s="451" t="s">
        <v>439</v>
      </c>
      <c r="S57" s="451">
        <v>251</v>
      </c>
      <c r="T57" s="462">
        <f>H57</f>
        <v>1047</v>
      </c>
      <c r="U57" s="476">
        <f>ROUND(P57*T57,2)</f>
        <v>0</v>
      </c>
      <c r="V57" s="426"/>
    </row>
    <row r="58" spans="1:22" x14ac:dyDescent="0.25">
      <c r="A58" s="536"/>
      <c r="B58" s="536"/>
      <c r="C58" s="143">
        <v>1</v>
      </c>
      <c r="D58" s="143">
        <v>0</v>
      </c>
      <c r="E58" s="116">
        <f t="shared" si="10"/>
        <v>1</v>
      </c>
      <c r="F58" s="445" t="s">
        <v>439</v>
      </c>
      <c r="G58" s="445">
        <v>252</v>
      </c>
      <c r="H58" s="459">
        <f>'1461'!H58</f>
        <v>3380</v>
      </c>
      <c r="I58" s="101">
        <f t="shared" ref="I58:I65" si="11">ROUND(E58*H58,2)</f>
        <v>3380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1</v>
      </c>
      <c r="D59" s="143">
        <v>0.41</v>
      </c>
      <c r="E59" s="116">
        <f t="shared" si="10"/>
        <v>1.41</v>
      </c>
      <c r="F59" s="445" t="s">
        <v>439</v>
      </c>
      <c r="G59" s="445">
        <v>253</v>
      </c>
      <c r="H59" s="459">
        <f>'1461'!H59</f>
        <v>6896</v>
      </c>
      <c r="I59" s="101">
        <f t="shared" si="11"/>
        <v>9723.36</v>
      </c>
      <c r="N59" s="622"/>
      <c r="O59" s="622"/>
      <c r="P59" s="625"/>
      <c r="Q59" s="625"/>
      <c r="R59" s="451" t="s">
        <v>439</v>
      </c>
      <c r="S59" s="451">
        <v>253</v>
      </c>
      <c r="T59" s="462">
        <f t="shared" si="12"/>
        <v>6896</v>
      </c>
      <c r="U59" s="476">
        <f t="shared" si="13"/>
        <v>0</v>
      </c>
      <c r="V59" s="426"/>
    </row>
    <row r="60" spans="1:22" x14ac:dyDescent="0.25">
      <c r="A60" s="536"/>
      <c r="B60" s="536"/>
      <c r="C60" s="143">
        <v>23.5</v>
      </c>
      <c r="D60" s="143">
        <v>20.54</v>
      </c>
      <c r="E60" s="116">
        <f t="shared" si="10"/>
        <v>44.04</v>
      </c>
      <c r="F60" s="446" t="s">
        <v>13</v>
      </c>
      <c r="G60" s="445">
        <v>251</v>
      </c>
      <c r="H60" s="459">
        <f>'1461'!H60</f>
        <v>1173</v>
      </c>
      <c r="I60" s="101">
        <f t="shared" si="11"/>
        <v>51658.92</v>
      </c>
      <c r="N60" s="622"/>
      <c r="O60" s="622"/>
      <c r="P60" s="625"/>
      <c r="Q60" s="625"/>
      <c r="R60" s="40" t="s">
        <v>13</v>
      </c>
      <c r="S60" s="451">
        <v>251</v>
      </c>
      <c r="T60" s="462">
        <f t="shared" si="12"/>
        <v>1173</v>
      </c>
      <c r="U60" s="476">
        <f t="shared" si="13"/>
        <v>0</v>
      </c>
      <c r="V60" s="426"/>
    </row>
    <row r="61" spans="1:22" x14ac:dyDescent="0.25">
      <c r="A61" s="536"/>
      <c r="B61" s="536"/>
      <c r="C61" s="143">
        <v>0</v>
      </c>
      <c r="D61" s="143">
        <v>0.4</v>
      </c>
      <c r="E61" s="116">
        <f t="shared" si="10"/>
        <v>0.4</v>
      </c>
      <c r="F61" s="446" t="s">
        <v>13</v>
      </c>
      <c r="G61" s="445">
        <v>252</v>
      </c>
      <c r="H61" s="459">
        <f>'1461'!H61</f>
        <v>3506</v>
      </c>
      <c r="I61" s="101">
        <f t="shared" si="11"/>
        <v>1402.4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31.5</v>
      </c>
      <c r="D66" s="97">
        <f>SUM(D57:D65)</f>
        <v>28.909999999999997</v>
      </c>
      <c r="E66" s="97">
        <f>SUM(E57:E65)</f>
        <v>60.41</v>
      </c>
      <c r="F66" s="523" t="s">
        <v>448</v>
      </c>
      <c r="G66" s="523"/>
      <c r="H66" s="523"/>
      <c r="I66" s="97">
        <f>SUM(I57:I65)</f>
        <v>80362</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805.71000000000015</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3.9630000000000004E-3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857.49750000000006</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3.7690000000000002E-3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805.71000000000015</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4.3109999999999997E-3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805.71000000000015</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3.967E-3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805.71000000000015</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4.3160000000000004E-3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3.967E-3</v>
      </c>
      <c r="I85" s="101">
        <f>ROUND(F85*H85,2)</f>
        <v>177188.18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3.9630000000000004E-3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4.3160000000000004E-3</v>
      </c>
      <c r="I90" s="101">
        <f>ROUND(F90*H90,2)</f>
        <v>69777</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4.3109999999999997E-3</v>
      </c>
      <c r="I92" s="101">
        <f t="shared" ref="I92:I96" si="14">ROUND(F92*H92,2)</f>
        <v>43282.87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3.7690000000000002E-3</v>
      </c>
      <c r="I94" s="101">
        <f t="shared" si="14"/>
        <v>900782.23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3.7690000000000002E-3</v>
      </c>
      <c r="I96" s="101">
        <f t="shared" si="14"/>
        <v>-6030.58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401.33889999999997</v>
      </c>
      <c r="D101" s="518"/>
      <c r="E101" s="46">
        <f>H8</f>
        <v>1.0442</v>
      </c>
      <c r="F101" s="304">
        <f>'1461'!F101</f>
        <v>947.59</v>
      </c>
      <c r="G101" s="39" t="s">
        <v>12</v>
      </c>
      <c r="H101" s="101">
        <f>ROUND(C101*E101*F101,2)</f>
        <v>397114.2</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456.15859999999998</v>
      </c>
      <c r="D102" s="518"/>
      <c r="E102" s="46">
        <f>H8</f>
        <v>1.0442</v>
      </c>
      <c r="F102" s="304">
        <f>'1461'!F102</f>
        <v>904.74</v>
      </c>
      <c r="G102" s="39" t="s">
        <v>12</v>
      </c>
      <c r="H102" s="101">
        <f>ROUND(C102*E102*F102,2)</f>
        <v>430946.49</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857.49749999999995</v>
      </c>
      <c r="D104" s="531"/>
      <c r="E104" s="123"/>
      <c r="F104" s="123"/>
      <c r="G104" s="123"/>
      <c r="H104" s="124" t="s">
        <v>100</v>
      </c>
      <c r="I104" s="101">
        <f>IF(A1=75,0,H103+H102+H101)</f>
        <v>828060.69</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5</v>
      </c>
      <c r="D110" s="143">
        <v>0</v>
      </c>
      <c r="E110" s="116">
        <f>(C110+D110)/2</f>
        <v>2.5</v>
      </c>
      <c r="F110" s="126" t="s">
        <v>30</v>
      </c>
      <c r="G110" s="305">
        <f>'1461'!G110</f>
        <v>565</v>
      </c>
      <c r="I110" s="101">
        <f>ROUND(G110*E110,2)</f>
        <v>1412.5</v>
      </c>
      <c r="N110" s="620" t="s">
        <v>52</v>
      </c>
      <c r="O110" s="620"/>
      <c r="P110" s="608">
        <f>IF(H130=1,E110,0)</f>
        <v>0</v>
      </c>
      <c r="Q110" s="608"/>
      <c r="R110" s="608"/>
      <c r="S110" s="83" t="s">
        <v>30</v>
      </c>
      <c r="T110" s="58">
        <f>G110</f>
        <v>565</v>
      </c>
      <c r="U110" s="475">
        <f>ROUND(T110*P110,2)</f>
        <v>0</v>
      </c>
    </row>
    <row r="111" spans="1:21" x14ac:dyDescent="0.25">
      <c r="A111" s="532" t="s">
        <v>380</v>
      </c>
      <c r="B111" s="553"/>
      <c r="C111" s="143">
        <v>1</v>
      </c>
      <c r="D111" s="143">
        <v>0</v>
      </c>
      <c r="E111" s="116">
        <f>(C111+D111)/2</f>
        <v>0.5</v>
      </c>
      <c r="F111" s="126" t="s">
        <v>30</v>
      </c>
      <c r="G111" s="305">
        <f>'1461'!G111</f>
        <v>1762</v>
      </c>
      <c r="I111" s="101">
        <f>ROUND(G111*E111,2)</f>
        <v>881</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6697824.4199999999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6424919.3799999999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6424919.3799999999</v>
      </c>
      <c r="I132" s="94">
        <f>ROUND(IF(E30=0,0,IF(E30&gt;250,-(((250/E30)*H132)*IF(G132="H",0.02,0.05)),IF(G132="H",-0.02*H132,-0.05*H132))),2)</f>
        <v>-99677.91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6598146.5099999998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-1121996.92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5476149.5899999999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547614.96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221568.06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CCC"/>
  </sheetPr>
  <dimension ref="A1:V243"/>
  <sheetViews>
    <sheetView showGridLines="0" zoomScaleNormal="100" workbookViewId="0">
      <pane ySplit="1" topLeftCell="A2" activePane="bottomLeft" state="frozen"/>
      <selection activeCell="I132" sqref="I132"/>
      <selection pane="bottomLeft" activeCell="G136" sqref="G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254</v>
      </c>
      <c r="B2" s="2"/>
      <c r="C2" s="2"/>
      <c r="D2" s="2"/>
      <c r="E2" s="2"/>
      <c r="F2" s="2"/>
      <c r="G2" s="2"/>
      <c r="H2" s="2"/>
      <c r="I2" s="2"/>
      <c r="N2" s="564" t="s">
        <v>18</v>
      </c>
      <c r="O2" s="564"/>
      <c r="P2" s="564"/>
      <c r="Q2" s="564"/>
      <c r="R2" s="564"/>
      <c r="S2" s="564"/>
      <c r="T2" s="564"/>
      <c r="U2" s="564"/>
    </row>
    <row r="3" spans="1:21" x14ac:dyDescent="0.25">
      <c r="A3" s="254" t="s">
        <v>474</v>
      </c>
      <c r="N3" s="565" t="str">
        <f>A3</f>
        <v>Based on the FLDOE 2023-24 FEFP Second Calculation</v>
      </c>
      <c r="O3" s="565"/>
      <c r="P3" s="565"/>
      <c r="Q3" s="565"/>
      <c r="R3" s="565"/>
      <c r="S3" s="565"/>
      <c r="T3" s="565"/>
      <c r="U3" s="565"/>
    </row>
    <row r="4" spans="1:21" x14ac:dyDescent="0.25">
      <c r="A4" s="545" t="s">
        <v>0</v>
      </c>
      <c r="B4" s="545"/>
      <c r="C4" s="546" t="s">
        <v>9</v>
      </c>
      <c r="D4" s="546"/>
      <c r="E4" s="546"/>
      <c r="F4" s="316" t="s">
        <v>481</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v>5139.7299999999996</v>
      </c>
      <c r="D8" s="86"/>
      <c r="E8" s="87"/>
      <c r="F8" s="84"/>
      <c r="G8" s="85" t="s">
        <v>392</v>
      </c>
      <c r="H8" s="288">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v>1</v>
      </c>
      <c r="I9" s="75"/>
      <c r="N9" s="12"/>
      <c r="O9" s="12"/>
      <c r="P9" s="13"/>
      <c r="Q9" s="13"/>
      <c r="R9" s="386" t="s">
        <v>391</v>
      </c>
      <c r="S9" s="386"/>
      <c r="T9" s="581">
        <f>H9</f>
        <v>1</v>
      </c>
      <c r="U9" s="581"/>
    </row>
    <row r="10" spans="1:21" x14ac:dyDescent="0.25">
      <c r="A10" s="7"/>
      <c r="B10" s="7" t="s">
        <v>304</v>
      </c>
      <c r="C10" s="8" t="s">
        <v>304</v>
      </c>
      <c r="D10" s="8" t="s">
        <v>304</v>
      </c>
      <c r="E10" s="8"/>
      <c r="F10" s="9"/>
      <c r="G10" s="9"/>
      <c r="H10" s="10"/>
      <c r="I10" s="326" t="s">
        <v>389</v>
      </c>
      <c r="N10" s="12"/>
      <c r="O10" s="12"/>
      <c r="P10" s="13"/>
      <c r="Q10" s="13"/>
      <c r="R10" s="14"/>
      <c r="S10" s="14"/>
      <c r="T10" s="15"/>
      <c r="U10" s="367" t="str">
        <f>I10</f>
        <v>2023-24</v>
      </c>
    </row>
    <row r="11" spans="1:21" x14ac:dyDescent="0.25">
      <c r="A11" s="7"/>
      <c r="B11" s="7"/>
      <c r="C11" s="88" t="s">
        <v>359</v>
      </c>
      <c r="D11" s="334" t="s">
        <v>360</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36" t="s">
        <v>1</v>
      </c>
      <c r="B12" s="36"/>
      <c r="C12" s="325" t="s">
        <v>2</v>
      </c>
      <c r="D12" s="325" t="s">
        <v>2</v>
      </c>
      <c r="E12" s="90"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256.52999999999997</v>
      </c>
      <c r="D18" s="143">
        <v>248.59</v>
      </c>
      <c r="E18" s="116">
        <f>IF(D$30=0,C18*2,C18+D18)</f>
        <v>505.12</v>
      </c>
      <c r="F18" s="558">
        <v>0.98799999999999999</v>
      </c>
      <c r="G18" s="558"/>
      <c r="H18" s="80">
        <f t="shared" si="2"/>
        <v>499.05860000000001</v>
      </c>
      <c r="I18" s="101">
        <f t="shared" si="3"/>
        <v>2678400.63</v>
      </c>
      <c r="N18" s="571" t="s">
        <v>24</v>
      </c>
      <c r="O18" s="571"/>
      <c r="P18" s="572">
        <f t="shared" si="0"/>
        <v>0</v>
      </c>
      <c r="Q18" s="572"/>
      <c r="R18" s="573">
        <v>1</v>
      </c>
      <c r="S18" s="573"/>
      <c r="T18" s="95">
        <f t="shared" si="4"/>
        <v>0</v>
      </c>
      <c r="U18" s="475">
        <f t="shared" si="5"/>
        <v>0</v>
      </c>
    </row>
    <row r="19" spans="1:21" x14ac:dyDescent="0.25">
      <c r="A19" s="520" t="s">
        <v>25</v>
      </c>
      <c r="B19" s="520"/>
      <c r="C19" s="143">
        <v>37.35</v>
      </c>
      <c r="D19" s="143">
        <v>37.520000000000003</v>
      </c>
      <c r="E19" s="116">
        <f t="shared" si="1"/>
        <v>74.87</v>
      </c>
      <c r="F19" s="558">
        <v>0.98799999999999999</v>
      </c>
      <c r="G19" s="558"/>
      <c r="H19" s="80">
        <f t="shared" si="2"/>
        <v>73.971599999999995</v>
      </c>
      <c r="I19" s="101">
        <f t="shared" si="3"/>
        <v>396998.63</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v>1.208</v>
      </c>
      <c r="G26" s="558"/>
      <c r="H26" s="80">
        <f t="shared" si="2"/>
        <v>0</v>
      </c>
      <c r="I26" s="101">
        <f t="shared" si="3"/>
        <v>0</v>
      </c>
      <c r="L26" s="251"/>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v>1.208</v>
      </c>
      <c r="G27" s="558"/>
      <c r="H27" s="80">
        <f t="shared" si="2"/>
        <v>0</v>
      </c>
      <c r="I27" s="101">
        <f t="shared" si="3"/>
        <v>0</v>
      </c>
      <c r="L27" s="251"/>
      <c r="N27" s="571" t="s">
        <v>86</v>
      </c>
      <c r="O27" s="571"/>
      <c r="P27" s="572">
        <f t="shared" si="0"/>
        <v>0</v>
      </c>
      <c r="Q27" s="572"/>
      <c r="R27" s="573">
        <v>1</v>
      </c>
      <c r="S27" s="573"/>
      <c r="T27" s="95">
        <f t="shared" si="4"/>
        <v>0</v>
      </c>
      <c r="U27" s="475">
        <f t="shared" si="5"/>
        <v>0</v>
      </c>
    </row>
    <row r="28" spans="1:21" x14ac:dyDescent="0.25">
      <c r="A28" s="520" t="s">
        <v>87</v>
      </c>
      <c r="B28" s="520"/>
      <c r="C28" s="143">
        <v>8.8000000000000007</v>
      </c>
      <c r="D28" s="143">
        <v>6.27</v>
      </c>
      <c r="E28" s="116">
        <f t="shared" si="1"/>
        <v>15.07</v>
      </c>
      <c r="F28" s="558">
        <v>1.208</v>
      </c>
      <c r="G28" s="558"/>
      <c r="H28" s="80">
        <f t="shared" si="2"/>
        <v>18.204599999999999</v>
      </c>
      <c r="I28" s="101">
        <f t="shared" si="3"/>
        <v>97702.38</v>
      </c>
      <c r="N28" s="571" t="s">
        <v>87</v>
      </c>
      <c r="O28" s="571"/>
      <c r="P28" s="572">
        <f t="shared" si="0"/>
        <v>0</v>
      </c>
      <c r="Q28" s="572"/>
      <c r="R28" s="573">
        <v>1</v>
      </c>
      <c r="S28" s="573"/>
      <c r="T28" s="95">
        <f t="shared" si="4"/>
        <v>0</v>
      </c>
      <c r="U28" s="475">
        <f t="shared" si="5"/>
        <v>0</v>
      </c>
    </row>
    <row r="29" spans="1:21" x14ac:dyDescent="0.25">
      <c r="A29" s="520" t="s">
        <v>88</v>
      </c>
      <c r="B29" s="520"/>
      <c r="C29" s="110">
        <v>73.760000000000005</v>
      </c>
      <c r="D29" s="110">
        <v>73.31</v>
      </c>
      <c r="E29" s="154">
        <f t="shared" si="1"/>
        <v>147.07</v>
      </c>
      <c r="F29" s="558">
        <v>1.0720000000000001</v>
      </c>
      <c r="G29" s="558"/>
      <c r="H29" s="93">
        <f t="shared" si="2"/>
        <v>157.65899999999999</v>
      </c>
      <c r="I29" s="94">
        <f t="shared" si="3"/>
        <v>846141.04</v>
      </c>
      <c r="N29" s="588" t="s">
        <v>88</v>
      </c>
      <c r="O29" s="588"/>
      <c r="P29" s="572">
        <f t="shared" si="0"/>
        <v>0</v>
      </c>
      <c r="Q29" s="572"/>
      <c r="R29" s="589">
        <v>1</v>
      </c>
      <c r="S29" s="589"/>
      <c r="T29" s="95">
        <f t="shared" si="4"/>
        <v>0</v>
      </c>
      <c r="U29" s="475">
        <f t="shared" si="5"/>
        <v>0</v>
      </c>
    </row>
    <row r="30" spans="1:21" x14ac:dyDescent="0.25">
      <c r="A30" s="523" t="s">
        <v>5</v>
      </c>
      <c r="B30" s="523"/>
      <c r="C30" s="94">
        <f>SUM(C14:C29)</f>
        <v>376.44</v>
      </c>
      <c r="D30" s="94">
        <f>SUM(D14:D29)</f>
        <v>365.69</v>
      </c>
      <c r="E30" s="94">
        <f>SUM(E14:E29)</f>
        <v>742.13000000000011</v>
      </c>
      <c r="F30" s="539"/>
      <c r="G30" s="539"/>
      <c r="H30" s="99">
        <f>SUM(H14:H29)</f>
        <v>748.89380000000006</v>
      </c>
      <c r="I30" s="94">
        <f>SUM(I14:I29)</f>
        <v>4019242.6799999997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559" t="s">
        <v>233</v>
      </c>
      <c r="G34" s="559"/>
      <c r="H34" s="559"/>
      <c r="I34" s="101"/>
      <c r="N34" s="28"/>
      <c r="O34" s="28"/>
      <c r="P34" s="29"/>
      <c r="Q34" s="29"/>
      <c r="R34" s="30"/>
      <c r="S34" s="30"/>
      <c r="T34" s="102"/>
      <c r="U34" s="103"/>
    </row>
    <row r="35" spans="1:21" ht="15.75" hidden="1" customHeight="1" x14ac:dyDescent="0.25">
      <c r="A35" s="3"/>
      <c r="B35" s="69"/>
      <c r="C35" s="69"/>
      <c r="D35" s="69"/>
      <c r="E35" s="69"/>
      <c r="F35" s="559"/>
      <c r="G35" s="559"/>
      <c r="H35" s="559"/>
      <c r="I35" s="24" t="str">
        <f>I10</f>
        <v>2023-24</v>
      </c>
      <c r="N35" s="565" t="s">
        <v>26</v>
      </c>
      <c r="O35" s="565"/>
      <c r="P35" s="565"/>
      <c r="Q35" s="565"/>
      <c r="R35" s="565"/>
      <c r="S35" s="565"/>
      <c r="T35" s="565"/>
      <c r="U35" s="25" t="str">
        <f>I35</f>
        <v>2023-24</v>
      </c>
    </row>
    <row r="36" spans="1:21" hidden="1" x14ac:dyDescent="0.25">
      <c r="A36" s="26"/>
      <c r="B36" s="26"/>
      <c r="C36" s="88" t="s">
        <v>310</v>
      </c>
      <c r="D36" s="88"/>
      <c r="E36" s="89" t="s">
        <v>8</v>
      </c>
      <c r="F36" s="559"/>
      <c r="G36" s="559"/>
      <c r="H36" s="559"/>
      <c r="I36" s="24" t="s">
        <v>27</v>
      </c>
      <c r="N36" s="28"/>
      <c r="O36" s="28"/>
      <c r="P36" s="29"/>
      <c r="Q36" s="29"/>
      <c r="R36" s="30"/>
      <c r="S36" s="30"/>
      <c r="T36" s="102"/>
      <c r="U36" s="25" t="s">
        <v>27</v>
      </c>
    </row>
    <row r="37" spans="1:21" ht="26.25" hidden="1" x14ac:dyDescent="0.25">
      <c r="A37" s="540" t="s">
        <v>50</v>
      </c>
      <c r="B37" s="540"/>
      <c r="C37" s="325" t="s">
        <v>2</v>
      </c>
      <c r="D37" s="325"/>
      <c r="E37" s="90" t="s">
        <v>2</v>
      </c>
      <c r="F37" s="560"/>
      <c r="G37" s="560"/>
      <c r="H37" s="56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748.89380000000006</v>
      </c>
      <c r="F46" s="34"/>
      <c r="G46" s="106"/>
      <c r="H46" s="107" t="s">
        <v>98</v>
      </c>
      <c r="I46" s="94">
        <f>SUM(I44,I30)</f>
        <v>4019242.6799999997</v>
      </c>
      <c r="N46" s="616" t="s">
        <v>44</v>
      </c>
      <c r="O46" s="616"/>
      <c r="P46" s="616"/>
      <c r="Q46" s="616"/>
      <c r="R46" s="35">
        <f>R44+T30</f>
        <v>0</v>
      </c>
      <c r="S46" s="592" t="s">
        <v>42</v>
      </c>
      <c r="T46" s="592"/>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4" t="s">
        <v>397</v>
      </c>
      <c r="F50" s="394"/>
      <c r="G50" s="395"/>
      <c r="H50" s="395"/>
      <c r="I50" s="396"/>
      <c r="N50" s="414" t="s">
        <v>397</v>
      </c>
      <c r="O50" s="397"/>
      <c r="P50" s="397"/>
      <c r="Q50" s="397"/>
      <c r="R50" s="398"/>
      <c r="S50" s="399"/>
      <c r="T50" s="399"/>
      <c r="U50" s="406"/>
    </row>
    <row r="51" spans="1:22" x14ac:dyDescent="0.25">
      <c r="A51" s="391"/>
      <c r="B51" s="3" t="s">
        <v>398</v>
      </c>
      <c r="C51" s="26"/>
      <c r="D51" s="26"/>
      <c r="E51" s="43" t="s">
        <v>399</v>
      </c>
      <c r="F51" s="402">
        <f>I46</f>
        <v>4019242.6799999997</v>
      </c>
      <c r="G51" s="109" t="s">
        <v>6</v>
      </c>
      <c r="H51" s="403">
        <v>4.5199999999999997E-2</v>
      </c>
      <c r="I51" s="101">
        <f>ROUND(F51*H51,2)</f>
        <v>181669.77</v>
      </c>
      <c r="N51" s="408"/>
      <c r="O51" s="51"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4019242.6799999997</v>
      </c>
      <c r="G52" s="109" t="s">
        <v>6</v>
      </c>
      <c r="H52" s="403">
        <v>1.41E-2</v>
      </c>
      <c r="I52" s="101">
        <f>ROUND(F52*H52,2)</f>
        <v>56671.32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238341.09</v>
      </c>
      <c r="N53" s="28"/>
      <c r="O53" s="385" t="s">
        <v>401</v>
      </c>
      <c r="P53" s="28"/>
      <c r="Q53" s="44"/>
      <c r="R53" s="410"/>
      <c r="S53" s="411"/>
      <c r="T53" s="412"/>
      <c r="U53" s="404">
        <f>SUM(U51:U52)</f>
        <v>0</v>
      </c>
    </row>
    <row r="54" spans="1:22" x14ac:dyDescent="0.25">
      <c r="A54" s="242"/>
      <c r="C54" s="446" t="s">
        <v>446</v>
      </c>
      <c r="D54" s="446" t="s">
        <v>446</v>
      </c>
      <c r="G54" s="42"/>
      <c r="H54" s="114"/>
      <c r="I54" s="114"/>
      <c r="N54" s="463"/>
      <c r="O54" s="51"/>
      <c r="P54" s="40" t="s">
        <v>446</v>
      </c>
      <c r="Q54" s="40" t="s">
        <v>446</v>
      </c>
      <c r="R54" s="51"/>
      <c r="S54" s="51"/>
      <c r="T54" s="464"/>
      <c r="U54" s="465"/>
      <c r="V54" s="114"/>
    </row>
    <row r="55" spans="1:22" x14ac:dyDescent="0.25">
      <c r="A55" s="447"/>
      <c r="B55" s="447"/>
      <c r="C55" s="88" t="s">
        <v>359</v>
      </c>
      <c r="D55" s="334" t="s">
        <v>360</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
        <v>2</v>
      </c>
      <c r="D56" s="325" t="s">
        <v>2</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36.35</v>
      </c>
      <c r="D63" s="143">
        <v>36.61</v>
      </c>
      <c r="E63" s="116">
        <f t="shared" si="10"/>
        <v>72.960000000000008</v>
      </c>
      <c r="F63" s="446" t="s">
        <v>14</v>
      </c>
      <c r="G63" s="445">
        <v>251</v>
      </c>
      <c r="H63" s="459">
        <v>835</v>
      </c>
      <c r="I63" s="101">
        <f t="shared" si="11"/>
        <v>60921.599999999999</v>
      </c>
      <c r="N63" s="622"/>
      <c r="O63" s="622"/>
      <c r="P63" s="625"/>
      <c r="Q63" s="625"/>
      <c r="R63" s="40" t="s">
        <v>14</v>
      </c>
      <c r="S63" s="451">
        <v>251</v>
      </c>
      <c r="T63" s="462">
        <f t="shared" si="12"/>
        <v>835</v>
      </c>
      <c r="U63" s="476">
        <f t="shared" si="13"/>
        <v>0</v>
      </c>
      <c r="V63" s="426"/>
    </row>
    <row r="64" spans="1:22" x14ac:dyDescent="0.25">
      <c r="A64" s="536"/>
      <c r="B64" s="536"/>
      <c r="C64" s="143">
        <v>1</v>
      </c>
      <c r="D64" s="143">
        <v>0.91</v>
      </c>
      <c r="E64" s="116">
        <f t="shared" si="10"/>
        <v>1.9100000000000001</v>
      </c>
      <c r="F64" s="446" t="s">
        <v>14</v>
      </c>
      <c r="G64" s="445">
        <v>252</v>
      </c>
      <c r="H64" s="459">
        <v>3168</v>
      </c>
      <c r="I64" s="101">
        <f t="shared" si="11"/>
        <v>6050.88</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v>6685</v>
      </c>
      <c r="I65" s="101">
        <f t="shared" si="11"/>
        <v>0</v>
      </c>
      <c r="N65" s="622"/>
      <c r="O65" s="622"/>
      <c r="P65" s="626"/>
      <c r="Q65" s="626"/>
      <c r="R65" s="40" t="s">
        <v>14</v>
      </c>
      <c r="S65" s="451">
        <v>253</v>
      </c>
      <c r="T65" s="462">
        <f t="shared" si="12"/>
        <v>6685</v>
      </c>
      <c r="U65" s="477">
        <f t="shared" si="13"/>
        <v>0</v>
      </c>
      <c r="V65" s="426"/>
    </row>
    <row r="66" spans="1:22" ht="16.5" thickBot="1" x14ac:dyDescent="0.3">
      <c r="A66" s="242"/>
      <c r="C66" s="97">
        <f>SUM(C57:C65)</f>
        <v>37.35</v>
      </c>
      <c r="D66" s="97">
        <f>SUM(D57:D65)</f>
        <v>37.519999999999996</v>
      </c>
      <c r="E66" s="97">
        <f>SUM(E57:E65)</f>
        <v>74.87</v>
      </c>
      <c r="F66" s="523" t="s">
        <v>448</v>
      </c>
      <c r="G66" s="523"/>
      <c r="H66" s="523"/>
      <c r="I66" s="97">
        <f>SUM(I57:I65)</f>
        <v>66972.479999999996</v>
      </c>
      <c r="N66" s="463"/>
      <c r="O66" s="51"/>
      <c r="P66" s="627">
        <f>SUM(P57:P65)</f>
        <v>0</v>
      </c>
      <c r="Q66" s="627"/>
      <c r="R66" s="616" t="s">
        <v>448</v>
      </c>
      <c r="S66" s="616"/>
      <c r="T66" s="616"/>
      <c r="U66" s="478">
        <f>SUM(U57:U65)</f>
        <v>0</v>
      </c>
      <c r="V66" s="426"/>
    </row>
    <row r="67" spans="1:22" x14ac:dyDescent="0.25">
      <c r="A67" s="2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742.13000000000011</v>
      </c>
      <c r="D69" s="533" t="s">
        <v>413</v>
      </c>
      <c r="E69" s="533"/>
      <c r="F69" s="533"/>
      <c r="G69" s="533"/>
      <c r="H69" s="289">
        <v>203305.63</v>
      </c>
      <c r="I69" s="113"/>
      <c r="N69" s="594" t="s">
        <v>406</v>
      </c>
      <c r="O69" s="571"/>
      <c r="P69" s="41">
        <f>P30</f>
        <v>0</v>
      </c>
      <c r="Q69" s="599" t="s">
        <v>408</v>
      </c>
      <c r="R69" s="600"/>
      <c r="S69" s="600"/>
      <c r="T69" s="598">
        <f>H69</f>
        <v>203305.63</v>
      </c>
      <c r="U69" s="598"/>
    </row>
    <row r="70" spans="1:22" x14ac:dyDescent="0.25">
      <c r="B70" s="69"/>
      <c r="G70" s="42" t="s">
        <v>12</v>
      </c>
      <c r="H70" s="114">
        <f>ROUND(C69/H69,6)</f>
        <v>3.65E-3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748.89380000000006</v>
      </c>
      <c r="D72" s="533" t="s">
        <v>414</v>
      </c>
      <c r="E72" s="533"/>
      <c r="F72" s="533"/>
      <c r="G72" s="533"/>
      <c r="H72" s="290">
        <v>227540.36</v>
      </c>
      <c r="I72" s="116"/>
      <c r="N72" s="594" t="s">
        <v>407</v>
      </c>
      <c r="O72" s="571"/>
      <c r="P72" s="41">
        <f>T30</f>
        <v>0</v>
      </c>
      <c r="Q72" s="599" t="s">
        <v>409</v>
      </c>
      <c r="R72" s="600"/>
      <c r="S72" s="600"/>
      <c r="T72" s="598">
        <f>H72</f>
        <v>227540.36</v>
      </c>
      <c r="U72" s="598"/>
    </row>
    <row r="73" spans="1:22" x14ac:dyDescent="0.25">
      <c r="G73" s="42" t="s">
        <v>12</v>
      </c>
      <c r="H73" s="114">
        <f>ROUND(C72/H72,6)</f>
        <v>3.2910000000000001E-3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742.13000000000011</v>
      </c>
      <c r="D75" s="532" t="s">
        <v>415</v>
      </c>
      <c r="E75" s="532"/>
      <c r="F75" s="532"/>
      <c r="G75" s="532"/>
      <c r="H75" s="289">
        <v>186907.73</v>
      </c>
      <c r="I75" s="113"/>
      <c r="N75" s="594" t="s">
        <v>405</v>
      </c>
      <c r="O75" s="571"/>
      <c r="P75" s="41">
        <f>P30</f>
        <v>0</v>
      </c>
      <c r="Q75" s="604" t="s">
        <v>410</v>
      </c>
      <c r="R75" s="605"/>
      <c r="S75" s="605"/>
      <c r="T75" s="598">
        <f>H75</f>
        <v>186907.73</v>
      </c>
      <c r="U75" s="598"/>
    </row>
    <row r="76" spans="1:22" x14ac:dyDescent="0.25">
      <c r="B76" s="69"/>
      <c r="G76" s="42" t="s">
        <v>12</v>
      </c>
      <c r="H76" s="114">
        <f>ROUND(C75/H75,6)</f>
        <v>3.9709999999999997E-3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742.13000000000011</v>
      </c>
      <c r="D78" s="528" t="s">
        <v>416</v>
      </c>
      <c r="E78" s="528"/>
      <c r="F78" s="528"/>
      <c r="G78" s="528"/>
      <c r="H78" s="289">
        <v>203080.55</v>
      </c>
      <c r="I78" s="113"/>
      <c r="N78" s="594" t="s">
        <v>405</v>
      </c>
      <c r="O78" s="571"/>
      <c r="P78" s="41">
        <f>P30</f>
        <v>0</v>
      </c>
      <c r="Q78" s="602" t="s">
        <v>411</v>
      </c>
      <c r="R78" s="603"/>
      <c r="S78" s="603"/>
      <c r="T78" s="598">
        <f>H78</f>
        <v>203080.55</v>
      </c>
      <c r="U78" s="598"/>
    </row>
    <row r="79" spans="1:22" x14ac:dyDescent="0.25">
      <c r="B79" s="69"/>
      <c r="G79" s="42" t="s">
        <v>12</v>
      </c>
      <c r="H79" s="114">
        <f>ROUND(C78/H78,6)</f>
        <v>3.6540000000000001E-3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742.13000000000011</v>
      </c>
      <c r="D81" s="532" t="s">
        <v>417</v>
      </c>
      <c r="E81" s="532"/>
      <c r="F81" s="532"/>
      <c r="G81" s="532"/>
      <c r="H81" s="289">
        <v>186682.65</v>
      </c>
      <c r="I81" s="113"/>
      <c r="N81" s="594" t="s">
        <v>418</v>
      </c>
      <c r="O81" s="571"/>
      <c r="P81" s="41">
        <f>P30</f>
        <v>0</v>
      </c>
      <c r="Q81" s="604" t="s">
        <v>419</v>
      </c>
      <c r="R81" s="605"/>
      <c r="S81" s="605"/>
      <c r="T81" s="598">
        <f>H81</f>
        <v>186682.65</v>
      </c>
      <c r="U81" s="598"/>
    </row>
    <row r="82" spans="1:21" x14ac:dyDescent="0.25">
      <c r="B82" s="69"/>
      <c r="G82" s="42" t="s">
        <v>12</v>
      </c>
      <c r="H82" s="114">
        <f>ROUND(C81/H81,6)</f>
        <v>3.9750000000000002E-3</v>
      </c>
      <c r="I82" s="115"/>
      <c r="N82" s="571"/>
      <c r="O82" s="571"/>
      <c r="P82" s="571"/>
      <c r="Q82" s="571"/>
      <c r="R82" s="571"/>
      <c r="S82" s="571"/>
      <c r="T82" s="601">
        <f>ROUND(P81/T81,6)</f>
        <v>0</v>
      </c>
      <c r="U82" s="601"/>
    </row>
    <row r="83" spans="1:21" x14ac:dyDescent="0.25">
      <c r="A83" s="242"/>
      <c r="G83" s="42"/>
      <c r="H83" s="114"/>
      <c r="I83" s="114"/>
      <c r="N83" s="448"/>
      <c r="O83" s="448"/>
      <c r="P83" s="448"/>
      <c r="Q83" s="448"/>
      <c r="R83" s="448"/>
      <c r="S83" s="448"/>
      <c r="T83" s="449"/>
      <c r="U83" s="449"/>
    </row>
    <row r="84" spans="1:21" x14ac:dyDescent="0.25">
      <c r="A84" s="242"/>
      <c r="G84" s="42"/>
      <c r="H84" s="114"/>
      <c r="I84" s="114"/>
      <c r="N84" s="448"/>
      <c r="O84" s="448"/>
      <c r="P84" s="448"/>
      <c r="Q84" s="448"/>
      <c r="R84" s="448"/>
      <c r="S84" s="448"/>
      <c r="T84" s="449"/>
      <c r="U84" s="449"/>
    </row>
    <row r="85" spans="1:21" x14ac:dyDescent="0.25">
      <c r="A85" s="444" t="s">
        <v>455</v>
      </c>
      <c r="D85" s="69"/>
      <c r="E85" s="43" t="s">
        <v>294</v>
      </c>
      <c r="F85" s="291">
        <v>44665536</v>
      </c>
      <c r="G85" s="37" t="s">
        <v>6</v>
      </c>
      <c r="H85" s="424">
        <f>H79</f>
        <v>3.6540000000000001E-3</v>
      </c>
      <c r="I85" s="101">
        <f>ROUND(F85*H85,2)</f>
        <v>163207.87</v>
      </c>
      <c r="N85" s="455" t="s">
        <v>455</v>
      </c>
      <c r="O85" s="51"/>
      <c r="P85" s="51"/>
      <c r="Q85" s="44"/>
      <c r="R85" s="421">
        <f>F85</f>
        <v>44665536</v>
      </c>
      <c r="S85" s="38" t="s">
        <v>6</v>
      </c>
      <c r="T85" s="423">
        <f>T79</f>
        <v>0</v>
      </c>
      <c r="U85" s="475">
        <f>ROUND(R85*T85,2)</f>
        <v>0</v>
      </c>
    </row>
    <row r="86" spans="1:21" x14ac:dyDescent="0.25">
      <c r="A86" s="401"/>
      <c r="D86" s="69"/>
      <c r="E86" s="43"/>
      <c r="F86" s="277"/>
      <c r="G86" s="37"/>
      <c r="H86" s="424"/>
      <c r="I86" s="101"/>
      <c r="N86" s="51"/>
      <c r="O86" s="51"/>
      <c r="P86" s="51"/>
      <c r="Q86" s="44"/>
      <c r="R86" s="422"/>
      <c r="S86" s="38"/>
      <c r="T86" s="423"/>
      <c r="U86" s="479"/>
    </row>
    <row r="87" spans="1:21" x14ac:dyDescent="0.25">
      <c r="A87" s="534" t="s">
        <v>71</v>
      </c>
      <c r="B87" s="520"/>
      <c r="C87" s="520"/>
      <c r="D87" s="69"/>
      <c r="E87" s="43"/>
      <c r="F87" s="277"/>
      <c r="G87" s="37"/>
      <c r="H87" s="424"/>
      <c r="I87" s="101"/>
      <c r="N87" s="594" t="s">
        <v>463</v>
      </c>
      <c r="O87" s="571"/>
      <c r="P87" s="571"/>
      <c r="Q87" s="51"/>
      <c r="R87" s="422"/>
      <c r="S87" s="51"/>
      <c r="T87" s="38"/>
      <c r="U87" s="480"/>
    </row>
    <row r="88" spans="1:21" x14ac:dyDescent="0.25">
      <c r="A88" s="534" t="s">
        <v>99</v>
      </c>
      <c r="B88" s="520"/>
      <c r="C88" s="520"/>
      <c r="D88" s="69"/>
      <c r="E88" s="43" t="s">
        <v>3</v>
      </c>
      <c r="F88" s="291">
        <v>0</v>
      </c>
      <c r="G88" s="37" t="s">
        <v>6</v>
      </c>
      <c r="H88" s="424">
        <f>H70</f>
        <v>3.65E-3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277"/>
      <c r="G89" s="37"/>
      <c r="H89" s="424"/>
      <c r="I89" s="101"/>
      <c r="N89" s="436"/>
      <c r="O89" s="45"/>
      <c r="P89" s="45"/>
      <c r="Q89" s="44"/>
      <c r="R89" s="421"/>
      <c r="S89" s="38"/>
      <c r="T89" s="423"/>
      <c r="U89" s="475"/>
    </row>
    <row r="90" spans="1:21" x14ac:dyDescent="0.25">
      <c r="A90" s="453" t="s">
        <v>456</v>
      </c>
      <c r="D90" s="69"/>
      <c r="E90" s="43" t="s">
        <v>420</v>
      </c>
      <c r="F90" s="291">
        <v>16167052</v>
      </c>
      <c r="G90" s="37" t="s">
        <v>6</v>
      </c>
      <c r="H90" s="424">
        <f>H82</f>
        <v>3.9750000000000002E-3</v>
      </c>
      <c r="I90" s="101">
        <f>ROUND(F90*H90,2)</f>
        <v>64264.03</v>
      </c>
      <c r="N90" s="455" t="s">
        <v>456</v>
      </c>
      <c r="O90" s="51"/>
      <c r="P90" s="51"/>
      <c r="Q90" s="44"/>
      <c r="R90" s="421">
        <f>F90</f>
        <v>16167052</v>
      </c>
      <c r="S90" s="38" t="s">
        <v>6</v>
      </c>
      <c r="T90" s="423">
        <f>T82</f>
        <v>0</v>
      </c>
      <c r="U90" s="475">
        <f>ROUND(R90*T90,2)</f>
        <v>0</v>
      </c>
    </row>
    <row r="91" spans="1:21" x14ac:dyDescent="0.25">
      <c r="A91" s="401"/>
      <c r="D91" s="69"/>
      <c r="E91" s="43"/>
      <c r="F91" s="277"/>
      <c r="G91" s="37"/>
      <c r="H91" s="424"/>
      <c r="I91" s="101"/>
      <c r="N91" s="409"/>
      <c r="O91" s="51"/>
      <c r="P91" s="51"/>
      <c r="Q91" s="44"/>
      <c r="R91" s="421"/>
      <c r="S91" s="38"/>
      <c r="T91" s="423"/>
      <c r="U91" s="475"/>
    </row>
    <row r="92" spans="1:21" x14ac:dyDescent="0.25">
      <c r="A92" s="453" t="s">
        <v>457</v>
      </c>
      <c r="D92" s="69"/>
      <c r="E92" s="43" t="s">
        <v>3</v>
      </c>
      <c r="F92" s="291">
        <v>10040099</v>
      </c>
      <c r="G92" s="37" t="s">
        <v>6</v>
      </c>
      <c r="H92" s="424">
        <f>H76</f>
        <v>3.9709999999999997E-3</v>
      </c>
      <c r="I92" s="101">
        <f t="shared" ref="I92:I96" si="14">ROUND(F92*H92,2)</f>
        <v>39869.230000000003</v>
      </c>
      <c r="N92" s="455" t="s">
        <v>457</v>
      </c>
      <c r="O92" s="51"/>
      <c r="P92" s="51"/>
      <c r="Q92" s="44"/>
      <c r="R92" s="421">
        <f t="shared" ref="R92:R96" si="15">F92</f>
        <v>10040099</v>
      </c>
      <c r="S92" s="38" t="s">
        <v>6</v>
      </c>
      <c r="T92" s="423">
        <f>T76</f>
        <v>0</v>
      </c>
      <c r="U92" s="475">
        <f>ROUND(R92*T92,2)</f>
        <v>0</v>
      </c>
    </row>
    <row r="93" spans="1:21" x14ac:dyDescent="0.25">
      <c r="A93" s="81"/>
      <c r="D93" s="69"/>
      <c r="E93" s="43"/>
      <c r="F93" s="277"/>
      <c r="G93" s="37"/>
      <c r="H93" s="424"/>
      <c r="I93" s="101"/>
      <c r="N93" s="385"/>
      <c r="O93" s="51"/>
      <c r="P93" s="51"/>
      <c r="Q93" s="44"/>
      <c r="R93" s="422"/>
      <c r="S93" s="38"/>
      <c r="T93" s="423"/>
      <c r="U93" s="479"/>
    </row>
    <row r="94" spans="1:21" x14ac:dyDescent="0.25">
      <c r="A94" s="519" t="s">
        <v>421</v>
      </c>
      <c r="B94" s="520"/>
      <c r="C94" s="520"/>
      <c r="D94" s="69"/>
      <c r="E94" s="43" t="s">
        <v>4</v>
      </c>
      <c r="F94" s="291">
        <v>238997674</v>
      </c>
      <c r="G94" s="37" t="s">
        <v>6</v>
      </c>
      <c r="H94" s="424">
        <f>H73</f>
        <v>3.2910000000000001E-3</v>
      </c>
      <c r="I94" s="101">
        <f t="shared" si="14"/>
        <v>786541.35</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277"/>
      <c r="G95" s="37"/>
      <c r="H95" s="424"/>
      <c r="I95" s="101"/>
      <c r="N95" s="45"/>
      <c r="O95" s="45"/>
      <c r="P95" s="45"/>
      <c r="Q95" s="44"/>
      <c r="R95" s="421"/>
      <c r="S95" s="38"/>
      <c r="T95" s="423"/>
      <c r="U95" s="475"/>
    </row>
    <row r="96" spans="1:21" x14ac:dyDescent="0.25">
      <c r="A96" s="519" t="s">
        <v>422</v>
      </c>
      <c r="B96" s="520"/>
      <c r="C96" s="520"/>
      <c r="D96" s="69"/>
      <c r="E96" s="43" t="s">
        <v>4</v>
      </c>
      <c r="F96" s="291">
        <v>-1600047</v>
      </c>
      <c r="G96" s="37" t="s">
        <v>6</v>
      </c>
      <c r="H96" s="424">
        <f>H73</f>
        <v>3.2910000000000001E-3</v>
      </c>
      <c r="I96" s="101">
        <f t="shared" si="14"/>
        <v>-5265.75</v>
      </c>
      <c r="N96" s="594" t="s">
        <v>422</v>
      </c>
      <c r="O96" s="594"/>
      <c r="P96" s="594"/>
      <c r="Q96" s="44"/>
      <c r="R96" s="421">
        <f t="shared" si="15"/>
        <v>-1600047</v>
      </c>
      <c r="S96" s="38" t="s">
        <v>6</v>
      </c>
      <c r="T96" s="423">
        <f>T73</f>
        <v>0</v>
      </c>
      <c r="U96" s="475">
        <f>ROUND(R96*T96,2)</f>
        <v>0</v>
      </c>
    </row>
    <row r="97" spans="1:21" x14ac:dyDescent="0.25">
      <c r="A97" s="81"/>
      <c r="B97" s="69"/>
      <c r="C97" s="69"/>
      <c r="D97" s="69"/>
      <c r="E97" s="43"/>
      <c r="F97" s="277"/>
      <c r="G97" s="37"/>
      <c r="H97" s="424"/>
      <c r="I97" s="101"/>
      <c r="N97" s="385"/>
      <c r="O97" s="385"/>
      <c r="P97" s="38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119" t="s">
        <v>424</v>
      </c>
      <c r="F100" s="120" t="s">
        <v>106</v>
      </c>
      <c r="G100" s="121"/>
      <c r="H100" s="121"/>
      <c r="I100" s="121"/>
      <c r="N100" s="595" t="s">
        <v>35</v>
      </c>
      <c r="O100" s="595"/>
      <c r="P100" s="596" t="s">
        <v>426</v>
      </c>
      <c r="Q100" s="597"/>
      <c r="R100" s="598" t="s">
        <v>31</v>
      </c>
      <c r="S100" s="598"/>
      <c r="T100" s="598"/>
      <c r="U100" s="598"/>
    </row>
    <row r="101" spans="1:21" x14ac:dyDescent="0.25">
      <c r="A101" s="26"/>
      <c r="B101" s="52" t="s">
        <v>105</v>
      </c>
      <c r="C101" s="518">
        <f>H14+H15+H20+H23+H26</f>
        <v>0</v>
      </c>
      <c r="D101" s="518"/>
      <c r="E101" s="46">
        <f>H8</f>
        <v>1.0442</v>
      </c>
      <c r="F101" s="292">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292">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748.89380000000006</v>
      </c>
      <c r="D103" s="518"/>
      <c r="E103" s="46">
        <f>H8</f>
        <v>1.0442</v>
      </c>
      <c r="F103" s="292">
        <v>906.93</v>
      </c>
      <c r="G103" s="39" t="s">
        <v>12</v>
      </c>
      <c r="H103" s="94">
        <f>ROUND(C103*E103*F103,2)</f>
        <v>709214.64</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748.89380000000006</v>
      </c>
      <c r="D104" s="531"/>
      <c r="E104" s="123"/>
      <c r="F104" s="123"/>
      <c r="G104" s="123"/>
      <c r="H104" s="124" t="s">
        <v>100</v>
      </c>
      <c r="I104" s="101">
        <f>IF(A1=75,0,H103+H102+H101)</f>
        <v>709214.64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90" t="s">
        <v>2</v>
      </c>
      <c r="F109" s="43"/>
      <c r="G109" s="43"/>
      <c r="H109" s="43"/>
      <c r="I109" s="43"/>
      <c r="N109" s="45"/>
      <c r="O109" s="45"/>
      <c r="P109" s="45"/>
      <c r="Q109" s="125"/>
      <c r="R109" s="125"/>
      <c r="S109" s="125"/>
      <c r="T109" s="125"/>
      <c r="U109" s="103"/>
    </row>
    <row r="110" spans="1:21" x14ac:dyDescent="0.25">
      <c r="A110" s="532" t="s">
        <v>379</v>
      </c>
      <c r="B110" s="553"/>
      <c r="C110" s="143">
        <v>471</v>
      </c>
      <c r="D110" s="143">
        <v>439</v>
      </c>
      <c r="E110" s="116">
        <f>(C110+D110)/2</f>
        <v>455</v>
      </c>
      <c r="F110" s="126" t="s">
        <v>30</v>
      </c>
      <c r="G110" s="293">
        <v>565</v>
      </c>
      <c r="I110" s="101">
        <f>ROUND(G110*E110,2)</f>
        <v>257075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293">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x14ac:dyDescent="0.25">
      <c r="B115" s="69"/>
      <c r="C115" s="530" t="s">
        <v>66</v>
      </c>
      <c r="D115" s="530"/>
      <c r="E115" s="530"/>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6101121.5299999993</v>
      </c>
      <c r="J125" s="251"/>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J126" s="25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5862780.4399999995</v>
      </c>
      <c r="J127" s="251"/>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J129" s="251"/>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5862780.4399999995</v>
      </c>
      <c r="I132" s="94">
        <f>ROUND(IF(E30=0,0,IF(E30&gt;250,-(((250/E30)*H132)*IF(G132="H",0.02,0.05)),IF(G132="H",-0.02*H132,-0.05*H132))),2)</f>
        <v>-39499.69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6061621.8399999989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-1028026.72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5033595.1199999992</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503359.51</v>
      </c>
      <c r="K142" s="420"/>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77755.92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4"/>
      <c r="L149" s="76"/>
      <c r="M149" s="76"/>
      <c r="N149" s="73"/>
      <c r="O149" s="73"/>
      <c r="P149" s="73"/>
      <c r="Q149" s="73"/>
      <c r="R149" s="73"/>
      <c r="S149" s="73"/>
      <c r="T149" s="73"/>
      <c r="U149" s="73"/>
    </row>
    <row r="150" spans="1:21" ht="12.75" customHeight="1" x14ac:dyDescent="0.25">
      <c r="A150" s="352" t="s">
        <v>370</v>
      </c>
      <c r="B150" s="347"/>
      <c r="C150" s="347"/>
      <c r="D150" s="347"/>
      <c r="E150" s="347"/>
      <c r="F150" s="347"/>
      <c r="G150" s="347"/>
      <c r="H150" s="347"/>
      <c r="I150" s="347"/>
      <c r="J150" s="77"/>
      <c r="K150" s="324"/>
      <c r="L150" s="76"/>
      <c r="M150" s="76"/>
      <c r="N150" s="73"/>
      <c r="O150" s="73"/>
      <c r="P150" s="73"/>
      <c r="Q150" s="73"/>
      <c r="R150" s="73"/>
      <c r="S150" s="73"/>
      <c r="T150" s="73"/>
      <c r="U150" s="73"/>
    </row>
    <row r="151" spans="1:21" ht="12.75" customHeight="1" x14ac:dyDescent="0.25">
      <c r="A151" s="349"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372</v>
      </c>
      <c r="B152" s="348"/>
      <c r="C152" s="348"/>
      <c r="D152" s="348"/>
      <c r="E152" s="348"/>
      <c r="F152" s="348"/>
      <c r="G152" s="348"/>
      <c r="H152" s="348"/>
      <c r="I152" s="348"/>
      <c r="N152" s="615"/>
      <c r="O152" s="615"/>
      <c r="P152" s="615"/>
      <c r="Q152" s="615"/>
      <c r="R152" s="615"/>
      <c r="S152" s="615"/>
      <c r="T152" s="615"/>
      <c r="U152" s="615"/>
    </row>
    <row r="153" spans="1:21" s="76" customFormat="1" ht="12.75" customHeight="1" x14ac:dyDescent="0.2">
      <c r="A153" s="349" t="s">
        <v>373</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374</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375</v>
      </c>
      <c r="B155" s="348"/>
      <c r="C155" s="348"/>
      <c r="D155" s="348"/>
      <c r="E155" s="348"/>
      <c r="F155" s="348"/>
      <c r="G155" s="348"/>
      <c r="H155" s="348"/>
      <c r="I155" s="348"/>
      <c r="N155" s="78"/>
    </row>
    <row r="156" spans="1:21" s="76" customFormat="1" ht="12.75" customHeight="1" x14ac:dyDescent="0.2">
      <c r="A156" s="349" t="s">
        <v>377</v>
      </c>
      <c r="B156" s="348"/>
      <c r="C156" s="348"/>
      <c r="D156" s="348"/>
      <c r="E156" s="348"/>
      <c r="F156" s="348"/>
      <c r="G156" s="348"/>
      <c r="H156" s="348"/>
      <c r="I156" s="348"/>
      <c r="K156" s="348"/>
      <c r="N156" s="78"/>
    </row>
    <row r="157" spans="1:21" s="76" customFormat="1" ht="12.75" customHeight="1" x14ac:dyDescent="0.2">
      <c r="A157" s="354" t="s">
        <v>376</v>
      </c>
      <c r="B157" s="348"/>
      <c r="C157" s="348"/>
      <c r="D157" s="348"/>
      <c r="E157" s="348"/>
      <c r="F157" s="348"/>
      <c r="G157" s="348"/>
      <c r="H157" s="348"/>
      <c r="I157" s="348"/>
      <c r="N157" s="78"/>
    </row>
    <row r="158" spans="1:21" s="76" customFormat="1" ht="12.75" customHeight="1" x14ac:dyDescent="0.2">
      <c r="A158" s="349" t="s">
        <v>378</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381</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383</v>
      </c>
      <c r="B162" s="348"/>
      <c r="C162" s="348"/>
      <c r="D162" s="348"/>
      <c r="E162" s="348"/>
      <c r="F162" s="348"/>
      <c r="G162" s="348"/>
      <c r="H162" s="348"/>
      <c r="I162" s="348"/>
      <c r="N162" s="78"/>
    </row>
    <row r="163" spans="1:14" s="76" customFormat="1" ht="12.75" customHeight="1" x14ac:dyDescent="0.2">
      <c r="A163" s="354" t="s">
        <v>382</v>
      </c>
      <c r="B163" s="348"/>
      <c r="C163" s="348"/>
      <c r="D163" s="348"/>
      <c r="E163" s="348"/>
      <c r="F163" s="348"/>
      <c r="G163" s="348"/>
      <c r="H163" s="348"/>
      <c r="I163" s="348"/>
      <c r="N163" s="78"/>
    </row>
    <row r="164" spans="1:14" s="76" customFormat="1" ht="12.75" customHeight="1" x14ac:dyDescent="0.2">
      <c r="A164" s="349" t="s">
        <v>384</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386</v>
      </c>
      <c r="B166" s="348"/>
      <c r="C166" s="348"/>
      <c r="D166" s="348"/>
      <c r="E166" s="348"/>
      <c r="F166" s="348"/>
      <c r="G166" s="348"/>
      <c r="H166" s="348"/>
      <c r="I166" s="348"/>
      <c r="N166" s="78"/>
    </row>
    <row r="167" spans="1:14" s="76" customFormat="1" ht="12.75" customHeight="1" x14ac:dyDescent="0.2">
      <c r="A167" s="354" t="s">
        <v>385</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387</v>
      </c>
      <c r="B172" s="358"/>
      <c r="C172" s="358"/>
      <c r="D172" s="358"/>
      <c r="E172" s="358"/>
      <c r="F172" s="358"/>
      <c r="G172" s="358"/>
      <c r="H172" s="358"/>
      <c r="I172" s="358"/>
      <c r="N172" s="78"/>
    </row>
    <row r="173" spans="1:14" s="76" customFormat="1" ht="12.75" customHeight="1" x14ac:dyDescent="0.2">
      <c r="A173" s="355" t="s">
        <v>388</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P66:Q66"/>
    <mergeCell ref="R66:T66"/>
    <mergeCell ref="T75:U75"/>
    <mergeCell ref="N76:S76"/>
    <mergeCell ref="T76:U76"/>
    <mergeCell ref="N70:S70"/>
    <mergeCell ref="T70:U70"/>
    <mergeCell ref="N69:O69"/>
    <mergeCell ref="Q69:S69"/>
    <mergeCell ref="T69:U69"/>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P111:R111"/>
    <mergeCell ref="N114:U114"/>
    <mergeCell ref="N117:O117"/>
    <mergeCell ref="P117:Q117"/>
    <mergeCell ref="R117:S117"/>
    <mergeCell ref="P101:Q101"/>
    <mergeCell ref="P102:Q102"/>
    <mergeCell ref="P103:Q103"/>
    <mergeCell ref="P104:T104"/>
    <mergeCell ref="N105:U105"/>
    <mergeCell ref="N107:P107"/>
    <mergeCell ref="Q107:T107"/>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s>
  <phoneticPr fontId="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135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150.04</v>
      </c>
      <c r="D14" s="141">
        <v>143.28</v>
      </c>
      <c r="E14" s="187">
        <f>IF(D$30=0,C14*2,C14+D14)</f>
        <v>293.32</v>
      </c>
      <c r="F14" s="561">
        <f>'1461'!F14:G14</f>
        <v>1.1220000000000001</v>
      </c>
      <c r="G14" s="561"/>
      <c r="H14" s="145">
        <f>ROUND(E14*F14,4)</f>
        <v>329.10500000000002</v>
      </c>
      <c r="I14" s="111">
        <f>ROUND(ROUND(ROUND(H14*$C$8,4)*($H$8),2)*(MAX($H$9,1)),2)</f>
        <v>1766275.62</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18</v>
      </c>
      <c r="D15" s="143">
        <v>19.149999999999999</v>
      </c>
      <c r="E15" s="116">
        <f t="shared" ref="E15:E29" si="1">IF(D$30=0,C15*2,C15+D15)</f>
        <v>37.15</v>
      </c>
      <c r="F15" s="558">
        <f>'1461'!F15:G15</f>
        <v>1.1220000000000001</v>
      </c>
      <c r="G15" s="558"/>
      <c r="H15" s="80">
        <f t="shared" ref="H15:H29" si="2">ROUND(E15*F15,4)</f>
        <v>41.682299999999998</v>
      </c>
      <c r="I15" s="101">
        <f t="shared" ref="I15:I29" si="3">ROUND(ROUND(ROUND(H15*$C$8,4)*($H$8),2)*(MAX($H$9,1)),2)</f>
        <v>223704.99</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174.36</v>
      </c>
      <c r="D16" s="143">
        <v>172.79</v>
      </c>
      <c r="E16" s="116">
        <f t="shared" si="1"/>
        <v>347.15</v>
      </c>
      <c r="F16" s="558">
        <f>'1461'!F16:G16</f>
        <v>1</v>
      </c>
      <c r="G16" s="558"/>
      <c r="H16" s="80">
        <f t="shared" si="2"/>
        <v>347.15</v>
      </c>
      <c r="I16" s="101">
        <f t="shared" si="3"/>
        <v>1863121.44</v>
      </c>
      <c r="N16" s="571" t="s">
        <v>22</v>
      </c>
      <c r="O16" s="571"/>
      <c r="P16" s="572">
        <f t="shared" si="0"/>
        <v>0</v>
      </c>
      <c r="Q16" s="572"/>
      <c r="R16" s="573">
        <v>1</v>
      </c>
      <c r="S16" s="573"/>
      <c r="T16" s="95">
        <f t="shared" si="4"/>
        <v>0</v>
      </c>
      <c r="U16" s="475">
        <f t="shared" si="5"/>
        <v>0</v>
      </c>
    </row>
    <row r="17" spans="1:21" x14ac:dyDescent="0.25">
      <c r="A17" s="520" t="s">
        <v>23</v>
      </c>
      <c r="B17" s="520"/>
      <c r="C17" s="143">
        <v>26</v>
      </c>
      <c r="D17" s="143">
        <v>26.76</v>
      </c>
      <c r="E17" s="116">
        <f t="shared" si="1"/>
        <v>52.760000000000005</v>
      </c>
      <c r="F17" s="558">
        <f>'1461'!F17:G17</f>
        <v>1</v>
      </c>
      <c r="G17" s="558"/>
      <c r="H17" s="80">
        <f t="shared" si="2"/>
        <v>52.76</v>
      </c>
      <c r="I17" s="101">
        <f t="shared" si="3"/>
        <v>283157.96000000002</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22.78</v>
      </c>
      <c r="D26" s="143">
        <v>25.83</v>
      </c>
      <c r="E26" s="116">
        <f t="shared" si="1"/>
        <v>48.61</v>
      </c>
      <c r="F26" s="558">
        <f>'1461'!F26:G26</f>
        <v>1.208</v>
      </c>
      <c r="G26" s="558"/>
      <c r="H26" s="80">
        <f t="shared" si="2"/>
        <v>58.7209</v>
      </c>
      <c r="I26" s="101">
        <f t="shared" si="3"/>
        <v>315149.55</v>
      </c>
      <c r="N26" s="571" t="s">
        <v>85</v>
      </c>
      <c r="O26" s="571"/>
      <c r="P26" s="572">
        <f t="shared" si="0"/>
        <v>0</v>
      </c>
      <c r="Q26" s="572"/>
      <c r="R26" s="573">
        <v>1</v>
      </c>
      <c r="S26" s="573"/>
      <c r="T26" s="95">
        <f t="shared" si="4"/>
        <v>0</v>
      </c>
      <c r="U26" s="475">
        <f t="shared" si="5"/>
        <v>0</v>
      </c>
    </row>
    <row r="27" spans="1:21" x14ac:dyDescent="0.25">
      <c r="A27" s="520" t="s">
        <v>86</v>
      </c>
      <c r="B27" s="520"/>
      <c r="C27" s="143">
        <v>24.09</v>
      </c>
      <c r="D27" s="143">
        <v>29.18</v>
      </c>
      <c r="E27" s="116">
        <f t="shared" si="1"/>
        <v>53.269999999999996</v>
      </c>
      <c r="F27" s="558">
        <f>'1461'!F27:G27</f>
        <v>1.208</v>
      </c>
      <c r="G27" s="558"/>
      <c r="H27" s="80">
        <f t="shared" si="2"/>
        <v>64.350200000000001</v>
      </c>
      <c r="I27" s="101">
        <f t="shared" si="3"/>
        <v>345361.48</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415.26999999999992</v>
      </c>
      <c r="D30" s="94">
        <f>SUM(D14:D29)</f>
        <v>416.99</v>
      </c>
      <c r="E30" s="94">
        <f>SUM(E14:E29)</f>
        <v>832.25999999999988</v>
      </c>
      <c r="F30" s="539"/>
      <c r="G30" s="539"/>
      <c r="H30" s="99">
        <f>SUM(H14:H29)</f>
        <v>893.76840000000004</v>
      </c>
      <c r="I30" s="94">
        <f>SUM(I14:I29)</f>
        <v>4796771.0399999991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893.76840000000004</v>
      </c>
      <c r="F46" s="34"/>
      <c r="G46" s="106"/>
      <c r="H46" s="107" t="s">
        <v>98</v>
      </c>
      <c r="I46" s="94">
        <f>SUM(I44,I30)</f>
        <v>4796771.0399999991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4796771.0399999991</v>
      </c>
      <c r="G51" s="109" t="s">
        <v>6</v>
      </c>
      <c r="H51" s="403">
        <v>4.5199999999999997E-2</v>
      </c>
      <c r="I51" s="101">
        <f>ROUND(F51*H51,2)</f>
        <v>216814.05</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4796771.0399999991</v>
      </c>
      <c r="G52" s="109" t="s">
        <v>6</v>
      </c>
      <c r="H52" s="403">
        <v>1.41E-2</v>
      </c>
      <c r="I52" s="101">
        <f>ROUND(F52*H52,2)</f>
        <v>67634.47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284448.52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17</v>
      </c>
      <c r="D57" s="143">
        <v>19.149999999999999</v>
      </c>
      <c r="E57" s="116">
        <f t="shared" ref="E57:E65" si="10">IF(D$72=0,C57*2,C57+D57)</f>
        <v>36.15</v>
      </c>
      <c r="F57" s="445" t="s">
        <v>439</v>
      </c>
      <c r="G57" s="445">
        <v>251</v>
      </c>
      <c r="H57" s="459">
        <f>'1461'!H57</f>
        <v>1047</v>
      </c>
      <c r="I57" s="101">
        <f>ROUND(E57*H57,2)</f>
        <v>37849.050000000003</v>
      </c>
      <c r="N57" s="621" t="s">
        <v>447</v>
      </c>
      <c r="O57" s="621"/>
      <c r="P57" s="624"/>
      <c r="Q57" s="624"/>
      <c r="R57" s="451" t="s">
        <v>439</v>
      </c>
      <c r="S57" s="451">
        <v>251</v>
      </c>
      <c r="T57" s="462">
        <f>H57</f>
        <v>1047</v>
      </c>
      <c r="U57" s="476">
        <f>ROUND(P57*T57,2)</f>
        <v>0</v>
      </c>
      <c r="V57" s="426"/>
    </row>
    <row r="58" spans="1:22" x14ac:dyDescent="0.25">
      <c r="A58" s="536"/>
      <c r="B58" s="536"/>
      <c r="C58" s="143">
        <v>1</v>
      </c>
      <c r="D58" s="143">
        <v>0</v>
      </c>
      <c r="E58" s="116">
        <f t="shared" si="10"/>
        <v>1</v>
      </c>
      <c r="F58" s="445" t="s">
        <v>439</v>
      </c>
      <c r="G58" s="445">
        <v>252</v>
      </c>
      <c r="H58" s="459">
        <f>'1461'!H58</f>
        <v>3380</v>
      </c>
      <c r="I58" s="101">
        <f t="shared" ref="I58:I65" si="11">ROUND(E58*H58,2)</f>
        <v>3380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24.5</v>
      </c>
      <c r="D60" s="143">
        <v>25.75</v>
      </c>
      <c r="E60" s="116">
        <f t="shared" si="10"/>
        <v>50.25</v>
      </c>
      <c r="F60" s="446" t="s">
        <v>13</v>
      </c>
      <c r="G60" s="445">
        <v>251</v>
      </c>
      <c r="H60" s="459">
        <f>'1461'!H60</f>
        <v>1173</v>
      </c>
      <c r="I60" s="101">
        <f t="shared" si="11"/>
        <v>58943.25</v>
      </c>
      <c r="N60" s="622"/>
      <c r="O60" s="622"/>
      <c r="P60" s="625"/>
      <c r="Q60" s="625"/>
      <c r="R60" s="40" t="s">
        <v>13</v>
      </c>
      <c r="S60" s="451">
        <v>251</v>
      </c>
      <c r="T60" s="462">
        <f t="shared" si="12"/>
        <v>1173</v>
      </c>
      <c r="U60" s="476">
        <f t="shared" si="13"/>
        <v>0</v>
      </c>
      <c r="V60" s="426"/>
    </row>
    <row r="61" spans="1:22" x14ac:dyDescent="0.25">
      <c r="A61" s="536"/>
      <c r="B61" s="536"/>
      <c r="C61" s="143">
        <v>1.5</v>
      </c>
      <c r="D61" s="143">
        <v>1.01</v>
      </c>
      <c r="E61" s="116">
        <f t="shared" si="10"/>
        <v>2.5099999999999998</v>
      </c>
      <c r="F61" s="446" t="s">
        <v>13</v>
      </c>
      <c r="G61" s="445">
        <v>252</v>
      </c>
      <c r="H61" s="459">
        <f>'1461'!H61</f>
        <v>3506</v>
      </c>
      <c r="I61" s="101">
        <f t="shared" si="11"/>
        <v>8800.06</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44</v>
      </c>
      <c r="D66" s="97">
        <f>SUM(D57:D65)</f>
        <v>45.91</v>
      </c>
      <c r="E66" s="97">
        <f>SUM(E57:E65)</f>
        <v>89.910000000000011</v>
      </c>
      <c r="F66" s="523" t="s">
        <v>448</v>
      </c>
      <c r="G66" s="523"/>
      <c r="H66" s="523"/>
      <c r="I66" s="97">
        <f>SUM(I57:I65)</f>
        <v>108972.36</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832.25999999999988</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4.0940000000000004E-3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893.76840000000004</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3.9280000000000001E-3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832.25999999999988</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4.4530000000000004E-3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832.25999999999988</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4.0980000000000001E-3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832.25999999999988</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4.4580000000000002E-3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4.0980000000000001E-3</v>
      </c>
      <c r="I85" s="101">
        <f>ROUND(F85*H85,2)</f>
        <v>183039.37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4.0940000000000004E-3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4.4580000000000002E-3</v>
      </c>
      <c r="I90" s="101">
        <f>ROUND(F90*H90,2)</f>
        <v>72072.72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4.4530000000000004E-3</v>
      </c>
      <c r="I92" s="101">
        <f t="shared" ref="I92:I96" si="14">ROUND(F92*H92,2)</f>
        <v>44708.56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3.9280000000000001E-3</v>
      </c>
      <c r="I94" s="101">
        <f t="shared" si="14"/>
        <v>938782.86</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3.9280000000000001E-3</v>
      </c>
      <c r="I96" s="101">
        <f t="shared" si="14"/>
        <v>-6284.98</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429.50819999999999</v>
      </c>
      <c r="D101" s="518"/>
      <c r="E101" s="46">
        <f>H8</f>
        <v>1.0442</v>
      </c>
      <c r="F101" s="304">
        <f>'1461'!F101</f>
        <v>947.59</v>
      </c>
      <c r="G101" s="39" t="s">
        <v>12</v>
      </c>
      <c r="H101" s="101">
        <f>ROUND(C101*E101*F101,2)</f>
        <v>424986.97</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464.26019999999994</v>
      </c>
      <c r="D102" s="518"/>
      <c r="E102" s="46">
        <f>H8</f>
        <v>1.0442</v>
      </c>
      <c r="F102" s="304">
        <f>'1461'!F102</f>
        <v>904.74</v>
      </c>
      <c r="G102" s="39" t="s">
        <v>12</v>
      </c>
      <c r="H102" s="101">
        <f>ROUND(C102*E102*F102,2)</f>
        <v>438600.31</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893.76839999999993</v>
      </c>
      <c r="D104" s="531"/>
      <c r="E104" s="123"/>
      <c r="F104" s="123"/>
      <c r="G104" s="123"/>
      <c r="H104" s="124" t="s">
        <v>100</v>
      </c>
      <c r="I104" s="101">
        <f>IF(A1=75,0,H103+H102+H101)</f>
        <v>863587.28</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7</v>
      </c>
      <c r="D110" s="143">
        <v>0</v>
      </c>
      <c r="E110" s="116">
        <f>(C110+D110)/2</f>
        <v>3.5</v>
      </c>
      <c r="F110" s="126" t="s">
        <v>30</v>
      </c>
      <c r="G110" s="305">
        <f>'1461'!G110</f>
        <v>565</v>
      </c>
      <c r="I110" s="101">
        <f>ROUND(G110*E110,2)</f>
        <v>1977.5</v>
      </c>
      <c r="N110" s="620" t="s">
        <v>52</v>
      </c>
      <c r="O110" s="620"/>
      <c r="P110" s="608">
        <f>IF(H130=1,E110,0)</f>
        <v>0</v>
      </c>
      <c r="Q110" s="608"/>
      <c r="R110" s="608"/>
      <c r="S110" s="83" t="s">
        <v>30</v>
      </c>
      <c r="T110" s="58">
        <f>G110</f>
        <v>565</v>
      </c>
      <c r="U110" s="475">
        <f>ROUND(T110*P110,2)</f>
        <v>0</v>
      </c>
    </row>
    <row r="111" spans="1:21" x14ac:dyDescent="0.25">
      <c r="A111" s="532" t="s">
        <v>380</v>
      </c>
      <c r="B111" s="553"/>
      <c r="C111" s="143">
        <v>2</v>
      </c>
      <c r="D111" s="143">
        <v>0</v>
      </c>
      <c r="E111" s="116">
        <f>(C111+D111)/2</f>
        <v>1</v>
      </c>
      <c r="F111" s="126" t="s">
        <v>30</v>
      </c>
      <c r="G111" s="305">
        <f>'1461'!G111</f>
        <v>1762</v>
      </c>
      <c r="I111" s="101">
        <f>ROUND(G111*E111,2)</f>
        <v>1762</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7005388.709999999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6720940.1899999995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6720940.1899999995</v>
      </c>
      <c r="I132" s="94">
        <f>ROUND(IF(E30=0,0,IF(E30&gt;250,-(((250/E30)*H132)*IF(G132="H",0.02,0.05)),IF(G132="H",-0.02*H132,-0.05*H132))),2)</f>
        <v>-100944.12</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6904444.5899999989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-1176043.8600000001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5728400.7299999986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572840.06999999995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235102.89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325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J11" s="256"/>
      <c r="K11" s="255"/>
      <c r="L11" s="255"/>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J12" s="254"/>
      <c r="K12" s="255"/>
      <c r="L12" s="255"/>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K13" s="255"/>
      <c r="L13" s="255"/>
      <c r="N13" s="574" t="s">
        <v>36</v>
      </c>
      <c r="O13" s="574"/>
      <c r="P13" s="575" t="s">
        <v>37</v>
      </c>
      <c r="Q13" s="575"/>
      <c r="R13" s="576" t="s">
        <v>38</v>
      </c>
      <c r="S13" s="576"/>
      <c r="T13" s="22" t="s">
        <v>39</v>
      </c>
      <c r="U13" s="23" t="s">
        <v>40</v>
      </c>
    </row>
    <row r="14" spans="1:21" x14ac:dyDescent="0.25">
      <c r="A14" s="541" t="s">
        <v>20</v>
      </c>
      <c r="B14" s="541"/>
      <c r="C14" s="143">
        <v>223.21</v>
      </c>
      <c r="D14" s="141">
        <v>211.42</v>
      </c>
      <c r="E14" s="187">
        <f>IF(D$30=0,C14*2,C14+D14)</f>
        <v>434.63</v>
      </c>
      <c r="F14" s="561">
        <f>'1461'!F14:G14</f>
        <v>1.1220000000000001</v>
      </c>
      <c r="G14" s="561"/>
      <c r="H14" s="145">
        <f>ROUND(E14*F14,4)</f>
        <v>487.6549</v>
      </c>
      <c r="I14" s="111">
        <f>ROUND(ROUND(ROUND(H14*$C$8,4)*($H$8),2)*(MAX($H$9,1)),2)</f>
        <v>2617198.04</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17</v>
      </c>
      <c r="D15" s="143">
        <v>17.489999999999998</v>
      </c>
      <c r="E15" s="116">
        <f t="shared" ref="E15:E29" si="1">IF(D$30=0,C15*2,C15+D15)</f>
        <v>34.489999999999995</v>
      </c>
      <c r="F15" s="558">
        <f>'1461'!F15:G15</f>
        <v>1.1220000000000001</v>
      </c>
      <c r="G15" s="558"/>
      <c r="H15" s="80">
        <f t="shared" ref="H15:H29" si="2">ROUND(E15*F15,4)</f>
        <v>38.697800000000001</v>
      </c>
      <c r="I15" s="101">
        <f t="shared" ref="I15:I29" si="3">ROUND(ROUND(ROUND(H15*$C$8,4)*($H$8),2)*(MAX($H$9,1)),2)</f>
        <v>207687.46</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231.37</v>
      </c>
      <c r="D16" s="143">
        <v>224.37</v>
      </c>
      <c r="E16" s="116">
        <f t="shared" si="1"/>
        <v>455.74</v>
      </c>
      <c r="F16" s="558">
        <f>'1461'!F16:G16</f>
        <v>1</v>
      </c>
      <c r="G16" s="558"/>
      <c r="H16" s="80">
        <f t="shared" si="2"/>
        <v>455.74</v>
      </c>
      <c r="I16" s="101">
        <f t="shared" si="3"/>
        <v>2445913.77</v>
      </c>
      <c r="N16" s="571" t="s">
        <v>22</v>
      </c>
      <c r="O16" s="571"/>
      <c r="P16" s="572">
        <f t="shared" si="0"/>
        <v>0</v>
      </c>
      <c r="Q16" s="572"/>
      <c r="R16" s="573">
        <v>1</v>
      </c>
      <c r="S16" s="573"/>
      <c r="T16" s="95">
        <f t="shared" si="4"/>
        <v>0</v>
      </c>
      <c r="U16" s="475">
        <f t="shared" si="5"/>
        <v>0</v>
      </c>
    </row>
    <row r="17" spans="1:21" x14ac:dyDescent="0.25">
      <c r="A17" s="520" t="s">
        <v>23</v>
      </c>
      <c r="B17" s="520"/>
      <c r="C17" s="143">
        <v>35.94</v>
      </c>
      <c r="D17" s="143">
        <v>35.96</v>
      </c>
      <c r="E17" s="116">
        <f t="shared" si="1"/>
        <v>71.900000000000006</v>
      </c>
      <c r="F17" s="558">
        <f>'1461'!F17:G17</f>
        <v>1</v>
      </c>
      <c r="G17" s="558"/>
      <c r="H17" s="80">
        <f t="shared" si="2"/>
        <v>71.900000000000006</v>
      </c>
      <c r="I17" s="101">
        <f t="shared" si="3"/>
        <v>385880.55</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6.09</v>
      </c>
      <c r="D26" s="143">
        <v>6.45</v>
      </c>
      <c r="E26" s="116">
        <f t="shared" si="1"/>
        <v>12.54</v>
      </c>
      <c r="F26" s="558">
        <f>'1461'!F26:G26</f>
        <v>1.208</v>
      </c>
      <c r="G26" s="558"/>
      <c r="H26" s="80">
        <f t="shared" si="2"/>
        <v>15.148300000000001</v>
      </c>
      <c r="I26" s="101">
        <f t="shared" si="3"/>
        <v>81299.5</v>
      </c>
      <c r="N26" s="571" t="s">
        <v>85</v>
      </c>
      <c r="O26" s="571"/>
      <c r="P26" s="572">
        <f t="shared" si="0"/>
        <v>0</v>
      </c>
      <c r="Q26" s="572"/>
      <c r="R26" s="573">
        <v>1</v>
      </c>
      <c r="S26" s="573"/>
      <c r="T26" s="95">
        <f t="shared" si="4"/>
        <v>0</v>
      </c>
      <c r="U26" s="475">
        <f t="shared" si="5"/>
        <v>0</v>
      </c>
    </row>
    <row r="27" spans="1:21" x14ac:dyDescent="0.25">
      <c r="A27" s="520" t="s">
        <v>86</v>
      </c>
      <c r="B27" s="520"/>
      <c r="C27" s="143">
        <v>7.47</v>
      </c>
      <c r="D27" s="143">
        <v>6.45</v>
      </c>
      <c r="E27" s="116">
        <f t="shared" si="1"/>
        <v>13.92</v>
      </c>
      <c r="F27" s="558">
        <f>'1461'!F27:G27</f>
        <v>1.208</v>
      </c>
      <c r="G27" s="558"/>
      <c r="H27" s="80">
        <f t="shared" si="2"/>
        <v>16.8154</v>
      </c>
      <c r="I27" s="101">
        <f t="shared" si="3"/>
        <v>90246.67</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521.08000000000004</v>
      </c>
      <c r="D30" s="94">
        <f>SUM(D14:D29)</f>
        <v>502.13999999999993</v>
      </c>
      <c r="E30" s="94">
        <f>SUM(E14:E29)</f>
        <v>1023.2199999999999</v>
      </c>
      <c r="F30" s="539"/>
      <c r="G30" s="539"/>
      <c r="H30" s="99">
        <f>SUM(H14:H29)</f>
        <v>1085.9564</v>
      </c>
      <c r="I30" s="94">
        <f>SUM(I14:I29)</f>
        <v>5828225.9899999993</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1085.9564</v>
      </c>
      <c r="F46" s="34"/>
      <c r="G46" s="106"/>
      <c r="H46" s="107" t="s">
        <v>98</v>
      </c>
      <c r="I46" s="94">
        <f>SUM(I44,I30)</f>
        <v>5828225.9899999993</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5828225.9899999993</v>
      </c>
      <c r="G51" s="109" t="s">
        <v>6</v>
      </c>
      <c r="H51" s="403">
        <v>4.5199999999999997E-2</v>
      </c>
      <c r="I51" s="101">
        <f>ROUND(F51*H51,2)</f>
        <v>263435.81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5828225.9899999993</v>
      </c>
      <c r="G52" s="109" t="s">
        <v>6</v>
      </c>
      <c r="H52" s="403">
        <v>1.41E-2</v>
      </c>
      <c r="I52" s="101">
        <f>ROUND(F52*H52,2)</f>
        <v>82177.990000000005</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345613.8</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12</v>
      </c>
      <c r="D57" s="143">
        <v>10.96</v>
      </c>
      <c r="E57" s="116">
        <f t="shared" ref="E57:E65" si="10">IF(D$72=0,C57*2,C57+D57)</f>
        <v>22.96</v>
      </c>
      <c r="F57" s="445" t="s">
        <v>439</v>
      </c>
      <c r="G57" s="445">
        <v>251</v>
      </c>
      <c r="H57" s="459">
        <f>'1461'!H57</f>
        <v>1047</v>
      </c>
      <c r="I57" s="101">
        <f>ROUND(E57*H57,2)</f>
        <v>24039.119999999999</v>
      </c>
      <c r="N57" s="621" t="s">
        <v>447</v>
      </c>
      <c r="O57" s="621"/>
      <c r="P57" s="624"/>
      <c r="Q57" s="624"/>
      <c r="R57" s="451" t="s">
        <v>439</v>
      </c>
      <c r="S57" s="451">
        <v>251</v>
      </c>
      <c r="T57" s="462">
        <f>H57</f>
        <v>1047</v>
      </c>
      <c r="U57" s="476">
        <f>ROUND(P57*T57,2)</f>
        <v>0</v>
      </c>
      <c r="V57" s="426"/>
    </row>
    <row r="58" spans="1:22" x14ac:dyDescent="0.25">
      <c r="A58" s="536"/>
      <c r="B58" s="536"/>
      <c r="C58" s="143">
        <v>5</v>
      </c>
      <c r="D58" s="143">
        <v>6.53</v>
      </c>
      <c r="E58" s="116">
        <f t="shared" si="10"/>
        <v>11.530000000000001</v>
      </c>
      <c r="F58" s="445" t="s">
        <v>439</v>
      </c>
      <c r="G58" s="445">
        <v>252</v>
      </c>
      <c r="H58" s="459">
        <f>'1461'!H58</f>
        <v>3380</v>
      </c>
      <c r="I58" s="101">
        <f t="shared" ref="I58:I65" si="11">ROUND(E58*H58,2)</f>
        <v>38971.4</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25.93</v>
      </c>
      <c r="D60" s="143">
        <v>25.99</v>
      </c>
      <c r="E60" s="116">
        <f t="shared" si="10"/>
        <v>51.92</v>
      </c>
      <c r="F60" s="446" t="s">
        <v>13</v>
      </c>
      <c r="G60" s="445">
        <v>251</v>
      </c>
      <c r="H60" s="459">
        <f>'1461'!H60</f>
        <v>1173</v>
      </c>
      <c r="I60" s="101">
        <f t="shared" si="11"/>
        <v>60902.16</v>
      </c>
      <c r="N60" s="622"/>
      <c r="O60" s="622"/>
      <c r="P60" s="625"/>
      <c r="Q60" s="625"/>
      <c r="R60" s="40" t="s">
        <v>13</v>
      </c>
      <c r="S60" s="451">
        <v>251</v>
      </c>
      <c r="T60" s="462">
        <f t="shared" si="12"/>
        <v>1173</v>
      </c>
      <c r="U60" s="476">
        <f t="shared" si="13"/>
        <v>0</v>
      </c>
      <c r="V60" s="426"/>
    </row>
    <row r="61" spans="1:22" x14ac:dyDescent="0.25">
      <c r="A61" s="536"/>
      <c r="B61" s="536"/>
      <c r="C61" s="143">
        <v>10.01</v>
      </c>
      <c r="D61" s="143">
        <v>9.9700000000000006</v>
      </c>
      <c r="E61" s="116">
        <f t="shared" si="10"/>
        <v>19.98</v>
      </c>
      <c r="F61" s="446" t="s">
        <v>13</v>
      </c>
      <c r="G61" s="445">
        <v>252</v>
      </c>
      <c r="H61" s="459">
        <f>'1461'!H61</f>
        <v>3506</v>
      </c>
      <c r="I61" s="101">
        <f t="shared" si="11"/>
        <v>70049.88</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52.94</v>
      </c>
      <c r="D66" s="97">
        <f>SUM(D57:D65)</f>
        <v>53.45</v>
      </c>
      <c r="E66" s="97">
        <f>SUM(E57:E65)</f>
        <v>106.39</v>
      </c>
      <c r="F66" s="523" t="s">
        <v>448</v>
      </c>
      <c r="G66" s="523"/>
      <c r="H66" s="523"/>
      <c r="I66" s="97">
        <f>SUM(I57:I65)</f>
        <v>193962.56</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1023.2199999999999</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5.0330000000000001E-3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1085.9564</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4.7730000000000003E-3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1023.2199999999999</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5.4739999999999997E-3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1023.2199999999999</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5.0379999999999999E-3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1023.2199999999999</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5.4809999999999998E-3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5.0379999999999999E-3</v>
      </c>
      <c r="I85" s="101">
        <f>ROUND(F85*H85,2)</f>
        <v>225024.97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5.0330000000000001E-3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5.4809999999999998E-3</v>
      </c>
      <c r="I90" s="101">
        <f>ROUND(F90*H90,2)</f>
        <v>88611.61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5.4739999999999997E-3</v>
      </c>
      <c r="I92" s="101">
        <f t="shared" ref="I92:I96" si="14">ROUND(F92*H92,2)</f>
        <v>54959.5</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4.7730000000000003E-3</v>
      </c>
      <c r="I94" s="101">
        <f t="shared" si="14"/>
        <v>1140735.8999999999</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4.7730000000000003E-3</v>
      </c>
      <c r="I96" s="101">
        <f t="shared" si="14"/>
        <v>-7637.02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541.50099999999998</v>
      </c>
      <c r="D101" s="518"/>
      <c r="E101" s="46">
        <f>H8</f>
        <v>1.0442</v>
      </c>
      <c r="F101" s="304">
        <f>'1461'!F101</f>
        <v>947.59</v>
      </c>
      <c r="G101" s="39" t="s">
        <v>12</v>
      </c>
      <c r="H101" s="101">
        <f>ROUND(C101*E101*F101,2)</f>
        <v>535800.88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544.45539999999994</v>
      </c>
      <c r="D102" s="518"/>
      <c r="E102" s="46">
        <f>H8</f>
        <v>1.0442</v>
      </c>
      <c r="F102" s="304">
        <f>'1461'!F102</f>
        <v>904.74</v>
      </c>
      <c r="G102" s="39" t="s">
        <v>12</v>
      </c>
      <c r="H102" s="101">
        <f>ROUND(C102*E102*F102,2)</f>
        <v>514363.08</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1085.9564</v>
      </c>
      <c r="D104" s="531"/>
      <c r="E104" s="123"/>
      <c r="F104" s="123"/>
      <c r="G104" s="123"/>
      <c r="H104" s="124" t="s">
        <v>100</v>
      </c>
      <c r="I104" s="101">
        <f>IF(A1=75,0,H103+H102+H101)</f>
        <v>1050163.96</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140</v>
      </c>
      <c r="D110" s="143">
        <v>141</v>
      </c>
      <c r="E110" s="116">
        <f>(C110+D110)/2</f>
        <v>140.5</v>
      </c>
      <c r="F110" s="126" t="s">
        <v>30</v>
      </c>
      <c r="G110" s="305">
        <f>'1461'!G110</f>
        <v>565</v>
      </c>
      <c r="I110" s="101">
        <f>ROUND(G110*E110,2)</f>
        <v>79382.5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8653429.9699999988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8307816.169999999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8307816.169999999</v>
      </c>
      <c r="I132" s="94">
        <f>ROUND(IF(E30=0,0,IF(E30&gt;250,-(((250/E30)*H132)*IF(G132="H",0.02,0.05)),IF(G132="H",-0.02*H132,-0.05*H132))),2)</f>
        <v>-40596.43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8612833.5399999991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v>-1461472.08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7151361.459999999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715136.15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125559.89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99:D99"/>
    <mergeCell ref="C100:D100"/>
    <mergeCell ref="N100:O100"/>
    <mergeCell ref="P100:Q100"/>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245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52.6</v>
      </c>
      <c r="D14" s="141">
        <v>49.75</v>
      </c>
      <c r="E14" s="187">
        <f>IF(D$30=0,C14*2,C14+D14)</f>
        <v>102.35</v>
      </c>
      <c r="F14" s="561">
        <f>'1461'!F14:G14</f>
        <v>1.1220000000000001</v>
      </c>
      <c r="G14" s="561"/>
      <c r="H14" s="145">
        <f>ROUND(E14*F14,4)</f>
        <v>114.83669999999999</v>
      </c>
      <c r="I14" s="111">
        <f>ROUND(ROUND(ROUND(H14*$C$8,4)*($H$8),2)*(MAX($H$9,1)),2)</f>
        <v>616317.78</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5.35</v>
      </c>
      <c r="D15" s="143">
        <v>4.41</v>
      </c>
      <c r="E15" s="116">
        <f t="shared" ref="E15:E29" si="1">IF(D$30=0,C15*2,C15+D15)</f>
        <v>9.76</v>
      </c>
      <c r="F15" s="558">
        <f>'1461'!F15:G15</f>
        <v>1.1220000000000001</v>
      </c>
      <c r="G15" s="558"/>
      <c r="H15" s="80">
        <f t="shared" ref="H15:H29" si="2">ROUND(E15*F15,4)</f>
        <v>10.950699999999999</v>
      </c>
      <c r="I15" s="101">
        <f t="shared" ref="I15:I29" si="3">ROUND(ROUND(ROUND(H15*$C$8,4)*($H$8),2)*(MAX($H$9,1)),2)</f>
        <v>58771.38</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69.58</v>
      </c>
      <c r="D16" s="143">
        <v>68.790000000000006</v>
      </c>
      <c r="E16" s="116">
        <f t="shared" si="1"/>
        <v>138.37</v>
      </c>
      <c r="F16" s="558">
        <f>'1461'!F16:G16</f>
        <v>1</v>
      </c>
      <c r="G16" s="558"/>
      <c r="H16" s="80">
        <f t="shared" si="2"/>
        <v>138.37</v>
      </c>
      <c r="I16" s="101">
        <f t="shared" si="3"/>
        <v>742618.79</v>
      </c>
      <c r="N16" s="571" t="s">
        <v>22</v>
      </c>
      <c r="O16" s="571"/>
      <c r="P16" s="572">
        <f t="shared" si="0"/>
        <v>0</v>
      </c>
      <c r="Q16" s="572"/>
      <c r="R16" s="573">
        <v>1</v>
      </c>
      <c r="S16" s="573"/>
      <c r="T16" s="95">
        <f t="shared" si="4"/>
        <v>0</v>
      </c>
      <c r="U16" s="475">
        <f t="shared" si="5"/>
        <v>0</v>
      </c>
    </row>
    <row r="17" spans="1:21" x14ac:dyDescent="0.25">
      <c r="A17" s="520" t="s">
        <v>23</v>
      </c>
      <c r="B17" s="520"/>
      <c r="C17" s="143">
        <v>10.5</v>
      </c>
      <c r="D17" s="143">
        <v>11.43</v>
      </c>
      <c r="E17" s="116">
        <f t="shared" si="1"/>
        <v>21.93</v>
      </c>
      <c r="F17" s="558">
        <f>'1461'!F17:G17</f>
        <v>1</v>
      </c>
      <c r="G17" s="558"/>
      <c r="H17" s="80">
        <f t="shared" si="2"/>
        <v>21.93</v>
      </c>
      <c r="I17" s="101">
        <f t="shared" si="3"/>
        <v>117696.25</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2.16</v>
      </c>
      <c r="D26" s="143">
        <v>3.03</v>
      </c>
      <c r="E26" s="116">
        <f t="shared" si="1"/>
        <v>5.1899999999999995</v>
      </c>
      <c r="F26" s="558">
        <f>'1461'!F26:G26</f>
        <v>1.208</v>
      </c>
      <c r="G26" s="558"/>
      <c r="H26" s="80">
        <f t="shared" si="2"/>
        <v>6.2694999999999999</v>
      </c>
      <c r="I26" s="101">
        <f t="shared" si="3"/>
        <v>33647.82</v>
      </c>
      <c r="N26" s="571" t="s">
        <v>85</v>
      </c>
      <c r="O26" s="571"/>
      <c r="P26" s="572">
        <f t="shared" si="0"/>
        <v>0</v>
      </c>
      <c r="Q26" s="572"/>
      <c r="R26" s="573">
        <v>1</v>
      </c>
      <c r="S26" s="573"/>
      <c r="T26" s="95">
        <f t="shared" si="4"/>
        <v>0</v>
      </c>
      <c r="U26" s="475">
        <f t="shared" si="5"/>
        <v>0</v>
      </c>
    </row>
    <row r="27" spans="1:21" x14ac:dyDescent="0.25">
      <c r="A27" s="520" t="s">
        <v>86</v>
      </c>
      <c r="B27" s="520"/>
      <c r="C27" s="143">
        <v>2.1800000000000002</v>
      </c>
      <c r="D27" s="143">
        <v>2.1800000000000002</v>
      </c>
      <c r="E27" s="116">
        <f t="shared" si="1"/>
        <v>4.3600000000000003</v>
      </c>
      <c r="F27" s="558">
        <f>'1461'!F27:G27</f>
        <v>1.208</v>
      </c>
      <c r="G27" s="558"/>
      <c r="H27" s="80">
        <f t="shared" si="2"/>
        <v>5.2668999999999997</v>
      </c>
      <c r="I27" s="101">
        <f t="shared" si="3"/>
        <v>28266.959999999999</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142.37</v>
      </c>
      <c r="D30" s="94">
        <f>SUM(D14:D29)</f>
        <v>139.59</v>
      </c>
      <c r="E30" s="94">
        <f>SUM(E14:E29)</f>
        <v>281.96000000000004</v>
      </c>
      <c r="F30" s="539"/>
      <c r="G30" s="539"/>
      <c r="H30" s="99">
        <f>SUM(H14:H29)</f>
        <v>297.62380000000002</v>
      </c>
      <c r="I30" s="94">
        <f>SUM(I14:I29)</f>
        <v>1597318.9800000002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297.62380000000002</v>
      </c>
      <c r="F46" s="34"/>
      <c r="G46" s="106"/>
      <c r="H46" s="107" t="s">
        <v>98</v>
      </c>
      <c r="I46" s="94">
        <f>SUM(I44,I30)</f>
        <v>1597318.9800000002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1597318.9800000002</v>
      </c>
      <c r="G51" s="109" t="s">
        <v>6</v>
      </c>
      <c r="H51" s="403">
        <v>4.5199999999999997E-2</v>
      </c>
      <c r="I51" s="101">
        <f>ROUND(F51*H51,2)</f>
        <v>72198.820000000007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1597318.9800000002</v>
      </c>
      <c r="G52" s="109" t="s">
        <v>6</v>
      </c>
      <c r="H52" s="403">
        <v>1.41E-2</v>
      </c>
      <c r="I52" s="101">
        <f>ROUND(F52*H52,2)</f>
        <v>22522.2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94721.02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4.34</v>
      </c>
      <c r="D57" s="143">
        <v>3.38</v>
      </c>
      <c r="E57" s="116">
        <f t="shared" ref="E57:E65" si="10">IF(D$72=0,C57*2,C57+D57)</f>
        <v>7.72</v>
      </c>
      <c r="F57" s="445" t="s">
        <v>439</v>
      </c>
      <c r="G57" s="445">
        <v>251</v>
      </c>
      <c r="H57" s="459">
        <f>'1461'!H57</f>
        <v>1047</v>
      </c>
      <c r="I57" s="101">
        <f>ROUND(E57*H57,2)</f>
        <v>8082.84</v>
      </c>
      <c r="N57" s="621" t="s">
        <v>447</v>
      </c>
      <c r="O57" s="621"/>
      <c r="P57" s="624"/>
      <c r="Q57" s="624"/>
      <c r="R57" s="451" t="s">
        <v>439</v>
      </c>
      <c r="S57" s="451">
        <v>251</v>
      </c>
      <c r="T57" s="462">
        <f>H57</f>
        <v>1047</v>
      </c>
      <c r="U57" s="476">
        <f>ROUND(P57*T57,2)</f>
        <v>0</v>
      </c>
      <c r="V57" s="426"/>
    </row>
    <row r="58" spans="1:22" x14ac:dyDescent="0.25">
      <c r="A58" s="536"/>
      <c r="B58" s="536"/>
      <c r="C58" s="143">
        <v>1.01</v>
      </c>
      <c r="D58" s="143">
        <v>1.03</v>
      </c>
      <c r="E58" s="116">
        <f t="shared" si="10"/>
        <v>2.04</v>
      </c>
      <c r="F58" s="445" t="s">
        <v>439</v>
      </c>
      <c r="G58" s="445">
        <v>252</v>
      </c>
      <c r="H58" s="459">
        <f>'1461'!H58</f>
        <v>3380</v>
      </c>
      <c r="I58" s="101">
        <f t="shared" ref="I58:I65" si="11">ROUND(E58*H58,2)</f>
        <v>6895.2</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9.5</v>
      </c>
      <c r="D60" s="143">
        <v>10.43</v>
      </c>
      <c r="E60" s="116">
        <f t="shared" si="10"/>
        <v>19.93</v>
      </c>
      <c r="F60" s="446" t="s">
        <v>13</v>
      </c>
      <c r="G60" s="445">
        <v>251</v>
      </c>
      <c r="H60" s="459">
        <f>'1461'!H60</f>
        <v>1173</v>
      </c>
      <c r="I60" s="101">
        <f t="shared" si="11"/>
        <v>23377.89</v>
      </c>
      <c r="N60" s="622"/>
      <c r="O60" s="622"/>
      <c r="P60" s="625"/>
      <c r="Q60" s="625"/>
      <c r="R60" s="40" t="s">
        <v>13</v>
      </c>
      <c r="S60" s="451">
        <v>251</v>
      </c>
      <c r="T60" s="462">
        <f t="shared" si="12"/>
        <v>1173</v>
      </c>
      <c r="U60" s="476">
        <f t="shared" si="13"/>
        <v>0</v>
      </c>
      <c r="V60" s="426"/>
    </row>
    <row r="61" spans="1:22" x14ac:dyDescent="0.25">
      <c r="A61" s="536"/>
      <c r="B61" s="536"/>
      <c r="C61" s="143">
        <v>1</v>
      </c>
      <c r="D61" s="143">
        <v>1</v>
      </c>
      <c r="E61" s="116">
        <f t="shared" si="10"/>
        <v>2</v>
      </c>
      <c r="F61" s="446" t="s">
        <v>13</v>
      </c>
      <c r="G61" s="445">
        <v>252</v>
      </c>
      <c r="H61" s="459">
        <f>'1461'!H61</f>
        <v>3506</v>
      </c>
      <c r="I61" s="101">
        <f t="shared" si="11"/>
        <v>7012</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15.85</v>
      </c>
      <c r="D66" s="97">
        <f>SUM(D57:D65)</f>
        <v>15.84</v>
      </c>
      <c r="E66" s="97">
        <f>SUM(E57:E65)</f>
        <v>31.689999999999998</v>
      </c>
      <c r="F66" s="523" t="s">
        <v>448</v>
      </c>
      <c r="G66" s="523"/>
      <c r="H66" s="523"/>
      <c r="I66" s="97">
        <f>SUM(I57:I65)</f>
        <v>45367.93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281.96000000000004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1.387E-3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297.62380000000002</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1.3079999999999999E-3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281.96000000000004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1.5089999999999999E-3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281.96000000000004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1.3879999999999999E-3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281.96000000000004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1.5100000000000001E-3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1.3879999999999999E-3</v>
      </c>
      <c r="I85" s="101">
        <f>ROUND(F85*H85,2)</f>
        <v>61995.76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1.387E-3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1.5100000000000001E-3</v>
      </c>
      <c r="I90" s="101">
        <f>ROUND(F90*H90,2)</f>
        <v>24412.25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1.5089999999999999E-3</v>
      </c>
      <c r="I92" s="101">
        <f t="shared" ref="I92:I96" si="14">ROUND(F92*H92,2)</f>
        <v>15150.51</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1.3079999999999999E-3</v>
      </c>
      <c r="I94" s="101">
        <f t="shared" si="14"/>
        <v>312608.96000000002</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1.3079999999999999E-3</v>
      </c>
      <c r="I96" s="101">
        <f t="shared" si="14"/>
        <v>-2092.86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v>-1</v>
      </c>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132.05689999999998</v>
      </c>
      <c r="D101" s="518"/>
      <c r="E101" s="46">
        <f>H8</f>
        <v>1.0442</v>
      </c>
      <c r="F101" s="304">
        <f>'1461'!F101</f>
        <v>947.59</v>
      </c>
      <c r="G101" s="39" t="s">
        <v>12</v>
      </c>
      <c r="H101" s="101">
        <f>ROUND(C101*E101*F101,2)</f>
        <v>130666.8</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165.5669</v>
      </c>
      <c r="D102" s="518"/>
      <c r="E102" s="46">
        <f>H8</f>
        <v>1.0442</v>
      </c>
      <c r="F102" s="304">
        <f>'1461'!F102</f>
        <v>904.74</v>
      </c>
      <c r="G102" s="39" t="s">
        <v>12</v>
      </c>
      <c r="H102" s="101">
        <f>ROUND(C102*E102*F102,2)</f>
        <v>156415.94</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297.62379999999996</v>
      </c>
      <c r="D104" s="531"/>
      <c r="E104" s="123"/>
      <c r="F104" s="123"/>
      <c r="G104" s="123"/>
      <c r="H104" s="124" t="s">
        <v>100</v>
      </c>
      <c r="I104" s="101">
        <f>IF(A1=75,0,H103+H102+H101)</f>
        <v>287082.74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26</v>
      </c>
      <c r="D110" s="143">
        <v>41</v>
      </c>
      <c r="E110" s="144">
        <f>(C110+D110)/2</f>
        <v>33.5</v>
      </c>
      <c r="F110" s="126" t="s">
        <v>30</v>
      </c>
      <c r="G110" s="305">
        <f>'1461'!G110</f>
        <v>565</v>
      </c>
      <c r="I110" s="101">
        <f>ROUND(G110*E110,2)</f>
        <v>18927.5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2360771.77</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2266050.75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2266050.75</v>
      </c>
      <c r="I132" s="94">
        <f>ROUND(IF(E30=0,0,IF(E30&gt;250,-(((250/E30)*H132)*IF(G132="H",0.02,0.05)),IF(G132="H",-0.02*H132,-0.05*H132))),2)</f>
        <v>-100459.76</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2260312.0100000002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-384483.65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1875828.3600000003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187582.84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12842.78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236</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53.55</v>
      </c>
      <c r="D18" s="143">
        <v>52.95</v>
      </c>
      <c r="E18" s="116">
        <f t="shared" si="1"/>
        <v>106.5</v>
      </c>
      <c r="F18" s="558">
        <f>'1461'!F18:G18</f>
        <v>0.98799999999999999</v>
      </c>
      <c r="G18" s="558"/>
      <c r="H18" s="80">
        <f t="shared" si="2"/>
        <v>105.22199999999999</v>
      </c>
      <c r="I18" s="101">
        <f t="shared" si="3"/>
        <v>564716.59</v>
      </c>
      <c r="N18" s="571" t="s">
        <v>24</v>
      </c>
      <c r="O18" s="571"/>
      <c r="P18" s="572">
        <f t="shared" si="0"/>
        <v>0</v>
      </c>
      <c r="Q18" s="572"/>
      <c r="R18" s="573">
        <v>1</v>
      </c>
      <c r="S18" s="573"/>
      <c r="T18" s="95">
        <f t="shared" si="4"/>
        <v>0</v>
      </c>
      <c r="U18" s="475">
        <f t="shared" si="5"/>
        <v>0</v>
      </c>
    </row>
    <row r="19" spans="1:21" x14ac:dyDescent="0.25">
      <c r="A19" s="520" t="s">
        <v>25</v>
      </c>
      <c r="B19" s="520"/>
      <c r="C19" s="143">
        <v>13.5</v>
      </c>
      <c r="D19" s="143">
        <v>16.149999999999999</v>
      </c>
      <c r="E19" s="116">
        <f t="shared" si="1"/>
        <v>29.65</v>
      </c>
      <c r="F19" s="558">
        <f>'1461'!F19:G19</f>
        <v>0.98799999999999999</v>
      </c>
      <c r="G19" s="558"/>
      <c r="H19" s="80">
        <f t="shared" si="2"/>
        <v>29.2942</v>
      </c>
      <c r="I19" s="101">
        <f t="shared" si="3"/>
        <v>157219.22</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2.5499999999999998</v>
      </c>
      <c r="D28" s="143">
        <v>2.2799999999999998</v>
      </c>
      <c r="E28" s="116">
        <f t="shared" si="1"/>
        <v>4.83</v>
      </c>
      <c r="F28" s="558">
        <f>'1461'!F28:G28</f>
        <v>1.208</v>
      </c>
      <c r="G28" s="558"/>
      <c r="H28" s="80">
        <f t="shared" si="2"/>
        <v>5.8346</v>
      </c>
      <c r="I28" s="101">
        <f t="shared" si="3"/>
        <v>31313.75</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69.599999999999994</v>
      </c>
      <c r="D30" s="94">
        <f>SUM(D14:D29)</f>
        <v>71.38</v>
      </c>
      <c r="E30" s="94">
        <f>SUM(E14:E29)</f>
        <v>140.98000000000002</v>
      </c>
      <c r="F30" s="539"/>
      <c r="G30" s="539"/>
      <c r="H30" s="99">
        <f>SUM(H14:H29)</f>
        <v>140.35079999999999</v>
      </c>
      <c r="I30" s="94">
        <f>SUM(I14:I29)</f>
        <v>753249.55999999994</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140.35079999999999</v>
      </c>
      <c r="F46" s="34"/>
      <c r="G46" s="106"/>
      <c r="H46" s="107" t="s">
        <v>98</v>
      </c>
      <c r="I46" s="94">
        <f>SUM(I44,I30)</f>
        <v>753249.55999999994</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753249.55999999994</v>
      </c>
      <c r="G51" s="109" t="s">
        <v>6</v>
      </c>
      <c r="H51" s="403">
        <v>4.5199999999999997E-2</v>
      </c>
      <c r="I51" s="101">
        <f>ROUND(F51*H51,2)</f>
        <v>34046.879999999997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753249.55999999994</v>
      </c>
      <c r="G52" s="109" t="s">
        <v>6</v>
      </c>
      <c r="H52" s="403">
        <v>1.41E-2</v>
      </c>
      <c r="I52" s="101">
        <f>ROUND(F52*H52,2)</f>
        <v>10620.82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44667.7</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12.5</v>
      </c>
      <c r="D63" s="143">
        <v>15.15</v>
      </c>
      <c r="E63" s="116">
        <f t="shared" si="10"/>
        <v>27.65</v>
      </c>
      <c r="F63" s="446" t="s">
        <v>14</v>
      </c>
      <c r="G63" s="445">
        <v>251</v>
      </c>
      <c r="H63" s="459">
        <f>'1461'!H63</f>
        <v>835</v>
      </c>
      <c r="I63" s="101">
        <f t="shared" si="11"/>
        <v>23087.75</v>
      </c>
      <c r="N63" s="622"/>
      <c r="O63" s="622"/>
      <c r="P63" s="625"/>
      <c r="Q63" s="625"/>
      <c r="R63" s="40" t="s">
        <v>14</v>
      </c>
      <c r="S63" s="451">
        <v>251</v>
      </c>
      <c r="T63" s="462">
        <f t="shared" si="12"/>
        <v>835</v>
      </c>
      <c r="U63" s="476">
        <f t="shared" si="13"/>
        <v>0</v>
      </c>
      <c r="V63" s="426"/>
    </row>
    <row r="64" spans="1:22" x14ac:dyDescent="0.25">
      <c r="A64" s="536"/>
      <c r="B64" s="536"/>
      <c r="C64" s="143">
        <v>1</v>
      </c>
      <c r="D64" s="143">
        <v>1</v>
      </c>
      <c r="E64" s="116">
        <f t="shared" si="10"/>
        <v>2</v>
      </c>
      <c r="F64" s="446" t="s">
        <v>14</v>
      </c>
      <c r="G64" s="445">
        <v>252</v>
      </c>
      <c r="H64" s="459">
        <f>'1461'!H64</f>
        <v>3168</v>
      </c>
      <c r="I64" s="101">
        <f t="shared" si="11"/>
        <v>6336</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13.5</v>
      </c>
      <c r="D66" s="97">
        <f>SUM(D57:D65)</f>
        <v>16.149999999999999</v>
      </c>
      <c r="E66" s="97">
        <f>SUM(E57:E65)</f>
        <v>29.65</v>
      </c>
      <c r="F66" s="523" t="s">
        <v>448</v>
      </c>
      <c r="G66" s="523"/>
      <c r="H66" s="523"/>
      <c r="I66" s="97">
        <f>SUM(I57:I65)</f>
        <v>29423.75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140.98000000000002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6.9300000000000004E-4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140.35079999999999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6.1700000000000004E-4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140.98000000000002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7.54E-4</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140.98000000000002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6.9399999999999996E-4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140.98000000000002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7.5500000000000003E-4</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6.9399999999999996E-4</v>
      </c>
      <c r="I85" s="101">
        <f>ROUND(F85*H85,2)</f>
        <v>30997.88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6.9300000000000004E-4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7.5500000000000003E-4</v>
      </c>
      <c r="I90" s="101">
        <f>ROUND(F90*H90,2)</f>
        <v>12206.12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7.54E-4</v>
      </c>
      <c r="I92" s="101">
        <f t="shared" ref="I92:I96" si="14">ROUND(F92*H92,2)</f>
        <v>7570.23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6.1700000000000004E-4</v>
      </c>
      <c r="I94" s="101">
        <f t="shared" si="14"/>
        <v>147461.56</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6.1700000000000004E-4</v>
      </c>
      <c r="I96" s="101">
        <f t="shared" si="14"/>
        <v>-987.23</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140.35079999999999</v>
      </c>
      <c r="D103" s="518"/>
      <c r="E103" s="46">
        <f>H8</f>
        <v>1.0442</v>
      </c>
      <c r="F103" s="304">
        <f>'1461'!F103</f>
        <v>906.93</v>
      </c>
      <c r="G103" s="39" t="s">
        <v>12</v>
      </c>
      <c r="H103" s="94">
        <f>ROUND(C103*E103*F103,2)</f>
        <v>132914.5</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140.35079999999999</v>
      </c>
      <c r="D104" s="531"/>
      <c r="E104" s="123"/>
      <c r="F104" s="123"/>
      <c r="G104" s="123"/>
      <c r="H104" s="124" t="s">
        <v>100</v>
      </c>
      <c r="I104" s="101">
        <f>IF(A1=75,0,H103+H102+H101)</f>
        <v>132914.5</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33</v>
      </c>
      <c r="D110" s="143">
        <v>35</v>
      </c>
      <c r="E110" s="144">
        <f>(C110+D110)/2</f>
        <v>34</v>
      </c>
      <c r="F110" s="126" t="s">
        <v>30</v>
      </c>
      <c r="G110" s="305">
        <f>'1461'!G110</f>
        <v>565</v>
      </c>
      <c r="I110" s="101">
        <f>ROUND(G110*E110,2)</f>
        <v>19210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1132046.3699999999</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1087378.67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1087378.67</v>
      </c>
      <c r="I132" s="94">
        <f>ROUND(IF(E30=0,0,IF(E30&gt;250,-(((250/E30)*H132)*IF(G132="H",0.02,0.05)),IF(G132="H",-0.02*H132,-0.05*H132))),2)</f>
        <v>-54368.93</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1077677.44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-184740.19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892937.25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89293.73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274</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138.01</v>
      </c>
      <c r="D16" s="143">
        <v>134.74</v>
      </c>
      <c r="E16" s="116">
        <f t="shared" si="1"/>
        <v>272.75</v>
      </c>
      <c r="F16" s="558">
        <f>'1461'!F16:G16</f>
        <v>1</v>
      </c>
      <c r="G16" s="558"/>
      <c r="H16" s="80">
        <f t="shared" si="2"/>
        <v>272.75</v>
      </c>
      <c r="I16" s="101">
        <f t="shared" si="3"/>
        <v>1463823.63</v>
      </c>
      <c r="N16" s="571" t="s">
        <v>22</v>
      </c>
      <c r="O16" s="571"/>
      <c r="P16" s="572">
        <f t="shared" si="0"/>
        <v>0</v>
      </c>
      <c r="Q16" s="572"/>
      <c r="R16" s="573">
        <v>1</v>
      </c>
      <c r="S16" s="573"/>
      <c r="T16" s="95">
        <f t="shared" si="4"/>
        <v>0</v>
      </c>
      <c r="U16" s="475">
        <f t="shared" si="5"/>
        <v>0</v>
      </c>
    </row>
    <row r="17" spans="1:21" x14ac:dyDescent="0.25">
      <c r="A17" s="520" t="s">
        <v>23</v>
      </c>
      <c r="B17" s="520"/>
      <c r="C17" s="143">
        <v>23.94</v>
      </c>
      <c r="D17" s="143">
        <v>23.41</v>
      </c>
      <c r="E17" s="116">
        <f t="shared" si="1"/>
        <v>47.35</v>
      </c>
      <c r="F17" s="558">
        <f>'1461'!F17:G17</f>
        <v>1</v>
      </c>
      <c r="G17" s="558"/>
      <c r="H17" s="80">
        <f t="shared" si="2"/>
        <v>47.35</v>
      </c>
      <c r="I17" s="101">
        <f t="shared" si="3"/>
        <v>254123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11.93</v>
      </c>
      <c r="D27" s="143">
        <v>12.28</v>
      </c>
      <c r="E27" s="116">
        <f t="shared" si="1"/>
        <v>24.21</v>
      </c>
      <c r="F27" s="558">
        <f>'1461'!F27:G27</f>
        <v>1.208</v>
      </c>
      <c r="G27" s="558"/>
      <c r="H27" s="80">
        <f t="shared" si="2"/>
        <v>29.245699999999999</v>
      </c>
      <c r="I27" s="101">
        <f t="shared" si="3"/>
        <v>156958.92000000001</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173.88</v>
      </c>
      <c r="D30" s="94">
        <f>SUM(D14:D29)</f>
        <v>170.43</v>
      </c>
      <c r="E30" s="94">
        <f>SUM(E14:E29)</f>
        <v>344.31</v>
      </c>
      <c r="F30" s="539"/>
      <c r="G30" s="539"/>
      <c r="H30" s="99">
        <f>SUM(H14:H29)</f>
        <v>349.34570000000002</v>
      </c>
      <c r="I30" s="94">
        <f>SUM(I14:I29)</f>
        <v>1874905.5499999998</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349.34570000000002</v>
      </c>
      <c r="F46" s="34"/>
      <c r="G46" s="106"/>
      <c r="H46" s="107" t="s">
        <v>98</v>
      </c>
      <c r="I46" s="94">
        <f>SUM(I44,I30)</f>
        <v>1874905.5499999998</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1874905.5499999998</v>
      </c>
      <c r="G51" s="109" t="s">
        <v>6</v>
      </c>
      <c r="H51" s="403">
        <v>4.5199999999999997E-2</v>
      </c>
      <c r="I51" s="101">
        <f>ROUND(F51*H51,2)</f>
        <v>84745.73</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1874905.5499999998</v>
      </c>
      <c r="G52" s="109" t="s">
        <v>6</v>
      </c>
      <c r="H52" s="403">
        <v>1.41E-2</v>
      </c>
      <c r="I52" s="101">
        <f>ROUND(F52*H52,2)</f>
        <v>26436.17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111181.9</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22.94</v>
      </c>
      <c r="D60" s="143">
        <v>22.51</v>
      </c>
      <c r="E60" s="116">
        <f t="shared" si="10"/>
        <v>45.45</v>
      </c>
      <c r="F60" s="446" t="s">
        <v>13</v>
      </c>
      <c r="G60" s="445">
        <v>251</v>
      </c>
      <c r="H60" s="459">
        <f>'1461'!H60</f>
        <v>1173</v>
      </c>
      <c r="I60" s="101">
        <f t="shared" si="11"/>
        <v>53312.85</v>
      </c>
      <c r="N60" s="622"/>
      <c r="O60" s="622"/>
      <c r="P60" s="625"/>
      <c r="Q60" s="625"/>
      <c r="R60" s="40" t="s">
        <v>13</v>
      </c>
      <c r="S60" s="451">
        <v>251</v>
      </c>
      <c r="T60" s="462">
        <f t="shared" si="12"/>
        <v>1173</v>
      </c>
      <c r="U60" s="476">
        <f t="shared" si="13"/>
        <v>0</v>
      </c>
      <c r="V60" s="426"/>
    </row>
    <row r="61" spans="1:22" x14ac:dyDescent="0.25">
      <c r="A61" s="536"/>
      <c r="B61" s="536"/>
      <c r="C61" s="143">
        <v>1</v>
      </c>
      <c r="D61" s="143">
        <v>0.9</v>
      </c>
      <c r="E61" s="116">
        <f t="shared" si="10"/>
        <v>1.9</v>
      </c>
      <c r="F61" s="446" t="s">
        <v>13</v>
      </c>
      <c r="G61" s="445">
        <v>252</v>
      </c>
      <c r="H61" s="459">
        <f>'1461'!H61</f>
        <v>3506</v>
      </c>
      <c r="I61" s="101">
        <f t="shared" si="11"/>
        <v>6661.4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23.94</v>
      </c>
      <c r="D66" s="97">
        <f>SUM(D57:D65)</f>
        <v>23.41</v>
      </c>
      <c r="E66" s="97">
        <f>SUM(E57:E65)</f>
        <v>47.35</v>
      </c>
      <c r="F66" s="523" t="s">
        <v>448</v>
      </c>
      <c r="G66" s="523"/>
      <c r="H66" s="523"/>
      <c r="I66" s="97">
        <f>SUM(I57:I65)</f>
        <v>59974.25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344.31</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1.694E-3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349.34570000000002</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1.5349999999999999E-3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344.31</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1.8420000000000001E-3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344.31</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1.6949999999999999E-3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344.31</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1.8439999999999999E-3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1.6949999999999999E-3</v>
      </c>
      <c r="I85" s="101">
        <f>ROUND(F85*H85,2)</f>
        <v>75708.08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1.694E-3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1.8439999999999999E-3</v>
      </c>
      <c r="I90" s="101">
        <f>ROUND(F90*H90,2)</f>
        <v>29812.04</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1.8420000000000001E-3</v>
      </c>
      <c r="I92" s="101">
        <f t="shared" ref="I92:I96" si="14">ROUND(F92*H92,2)</f>
        <v>18493.86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1.5349999999999999E-3</v>
      </c>
      <c r="I94" s="101">
        <f t="shared" si="14"/>
        <v>366861.43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1.5349999999999999E-3</v>
      </c>
      <c r="I96" s="101">
        <f t="shared" si="14"/>
        <v>-2456.0700000000002</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349.34570000000002</v>
      </c>
      <c r="D102" s="518"/>
      <c r="E102" s="46">
        <f>H8</f>
        <v>1.0442</v>
      </c>
      <c r="F102" s="304">
        <f>'1461'!F102</f>
        <v>904.74</v>
      </c>
      <c r="G102" s="39" t="s">
        <v>12</v>
      </c>
      <c r="H102" s="101">
        <f>ROUND(C102*E102*F102,2)</f>
        <v>330037.19</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349.34570000000002</v>
      </c>
      <c r="D104" s="531"/>
      <c r="E104" s="123"/>
      <c r="F104" s="123"/>
      <c r="G104" s="123"/>
      <c r="H104" s="124" t="s">
        <v>100</v>
      </c>
      <c r="I104" s="101">
        <f>IF(A1=75,0,H103+H102+H101)</f>
        <v>330037.19</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v>
      </c>
      <c r="D110" s="143">
        <v>1</v>
      </c>
      <c r="E110" s="144">
        <f>(C110+D110)/2</f>
        <v>1</v>
      </c>
      <c r="F110" s="126" t="s">
        <v>30</v>
      </c>
      <c r="G110" s="305">
        <f>'1461'!G110</f>
        <v>565</v>
      </c>
      <c r="I110" s="101">
        <f>ROUND(G110*E110,2)</f>
        <v>565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2753901.33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2642719.4300000002</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2642719.4300000002</v>
      </c>
      <c r="I132" s="94">
        <f>ROUND(IF(E30=0,0,IF(E30&gt;250,-(((250/E30)*H132)*IF(G132="H",0.02,0.05)),IF(G132="H",-0.02*H132,-0.05*H132))),2)</f>
        <v>-95942.59</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2657958.7400000002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-453139.72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2204819.0200000005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220481.9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36193.379999999997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273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100.87</v>
      </c>
      <c r="D14" s="141">
        <v>102.03</v>
      </c>
      <c r="E14" s="187">
        <f>IF(D$30=0,C14*2,C14+D14)</f>
        <v>202.9</v>
      </c>
      <c r="F14" s="561">
        <f>'1461'!F14:G14</f>
        <v>1.1220000000000001</v>
      </c>
      <c r="G14" s="561"/>
      <c r="H14" s="145">
        <f>ROUND(E14*F14,4)</f>
        <v>227.65379999999999</v>
      </c>
      <c r="I14" s="111">
        <f>ROUND(ROUND(ROUND(H14*$C$8,4)*($H$8),2)*(MAX($H$9,1)),2)</f>
        <v>1221796.56</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7</v>
      </c>
      <c r="D15" s="143">
        <v>7.08</v>
      </c>
      <c r="E15" s="116">
        <f t="shared" ref="E15:E29" si="1">IF(D$30=0,C15*2,C15+D15)</f>
        <v>14.08</v>
      </c>
      <c r="F15" s="558">
        <f>'1461'!F15:G15</f>
        <v>1.1220000000000001</v>
      </c>
      <c r="G15" s="558"/>
      <c r="H15" s="80">
        <f t="shared" ref="H15:H29" si="2">ROUND(E15*F15,4)</f>
        <v>15.797800000000001</v>
      </c>
      <c r="I15" s="101">
        <f t="shared" ref="I15:I29" si="3">ROUND(ROUND(ROUND(H15*$C$8,4)*($H$8),2)*(MAX($H$9,1)),2)</f>
        <v>84785.31</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50.64</v>
      </c>
      <c r="D16" s="143">
        <v>48.63</v>
      </c>
      <c r="E16" s="116">
        <f t="shared" si="1"/>
        <v>99.27000000000001</v>
      </c>
      <c r="F16" s="558">
        <f>'1461'!F16:G16</f>
        <v>1</v>
      </c>
      <c r="G16" s="558"/>
      <c r="H16" s="80">
        <f t="shared" si="2"/>
        <v>99.27</v>
      </c>
      <c r="I16" s="101">
        <f t="shared" si="3"/>
        <v>532772.77</v>
      </c>
      <c r="N16" s="571" t="s">
        <v>22</v>
      </c>
      <c r="O16" s="571"/>
      <c r="P16" s="572">
        <f t="shared" si="0"/>
        <v>0</v>
      </c>
      <c r="Q16" s="572"/>
      <c r="R16" s="573">
        <v>1</v>
      </c>
      <c r="S16" s="573"/>
      <c r="T16" s="95">
        <f t="shared" si="4"/>
        <v>0</v>
      </c>
      <c r="U16" s="475">
        <f t="shared" si="5"/>
        <v>0</v>
      </c>
    </row>
    <row r="17" spans="1:21" x14ac:dyDescent="0.25">
      <c r="A17" s="520" t="s">
        <v>23</v>
      </c>
      <c r="B17" s="520"/>
      <c r="C17" s="143">
        <v>10</v>
      </c>
      <c r="D17" s="143">
        <v>9.09</v>
      </c>
      <c r="E17" s="116">
        <f t="shared" si="1"/>
        <v>19.09</v>
      </c>
      <c r="F17" s="558">
        <f>'1461'!F17:G17</f>
        <v>1</v>
      </c>
      <c r="G17" s="558"/>
      <c r="H17" s="80">
        <f t="shared" si="2"/>
        <v>19.09</v>
      </c>
      <c r="I17" s="101">
        <f t="shared" si="3"/>
        <v>102454.24</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32.869999999999997</v>
      </c>
      <c r="D26" s="143">
        <v>31.69</v>
      </c>
      <c r="E26" s="116">
        <f t="shared" si="1"/>
        <v>64.56</v>
      </c>
      <c r="F26" s="558">
        <f>'1461'!F26:G26</f>
        <v>1.208</v>
      </c>
      <c r="G26" s="558"/>
      <c r="H26" s="80">
        <f t="shared" si="2"/>
        <v>77.988500000000002</v>
      </c>
      <c r="I26" s="101">
        <f t="shared" si="3"/>
        <v>418556.95</v>
      </c>
      <c r="N26" s="571" t="s">
        <v>85</v>
      </c>
      <c r="O26" s="571"/>
      <c r="P26" s="572">
        <f t="shared" si="0"/>
        <v>0</v>
      </c>
      <c r="Q26" s="572"/>
      <c r="R26" s="573">
        <v>1</v>
      </c>
      <c r="S26" s="573"/>
      <c r="T26" s="95">
        <f t="shared" si="4"/>
        <v>0</v>
      </c>
      <c r="U26" s="475">
        <f t="shared" si="5"/>
        <v>0</v>
      </c>
    </row>
    <row r="27" spans="1:21" x14ac:dyDescent="0.25">
      <c r="A27" s="520" t="s">
        <v>86</v>
      </c>
      <c r="B27" s="520"/>
      <c r="C27" s="143">
        <v>6.86</v>
      </c>
      <c r="D27" s="143">
        <v>6.41</v>
      </c>
      <c r="E27" s="116">
        <f t="shared" si="1"/>
        <v>13.27</v>
      </c>
      <c r="F27" s="558">
        <f>'1461'!F27:G27</f>
        <v>1.208</v>
      </c>
      <c r="G27" s="558"/>
      <c r="H27" s="80">
        <f t="shared" si="2"/>
        <v>16.030200000000001</v>
      </c>
      <c r="I27" s="101">
        <f t="shared" si="3"/>
        <v>86032.58</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208.24</v>
      </c>
      <c r="D30" s="94">
        <f>SUM(D14:D29)</f>
        <v>204.93</v>
      </c>
      <c r="E30" s="94">
        <f>SUM(E14:E29)</f>
        <v>413.16999999999996</v>
      </c>
      <c r="F30" s="539"/>
      <c r="G30" s="539"/>
      <c r="H30" s="99">
        <f>SUM(H14:H29)</f>
        <v>455.83029999999991</v>
      </c>
      <c r="I30" s="94">
        <f>SUM(I14:I29)</f>
        <v>2446398.41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455.83029999999991</v>
      </c>
      <c r="F46" s="34"/>
      <c r="G46" s="106"/>
      <c r="H46" s="107" t="s">
        <v>98</v>
      </c>
      <c r="I46" s="94">
        <f>SUM(I44,I30)</f>
        <v>2446398.41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2446398.41</v>
      </c>
      <c r="G51" s="109" t="s">
        <v>6</v>
      </c>
      <c r="H51" s="403">
        <v>4.5199999999999997E-2</v>
      </c>
      <c r="I51" s="101">
        <f>ROUND(F51*H51,2)</f>
        <v>110577.21</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2446398.41</v>
      </c>
      <c r="G52" s="109" t="s">
        <v>6</v>
      </c>
      <c r="H52" s="403">
        <v>1.41E-2</v>
      </c>
      <c r="I52" s="101">
        <f>ROUND(F52*H52,2)</f>
        <v>34494.22</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145071.43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6.5</v>
      </c>
      <c r="D57" s="143">
        <v>6.57</v>
      </c>
      <c r="E57" s="116">
        <f t="shared" ref="E57:E65" si="10">IF(D$72=0,C57*2,C57+D57)</f>
        <v>13.07</v>
      </c>
      <c r="F57" s="445" t="s">
        <v>439</v>
      </c>
      <c r="G57" s="445">
        <v>251</v>
      </c>
      <c r="H57" s="459">
        <f>'1461'!H57</f>
        <v>1047</v>
      </c>
      <c r="I57" s="101">
        <f>ROUND(E57*H57,2)</f>
        <v>13684.29</v>
      </c>
      <c r="N57" s="621" t="s">
        <v>447</v>
      </c>
      <c r="O57" s="621"/>
      <c r="P57" s="624"/>
      <c r="Q57" s="624"/>
      <c r="R57" s="451" t="s">
        <v>439</v>
      </c>
      <c r="S57" s="451">
        <v>251</v>
      </c>
      <c r="T57" s="462">
        <f>H57</f>
        <v>1047</v>
      </c>
      <c r="U57" s="476">
        <f>ROUND(P57*T57,2)</f>
        <v>0</v>
      </c>
      <c r="V57" s="426"/>
    </row>
    <row r="58" spans="1:22" x14ac:dyDescent="0.25">
      <c r="A58" s="536"/>
      <c r="B58" s="536"/>
      <c r="C58" s="143">
        <v>0.5</v>
      </c>
      <c r="D58" s="143">
        <v>0.51</v>
      </c>
      <c r="E58" s="116">
        <f t="shared" si="10"/>
        <v>1.01</v>
      </c>
      <c r="F58" s="445" t="s">
        <v>439</v>
      </c>
      <c r="G58" s="445">
        <v>252</v>
      </c>
      <c r="H58" s="459">
        <f>'1461'!H58</f>
        <v>3380</v>
      </c>
      <c r="I58" s="101">
        <f t="shared" ref="I58:I65" si="11">ROUND(E58*H58,2)</f>
        <v>3413.8</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9.5</v>
      </c>
      <c r="D60" s="143">
        <v>9.09</v>
      </c>
      <c r="E60" s="116">
        <f t="shared" si="10"/>
        <v>18.59</v>
      </c>
      <c r="F60" s="446" t="s">
        <v>13</v>
      </c>
      <c r="G60" s="445">
        <v>251</v>
      </c>
      <c r="H60" s="459">
        <f>'1461'!H60</f>
        <v>1173</v>
      </c>
      <c r="I60" s="101">
        <f t="shared" si="11"/>
        <v>21806.07</v>
      </c>
      <c r="N60" s="622"/>
      <c r="O60" s="622"/>
      <c r="P60" s="625"/>
      <c r="Q60" s="625"/>
      <c r="R60" s="40" t="s">
        <v>13</v>
      </c>
      <c r="S60" s="451">
        <v>251</v>
      </c>
      <c r="T60" s="462">
        <f t="shared" si="12"/>
        <v>1173</v>
      </c>
      <c r="U60" s="476">
        <f t="shared" si="13"/>
        <v>0</v>
      </c>
      <c r="V60" s="426"/>
    </row>
    <row r="61" spans="1:22" x14ac:dyDescent="0.25">
      <c r="A61" s="536"/>
      <c r="B61" s="536"/>
      <c r="C61" s="143">
        <v>0.5</v>
      </c>
      <c r="D61" s="143">
        <v>0</v>
      </c>
      <c r="E61" s="116">
        <f t="shared" si="10"/>
        <v>0.5</v>
      </c>
      <c r="F61" s="446" t="s">
        <v>13</v>
      </c>
      <c r="G61" s="445">
        <v>252</v>
      </c>
      <c r="H61" s="459">
        <f>'1461'!H61</f>
        <v>3506</v>
      </c>
      <c r="I61" s="101">
        <f t="shared" si="11"/>
        <v>1753</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17</v>
      </c>
      <c r="D66" s="97">
        <f>SUM(D57:D65)</f>
        <v>16.170000000000002</v>
      </c>
      <c r="E66" s="97">
        <f>SUM(E57:E65)</f>
        <v>33.17</v>
      </c>
      <c r="F66" s="523" t="s">
        <v>448</v>
      </c>
      <c r="G66" s="523"/>
      <c r="H66" s="523"/>
      <c r="I66" s="97">
        <f>SUM(I57:I65)</f>
        <v>40657.160000000003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413.16999999999996</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2.032E-3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455.83029999999991</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2.003E-3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413.16999999999996</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2.2109999999999999E-3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413.16999999999996</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2.0349999999999999E-3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413.16999999999996</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2.2130000000000001E-3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2.0349999999999999E-3</v>
      </c>
      <c r="I85" s="101">
        <f>ROUND(F85*H85,2)</f>
        <v>90894.37</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2.032E-3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2.2130000000000001E-3</v>
      </c>
      <c r="I90" s="101">
        <f>ROUND(F90*H90,2)</f>
        <v>35777.69</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2.2109999999999999E-3</v>
      </c>
      <c r="I92" s="101">
        <f t="shared" ref="I92:I96" si="14">ROUND(F92*H92,2)</f>
        <v>22198.66</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2.003E-3</v>
      </c>
      <c r="I94" s="101">
        <f t="shared" si="14"/>
        <v>478712.34</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2.003E-3</v>
      </c>
      <c r="I96" s="101">
        <f t="shared" si="14"/>
        <v>-3204.89</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321.44009999999997</v>
      </c>
      <c r="D101" s="518"/>
      <c r="E101" s="46">
        <f>H8</f>
        <v>1.0442</v>
      </c>
      <c r="F101" s="304">
        <f>'1461'!F101</f>
        <v>947.59</v>
      </c>
      <c r="G101" s="39" t="s">
        <v>12</v>
      </c>
      <c r="H101" s="101">
        <f>ROUND(C101*E101*F101,2)</f>
        <v>318056.45</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134.39019999999999</v>
      </c>
      <c r="D102" s="518"/>
      <c r="E102" s="46">
        <f>H8</f>
        <v>1.0442</v>
      </c>
      <c r="F102" s="304">
        <f>'1461'!F102</f>
        <v>904.74</v>
      </c>
      <c r="G102" s="39" t="s">
        <v>12</v>
      </c>
      <c r="H102" s="101">
        <f>ROUND(C102*E102*F102,2)</f>
        <v>126962.39</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455.83029999999997</v>
      </c>
      <c r="D104" s="531"/>
      <c r="E104" s="123"/>
      <c r="F104" s="123"/>
      <c r="G104" s="123"/>
      <c r="H104" s="124" t="s">
        <v>100</v>
      </c>
      <c r="I104" s="101">
        <f>IF(A1=75,0,H103+H102+H101)</f>
        <v>445018.84</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44">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3556452.58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3411381.15</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3411381.15</v>
      </c>
      <c r="I132" s="94">
        <f>ROUND(IF(E30=0,0,IF(E30&gt;250,-(((250/E30)*H132)*IF(G132="H",0.02,0.05)),IF(G132="H",-0.02*H132,-0.05*H132))),2)</f>
        <v>-103207.55</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3453245.0300000003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-587523.81999999995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2865721.2100000004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286572.12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67361.509999999995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N152:U152"/>
    <mergeCell ref="A123:C123"/>
    <mergeCell ref="F123:H123"/>
    <mergeCell ref="N127:T127"/>
    <mergeCell ref="A125:H125"/>
    <mergeCell ref="A129:G129"/>
    <mergeCell ref="N132:U132"/>
    <mergeCell ref="A130:G130"/>
    <mergeCell ref="N133:U13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267</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1</v>
      </c>
      <c r="D17" s="143">
        <v>1.5</v>
      </c>
      <c r="E17" s="116">
        <f t="shared" si="1"/>
        <v>2.5</v>
      </c>
      <c r="F17" s="558">
        <f>'1461'!F17:G17</f>
        <v>1</v>
      </c>
      <c r="G17" s="558"/>
      <c r="H17" s="80">
        <f t="shared" si="2"/>
        <v>2.5</v>
      </c>
      <c r="I17" s="101">
        <f t="shared" si="3"/>
        <v>13417.27</v>
      </c>
      <c r="J17" s="65" t="str">
        <f>IF(ROUND(E17,2)=ROUND(SUM(E60:E62),2)," ","CHECK 4-8 LINES BELOW")</f>
        <v xml:space="preserve"> </v>
      </c>
      <c r="N17" s="571" t="s">
        <v>23</v>
      </c>
      <c r="O17" s="571"/>
      <c r="P17" s="572">
        <f t="shared" si="0"/>
        <v>2.5</v>
      </c>
      <c r="Q17" s="572"/>
      <c r="R17" s="573">
        <v>1</v>
      </c>
      <c r="S17" s="573"/>
      <c r="T17" s="95">
        <f t="shared" si="4"/>
        <v>2.5</v>
      </c>
      <c r="U17" s="475">
        <f t="shared" si="5"/>
        <v>13417.27</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12.5</v>
      </c>
      <c r="D20" s="143">
        <v>10.5</v>
      </c>
      <c r="E20" s="116">
        <f t="shared" si="1"/>
        <v>23</v>
      </c>
      <c r="F20" s="558">
        <f>'1461'!F20:G20</f>
        <v>3.706</v>
      </c>
      <c r="G20" s="558"/>
      <c r="H20" s="80">
        <f t="shared" si="2"/>
        <v>85.238</v>
      </c>
      <c r="I20" s="101">
        <f t="shared" si="3"/>
        <v>457464.34</v>
      </c>
      <c r="N20" s="571" t="s">
        <v>79</v>
      </c>
      <c r="O20" s="571"/>
      <c r="P20" s="572">
        <f t="shared" si="0"/>
        <v>23</v>
      </c>
      <c r="Q20" s="572"/>
      <c r="R20" s="573">
        <v>1</v>
      </c>
      <c r="S20" s="573"/>
      <c r="T20" s="95">
        <f t="shared" si="4"/>
        <v>23</v>
      </c>
      <c r="U20" s="475">
        <f t="shared" si="5"/>
        <v>123438.84</v>
      </c>
    </row>
    <row r="21" spans="1:21" x14ac:dyDescent="0.25">
      <c r="A21" s="520" t="s">
        <v>80</v>
      </c>
      <c r="B21" s="520"/>
      <c r="C21" s="143">
        <v>11.5</v>
      </c>
      <c r="D21" s="143">
        <v>11.5</v>
      </c>
      <c r="E21" s="116">
        <f t="shared" si="1"/>
        <v>23</v>
      </c>
      <c r="F21" s="558">
        <f>'1461'!F21:G21</f>
        <v>3.706</v>
      </c>
      <c r="G21" s="558"/>
      <c r="H21" s="80">
        <f t="shared" si="2"/>
        <v>85.238</v>
      </c>
      <c r="I21" s="101">
        <f t="shared" si="3"/>
        <v>457464.34</v>
      </c>
      <c r="N21" s="571" t="s">
        <v>80</v>
      </c>
      <c r="O21" s="571"/>
      <c r="P21" s="572">
        <f t="shared" si="0"/>
        <v>23</v>
      </c>
      <c r="Q21" s="572"/>
      <c r="R21" s="573">
        <v>1</v>
      </c>
      <c r="S21" s="573"/>
      <c r="T21" s="95">
        <f t="shared" si="4"/>
        <v>23</v>
      </c>
      <c r="U21" s="475">
        <f t="shared" si="5"/>
        <v>123438.84</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11</v>
      </c>
      <c r="D23" s="143">
        <v>14</v>
      </c>
      <c r="E23" s="116">
        <f t="shared" si="1"/>
        <v>25</v>
      </c>
      <c r="F23" s="558">
        <f>'1461'!F23:G23</f>
        <v>5.7069999999999999</v>
      </c>
      <c r="G23" s="558"/>
      <c r="H23" s="80">
        <f t="shared" si="2"/>
        <v>142.67500000000001</v>
      </c>
      <c r="I23" s="101">
        <f t="shared" si="3"/>
        <v>765723.32</v>
      </c>
      <c r="N23" s="571" t="s">
        <v>82</v>
      </c>
      <c r="O23" s="571"/>
      <c r="P23" s="572">
        <f t="shared" si="0"/>
        <v>25</v>
      </c>
      <c r="Q23" s="572"/>
      <c r="R23" s="573">
        <v>1</v>
      </c>
      <c r="S23" s="573"/>
      <c r="T23" s="95">
        <f t="shared" si="4"/>
        <v>25</v>
      </c>
      <c r="U23" s="475">
        <f t="shared" si="5"/>
        <v>134172.65</v>
      </c>
    </row>
    <row r="24" spans="1:21" x14ac:dyDescent="0.25">
      <c r="A24" s="520" t="s">
        <v>83</v>
      </c>
      <c r="B24" s="520"/>
      <c r="C24" s="143">
        <v>7</v>
      </c>
      <c r="D24" s="143">
        <v>6.5</v>
      </c>
      <c r="E24" s="116">
        <f t="shared" si="1"/>
        <v>13.5</v>
      </c>
      <c r="F24" s="558">
        <f>'1461'!F24:G24</f>
        <v>5.7069999999999999</v>
      </c>
      <c r="G24" s="558"/>
      <c r="H24" s="80">
        <f t="shared" si="2"/>
        <v>77.044499999999999</v>
      </c>
      <c r="I24" s="101">
        <f t="shared" si="3"/>
        <v>413490.59</v>
      </c>
      <c r="N24" s="571" t="s">
        <v>83</v>
      </c>
      <c r="O24" s="571"/>
      <c r="P24" s="572">
        <f t="shared" si="0"/>
        <v>13.5</v>
      </c>
      <c r="Q24" s="572"/>
      <c r="R24" s="573">
        <v>1</v>
      </c>
      <c r="S24" s="573"/>
      <c r="T24" s="95">
        <f t="shared" si="4"/>
        <v>13.5</v>
      </c>
      <c r="U24" s="475">
        <f t="shared" si="5"/>
        <v>72453.23</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43</v>
      </c>
      <c r="D30" s="94">
        <f>SUM(D14:D29)</f>
        <v>44</v>
      </c>
      <c r="E30" s="94">
        <f>SUM(E14:E29)</f>
        <v>87</v>
      </c>
      <c r="F30" s="539"/>
      <c r="G30" s="539"/>
      <c r="H30" s="99">
        <f>SUM(H14:H29)</f>
        <v>392.69550000000004</v>
      </c>
      <c r="I30" s="94">
        <f>SUM(I14:I29)</f>
        <v>2107559.86</v>
      </c>
      <c r="N30" s="590" t="s">
        <v>5</v>
      </c>
      <c r="O30" s="590"/>
      <c r="P30" s="591">
        <f>SUM(P14:P29)</f>
        <v>87</v>
      </c>
      <c r="Q30" s="591"/>
      <c r="R30" s="592"/>
      <c r="S30" s="592"/>
      <c r="T30" s="100">
        <f>SUM(T14:T29)</f>
        <v>87</v>
      </c>
      <c r="U30" s="475">
        <f>SUM(U14:U29)</f>
        <v>466920.82999999996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392.69550000000004</v>
      </c>
      <c r="F46" s="34"/>
      <c r="G46" s="106"/>
      <c r="H46" s="107" t="s">
        <v>98</v>
      </c>
      <c r="I46" s="94">
        <f>SUM(I44,I30)</f>
        <v>2107559.86</v>
      </c>
      <c r="N46" s="616" t="s">
        <v>44</v>
      </c>
      <c r="O46" s="616"/>
      <c r="P46" s="616"/>
      <c r="Q46" s="616"/>
      <c r="R46" s="35">
        <f>R44+T30</f>
        <v>87</v>
      </c>
      <c r="S46" s="592" t="s">
        <v>42</v>
      </c>
      <c r="T46" s="592"/>
      <c r="U46" s="108">
        <f>SUM(U44,U30)</f>
        <v>466920.82999999996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2107559.86</v>
      </c>
      <c r="G51" s="109" t="s">
        <v>6</v>
      </c>
      <c r="H51" s="403">
        <v>4.5199999999999997E-2</v>
      </c>
      <c r="I51" s="101">
        <f>ROUND(F51*H51,2)</f>
        <v>95261.71</v>
      </c>
      <c r="N51" s="408"/>
      <c r="O51" s="409" t="s">
        <v>398</v>
      </c>
      <c r="P51" s="28"/>
      <c r="Q51" s="44" t="s">
        <v>399</v>
      </c>
      <c r="R51" s="410">
        <f>U30</f>
        <v>466920.82999999996</v>
      </c>
      <c r="S51" s="411" t="s">
        <v>6</v>
      </c>
      <c r="T51" s="412">
        <v>4.5199999999999997E-2</v>
      </c>
      <c r="U51" s="404">
        <f>ROUND(R51*T51,2)</f>
        <v>21104.82</v>
      </c>
    </row>
    <row r="52" spans="1:22" x14ac:dyDescent="0.25">
      <c r="A52" s="26"/>
      <c r="B52" s="81" t="s">
        <v>400</v>
      </c>
      <c r="C52" s="26"/>
      <c r="D52" s="26"/>
      <c r="E52" s="43" t="s">
        <v>399</v>
      </c>
      <c r="F52" s="402">
        <f>I46</f>
        <v>2107559.86</v>
      </c>
      <c r="G52" s="109" t="s">
        <v>6</v>
      </c>
      <c r="H52" s="403">
        <v>1.41E-2</v>
      </c>
      <c r="I52" s="101">
        <f>ROUND(F52*H52,2)</f>
        <v>29716.59</v>
      </c>
      <c r="N52" s="28"/>
      <c r="O52" s="385" t="s">
        <v>400</v>
      </c>
      <c r="P52" s="28"/>
      <c r="Q52" s="44" t="s">
        <v>399</v>
      </c>
      <c r="R52" s="410">
        <f>U30</f>
        <v>466920.82999999996</v>
      </c>
      <c r="S52" s="411" t="s">
        <v>6</v>
      </c>
      <c r="T52" s="412">
        <v>1.41E-2</v>
      </c>
      <c r="U52" s="413">
        <f>ROUND(R52*T52,2)</f>
        <v>6583.58</v>
      </c>
    </row>
    <row r="53" spans="1:22" x14ac:dyDescent="0.25">
      <c r="A53" s="26"/>
      <c r="B53" s="81" t="s">
        <v>401</v>
      </c>
      <c r="C53" s="26"/>
      <c r="D53" s="26"/>
      <c r="E53" s="43"/>
      <c r="F53" s="402"/>
      <c r="G53" s="109"/>
      <c r="H53" s="403"/>
      <c r="I53" s="97">
        <f>SUM(I51:I52)</f>
        <v>124978.3</v>
      </c>
      <c r="N53" s="28"/>
      <c r="O53" s="385" t="s">
        <v>401</v>
      </c>
      <c r="P53" s="28"/>
      <c r="Q53" s="44"/>
      <c r="R53" s="410"/>
      <c r="S53" s="411"/>
      <c r="T53" s="412"/>
      <c r="U53" s="404">
        <f>SUM(U51:U52)</f>
        <v>27688.400000000001</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1</v>
      </c>
      <c r="D62" s="143">
        <v>1.5</v>
      </c>
      <c r="E62" s="116">
        <f t="shared" si="10"/>
        <v>2.5</v>
      </c>
      <c r="F62" s="446" t="s">
        <v>13</v>
      </c>
      <c r="G62" s="445">
        <v>253</v>
      </c>
      <c r="H62" s="459">
        <f>'1461'!H62</f>
        <v>7023</v>
      </c>
      <c r="I62" s="101">
        <f t="shared" si="11"/>
        <v>17557.5</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v>
      </c>
      <c r="D66" s="97">
        <f>SUM(D57:D65)</f>
        <v>1.5</v>
      </c>
      <c r="E66" s="97">
        <f>SUM(E57:E65)</f>
        <v>2.5</v>
      </c>
      <c r="F66" s="523" t="s">
        <v>448</v>
      </c>
      <c r="G66" s="523"/>
      <c r="H66" s="523"/>
      <c r="I66" s="97">
        <f>SUM(I57:I65)</f>
        <v>17557.5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87</v>
      </c>
      <c r="D69" s="533" t="s">
        <v>413</v>
      </c>
      <c r="E69" s="533"/>
      <c r="F69" s="533"/>
      <c r="G69" s="533"/>
      <c r="H69" s="301">
        <f>'1461'!H69</f>
        <v>203305.63</v>
      </c>
      <c r="I69" s="113"/>
      <c r="N69" s="594" t="s">
        <v>406</v>
      </c>
      <c r="O69" s="571"/>
      <c r="P69" s="41">
        <f>P30</f>
        <v>87</v>
      </c>
      <c r="Q69" s="599" t="s">
        <v>408</v>
      </c>
      <c r="R69" s="600"/>
      <c r="S69" s="600"/>
      <c r="T69" s="598">
        <f>H69</f>
        <v>203305.63</v>
      </c>
      <c r="U69" s="598"/>
    </row>
    <row r="70" spans="1:22" x14ac:dyDescent="0.25">
      <c r="B70" s="69"/>
      <c r="G70" s="42" t="s">
        <v>12</v>
      </c>
      <c r="H70" s="114">
        <f>ROUND(C69/H69,6)</f>
        <v>4.28E-4</v>
      </c>
      <c r="I70" s="115"/>
      <c r="N70" s="571"/>
      <c r="O70" s="571"/>
      <c r="P70" s="571"/>
      <c r="Q70" s="571"/>
      <c r="R70" s="571"/>
      <c r="S70" s="571"/>
      <c r="T70" s="601">
        <f>ROUND(P69/T69,6)</f>
        <v>4.28E-4</v>
      </c>
      <c r="U70" s="601"/>
    </row>
    <row r="71" spans="1:22" x14ac:dyDescent="0.25">
      <c r="A71" s="444" t="s">
        <v>451</v>
      </c>
      <c r="N71" s="455" t="s">
        <v>459</v>
      </c>
      <c r="O71" s="51"/>
      <c r="P71" s="51"/>
      <c r="Q71" s="51"/>
      <c r="R71" s="51"/>
      <c r="S71" s="51"/>
      <c r="T71" s="51"/>
      <c r="U71" s="51"/>
    </row>
    <row r="72" spans="1:22" x14ac:dyDescent="0.25">
      <c r="A72" s="519" t="s">
        <v>403</v>
      </c>
      <c r="B72" s="520"/>
      <c r="C72" s="112">
        <f>H30</f>
        <v>392.69550000000004</v>
      </c>
      <c r="D72" s="533" t="s">
        <v>414</v>
      </c>
      <c r="E72" s="533"/>
      <c r="F72" s="533"/>
      <c r="G72" s="533"/>
      <c r="H72" s="302">
        <f>'1461'!H72</f>
        <v>227540.36</v>
      </c>
      <c r="I72" s="116"/>
      <c r="N72" s="594" t="s">
        <v>407</v>
      </c>
      <c r="O72" s="571"/>
      <c r="P72" s="41">
        <f>T30</f>
        <v>87</v>
      </c>
      <c r="Q72" s="599" t="s">
        <v>409</v>
      </c>
      <c r="R72" s="600"/>
      <c r="S72" s="600"/>
      <c r="T72" s="598">
        <f>H72</f>
        <v>227540.36</v>
      </c>
      <c r="U72" s="598"/>
    </row>
    <row r="73" spans="1:22" x14ac:dyDescent="0.25">
      <c r="G73" s="42" t="s">
        <v>12</v>
      </c>
      <c r="H73" s="114">
        <f>ROUND(C72/H72,6)</f>
        <v>1.7260000000000001E-3</v>
      </c>
      <c r="I73" s="114"/>
      <c r="N73" s="571"/>
      <c r="O73" s="571"/>
      <c r="P73" s="571"/>
      <c r="Q73" s="571"/>
      <c r="R73" s="571"/>
      <c r="S73" s="571"/>
      <c r="T73" s="601">
        <f>ROUND(P72/T72,6)</f>
        <v>3.8200000000000002E-4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87</v>
      </c>
      <c r="D75" s="532" t="s">
        <v>415</v>
      </c>
      <c r="E75" s="532"/>
      <c r="F75" s="532"/>
      <c r="G75" s="532"/>
      <c r="H75" s="301">
        <f>'1461'!H75</f>
        <v>186907.73</v>
      </c>
      <c r="I75" s="113"/>
      <c r="N75" s="594" t="s">
        <v>405</v>
      </c>
      <c r="O75" s="571"/>
      <c r="P75" s="41">
        <f>P30</f>
        <v>87</v>
      </c>
      <c r="Q75" s="604" t="s">
        <v>410</v>
      </c>
      <c r="R75" s="605"/>
      <c r="S75" s="605"/>
      <c r="T75" s="598">
        <f>H75</f>
        <v>186907.73</v>
      </c>
      <c r="U75" s="598"/>
    </row>
    <row r="76" spans="1:22" x14ac:dyDescent="0.25">
      <c r="B76" s="69"/>
      <c r="G76" s="42" t="s">
        <v>12</v>
      </c>
      <c r="H76" s="114">
        <f>ROUND(C75/H75,6)</f>
        <v>4.6500000000000003E-4</v>
      </c>
      <c r="I76" s="115"/>
      <c r="N76" s="571"/>
      <c r="O76" s="571"/>
      <c r="P76" s="571"/>
      <c r="Q76" s="571"/>
      <c r="R76" s="571"/>
      <c r="S76" s="571"/>
      <c r="T76" s="601">
        <f>ROUND(P75/T75,6)</f>
        <v>4.6500000000000003E-4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87</v>
      </c>
      <c r="D78" s="528" t="s">
        <v>416</v>
      </c>
      <c r="E78" s="528"/>
      <c r="F78" s="528"/>
      <c r="G78" s="528"/>
      <c r="H78" s="301">
        <f>'1461'!H78</f>
        <v>203080.55</v>
      </c>
      <c r="I78" s="113"/>
      <c r="N78" s="594" t="s">
        <v>405</v>
      </c>
      <c r="O78" s="571"/>
      <c r="P78" s="41">
        <f>P30</f>
        <v>87</v>
      </c>
      <c r="Q78" s="602" t="s">
        <v>411</v>
      </c>
      <c r="R78" s="603"/>
      <c r="S78" s="603"/>
      <c r="T78" s="598">
        <f>H78</f>
        <v>203080.55</v>
      </c>
      <c r="U78" s="598"/>
    </row>
    <row r="79" spans="1:22" x14ac:dyDescent="0.25">
      <c r="B79" s="69"/>
      <c r="G79" s="42" t="s">
        <v>12</v>
      </c>
      <c r="H79" s="114">
        <f>ROUND(C78/H78,6)</f>
        <v>4.28E-4</v>
      </c>
      <c r="I79" s="115"/>
      <c r="N79" s="571"/>
      <c r="O79" s="571"/>
      <c r="P79" s="571"/>
      <c r="Q79" s="571"/>
      <c r="R79" s="571"/>
      <c r="S79" s="571"/>
      <c r="T79" s="601">
        <f>ROUND(P78/T78,6)</f>
        <v>4.28E-4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87</v>
      </c>
      <c r="D81" s="532" t="s">
        <v>417</v>
      </c>
      <c r="E81" s="532"/>
      <c r="F81" s="532"/>
      <c r="G81" s="532"/>
      <c r="H81" s="301">
        <f>'1461'!H81</f>
        <v>186682.65</v>
      </c>
      <c r="I81" s="113"/>
      <c r="N81" s="594" t="s">
        <v>418</v>
      </c>
      <c r="O81" s="571"/>
      <c r="P81" s="41">
        <f>P30</f>
        <v>87</v>
      </c>
      <c r="Q81" s="604" t="s">
        <v>419</v>
      </c>
      <c r="R81" s="605"/>
      <c r="S81" s="605"/>
      <c r="T81" s="598">
        <f>H81</f>
        <v>186682.65</v>
      </c>
      <c r="U81" s="598"/>
    </row>
    <row r="82" spans="1:21" x14ac:dyDescent="0.25">
      <c r="B82" s="69"/>
      <c r="G82" s="42" t="s">
        <v>12</v>
      </c>
      <c r="H82" s="114">
        <f>ROUND(C81/H81,6)</f>
        <v>4.66E-4</v>
      </c>
      <c r="I82" s="115"/>
      <c r="N82" s="571"/>
      <c r="O82" s="571"/>
      <c r="P82" s="571"/>
      <c r="Q82" s="571"/>
      <c r="R82" s="571"/>
      <c r="S82" s="571"/>
      <c r="T82" s="601">
        <f>ROUND(P81/T81,6)</f>
        <v>4.66E-4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4.28E-4</v>
      </c>
      <c r="I85" s="101">
        <f>ROUND(F85*H85,2)</f>
        <v>19116.849999999999</v>
      </c>
      <c r="N85" s="455" t="s">
        <v>455</v>
      </c>
      <c r="O85" s="51"/>
      <c r="P85" s="51"/>
      <c r="Q85" s="44"/>
      <c r="R85" s="421">
        <f>F85</f>
        <v>44665536</v>
      </c>
      <c r="S85" s="38" t="s">
        <v>6</v>
      </c>
      <c r="T85" s="423">
        <f>T79</f>
        <v>4.28E-4</v>
      </c>
      <c r="U85" s="475">
        <f>ROUND(R85*T85,2)</f>
        <v>19116.849999999999</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4.28E-4</v>
      </c>
      <c r="I88" s="101">
        <f>ROUND(F88*H88,2)</f>
        <v>0</v>
      </c>
      <c r="N88" s="606" t="s">
        <v>99</v>
      </c>
      <c r="O88" s="571"/>
      <c r="P88" s="571"/>
      <c r="Q88" s="44"/>
      <c r="R88" s="421">
        <f>F88</f>
        <v>0</v>
      </c>
      <c r="S88" s="38" t="s">
        <v>6</v>
      </c>
      <c r="T88" s="423">
        <f>T70</f>
        <v>4.28E-4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4.66E-4</v>
      </c>
      <c r="I90" s="101">
        <f>ROUND(F90*H90,2)</f>
        <v>7533.85</v>
      </c>
      <c r="N90" s="455" t="s">
        <v>456</v>
      </c>
      <c r="O90" s="51"/>
      <c r="P90" s="51"/>
      <c r="Q90" s="44"/>
      <c r="R90" s="421">
        <f>F90</f>
        <v>16167052</v>
      </c>
      <c r="S90" s="38" t="s">
        <v>6</v>
      </c>
      <c r="T90" s="423">
        <f>T82</f>
        <v>4.66E-4</v>
      </c>
      <c r="U90" s="475">
        <f>ROUND(R90*T90,2)</f>
        <v>7533.85</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4.6500000000000003E-4</v>
      </c>
      <c r="I92" s="101">
        <f t="shared" ref="I92:I96" si="14">ROUND(F92*H92,2)</f>
        <v>4668.6499999999996</v>
      </c>
      <c r="N92" s="455" t="s">
        <v>457</v>
      </c>
      <c r="O92" s="51"/>
      <c r="P92" s="51"/>
      <c r="Q92" s="44"/>
      <c r="R92" s="421">
        <f t="shared" ref="R92:R96" si="15">F92</f>
        <v>10040099</v>
      </c>
      <c r="S92" s="38" t="s">
        <v>6</v>
      </c>
      <c r="T92" s="423">
        <f>T76</f>
        <v>4.6500000000000003E-4</v>
      </c>
      <c r="U92" s="475">
        <f>ROUND(R92*T92,2)</f>
        <v>4668.6499999999996</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1.7260000000000001E-3</v>
      </c>
      <c r="I94" s="101">
        <f t="shared" si="14"/>
        <v>412509.99</v>
      </c>
      <c r="N94" s="571" t="s">
        <v>421</v>
      </c>
      <c r="O94" s="571"/>
      <c r="P94" s="571"/>
      <c r="Q94" s="44"/>
      <c r="R94" s="421">
        <f t="shared" si="15"/>
        <v>238997674</v>
      </c>
      <c r="S94" s="38" t="s">
        <v>6</v>
      </c>
      <c r="T94" s="423">
        <f>T73</f>
        <v>3.8200000000000002E-4</v>
      </c>
      <c r="U94" s="475">
        <f>ROUND(R94*T94,2)</f>
        <v>91297.11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1.7260000000000001E-3</v>
      </c>
      <c r="I96" s="101">
        <f t="shared" si="14"/>
        <v>-2761.68</v>
      </c>
      <c r="N96" s="594" t="s">
        <v>422</v>
      </c>
      <c r="O96" s="571"/>
      <c r="P96" s="571"/>
      <c r="Q96" s="44"/>
      <c r="R96" s="421">
        <f t="shared" si="15"/>
        <v>-1600047</v>
      </c>
      <c r="S96" s="38" t="s">
        <v>6</v>
      </c>
      <c r="T96" s="423">
        <f>T73</f>
        <v>3.8200000000000002E-4</v>
      </c>
      <c r="U96" s="475">
        <f>ROUND(R96*T96,2)</f>
        <v>-611.22</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227.91300000000001</v>
      </c>
      <c r="D101" s="518"/>
      <c r="E101" s="46">
        <f>H8</f>
        <v>1.0442</v>
      </c>
      <c r="F101" s="304">
        <f>'1461'!F101</f>
        <v>947.59</v>
      </c>
      <c r="G101" s="39" t="s">
        <v>12</v>
      </c>
      <c r="H101" s="101">
        <f>ROUND(C101*E101*F101,2)</f>
        <v>225513.87</v>
      </c>
      <c r="I101" s="104"/>
      <c r="N101" s="28" t="s">
        <v>17</v>
      </c>
      <c r="O101" s="47">
        <f>T14+T15+T20+T23+T26</f>
        <v>48</v>
      </c>
      <c r="P101" s="609">
        <f>T8</f>
        <v>1.0442</v>
      </c>
      <c r="Q101" s="609"/>
      <c r="R101" s="48">
        <f>F101</f>
        <v>947.59</v>
      </c>
      <c r="S101" s="40" t="s">
        <v>12</v>
      </c>
      <c r="T101" s="481">
        <f>ROUND(O101*P101*R101,2)</f>
        <v>47494.73</v>
      </c>
      <c r="U101" s="102"/>
    </row>
    <row r="102" spans="1:21" x14ac:dyDescent="0.25">
      <c r="A102" s="49"/>
      <c r="B102" s="49" t="s">
        <v>104</v>
      </c>
      <c r="C102" s="518">
        <f>H16+H17+H21+H24+H27</f>
        <v>164.7825</v>
      </c>
      <c r="D102" s="518"/>
      <c r="E102" s="46">
        <f>H8</f>
        <v>1.0442</v>
      </c>
      <c r="F102" s="304">
        <f>'1461'!F102</f>
        <v>904.74</v>
      </c>
      <c r="G102" s="39" t="s">
        <v>12</v>
      </c>
      <c r="H102" s="101">
        <f>ROUND(C102*E102*F102,2)</f>
        <v>155674.89000000001</v>
      </c>
      <c r="N102" s="50" t="s">
        <v>13</v>
      </c>
      <c r="O102" s="47">
        <f>T16+T17+T21+T24+T27</f>
        <v>39</v>
      </c>
      <c r="P102" s="609">
        <f>T8</f>
        <v>1.0442</v>
      </c>
      <c r="Q102" s="609"/>
      <c r="R102" s="48">
        <f>F102</f>
        <v>904.74</v>
      </c>
      <c r="S102" s="40" t="s">
        <v>12</v>
      </c>
      <c r="T102" s="481">
        <f>ROUND(O102*P102*R102,2)</f>
        <v>36844.449999999997</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392.69550000000004</v>
      </c>
      <c r="D104" s="531"/>
      <c r="E104" s="123"/>
      <c r="F104" s="123"/>
      <c r="G104" s="123"/>
      <c r="H104" s="124" t="s">
        <v>100</v>
      </c>
      <c r="I104" s="101">
        <f>IF(A1=75,0,H103+H102+H101)</f>
        <v>381188.76</v>
      </c>
      <c r="N104" s="56" t="s">
        <v>89</v>
      </c>
      <c r="O104" s="57">
        <f>SUM(O101:O103)</f>
        <v>87</v>
      </c>
      <c r="P104" s="610" t="s">
        <v>16</v>
      </c>
      <c r="Q104" s="611"/>
      <c r="R104" s="611"/>
      <c r="S104" s="611"/>
      <c r="T104" s="611"/>
      <c r="U104" s="475">
        <f>IF(N1=75,0,T103+T102+T101)</f>
        <v>84339.18</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44">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2947373.7800000003</v>
      </c>
      <c r="N125" s="455"/>
      <c r="O125" s="454"/>
      <c r="P125" s="454"/>
      <c r="Q125" s="307"/>
      <c r="R125" s="307"/>
      <c r="S125" s="307"/>
      <c r="T125" s="307"/>
      <c r="U125" s="482">
        <f>SUM(U30,U85,U88,U90,U92,U94,U96,U104,U110,U111,U121,U123)</f>
        <v>673265.25</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2822395.4800000004</v>
      </c>
      <c r="N127" s="616" t="s">
        <v>33</v>
      </c>
      <c r="O127" s="616"/>
      <c r="P127" s="616"/>
      <c r="Q127" s="616"/>
      <c r="R127" s="616"/>
      <c r="S127" s="616"/>
      <c r="T127" s="616"/>
      <c r="U127" s="132">
        <f>U125-U53</f>
        <v>645576.85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645576.85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645576.85</v>
      </c>
      <c r="I132" s="94">
        <f>ROUND(IF(E30=0,0,IF(E30&gt;250,-(((250/E30)*H132)*IF(G132="H",0.02,0.05)),IF(G132="H",-0.02*H132,-0.05*H132))),2)</f>
        <v>-32278.84</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2915094.9400000004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-493844.18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2421250.7600000002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242125.08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285</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32.61</v>
      </c>
      <c r="D14" s="141">
        <v>34.46</v>
      </c>
      <c r="E14" s="187">
        <f>IF(D$30=0,C14*2,C14+D14)</f>
        <v>67.069999999999993</v>
      </c>
      <c r="F14" s="561">
        <f>'1461'!F14:G14</f>
        <v>1.1220000000000001</v>
      </c>
      <c r="G14" s="561"/>
      <c r="H14" s="145">
        <f>ROUND(E14*F14,4)</f>
        <v>75.252499999999998</v>
      </c>
      <c r="I14" s="111">
        <f>ROUND(ROUND(ROUND(H14*$C$8,4)*($H$8),2)*(MAX($H$9,1)),2)</f>
        <v>403873.1</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4</v>
      </c>
      <c r="D15" s="143">
        <v>4.6500000000000004</v>
      </c>
      <c r="E15" s="116">
        <f t="shared" ref="E15:E29" si="1">IF(D$30=0,C15*2,C15+D15)</f>
        <v>8.65</v>
      </c>
      <c r="F15" s="558">
        <f>'1461'!F15:G15</f>
        <v>1.1220000000000001</v>
      </c>
      <c r="G15" s="558"/>
      <c r="H15" s="80">
        <f t="shared" ref="H15:H29" si="2">ROUND(E15*F15,4)</f>
        <v>9.7052999999999994</v>
      </c>
      <c r="I15" s="101">
        <f t="shared" ref="I15:I29" si="3">ROUND(ROUND(ROUND(H15*$C$8,4)*($H$8),2)*(MAX($H$9,1)),2)</f>
        <v>52087.43</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34.11</v>
      </c>
      <c r="D16" s="143">
        <v>34.01</v>
      </c>
      <c r="E16" s="116">
        <f t="shared" si="1"/>
        <v>68.12</v>
      </c>
      <c r="F16" s="558">
        <f>'1461'!F16:G16</f>
        <v>1</v>
      </c>
      <c r="G16" s="558"/>
      <c r="H16" s="80">
        <f t="shared" si="2"/>
        <v>68.12</v>
      </c>
      <c r="I16" s="101">
        <f t="shared" si="3"/>
        <v>365593.64</v>
      </c>
      <c r="N16" s="571" t="s">
        <v>22</v>
      </c>
      <c r="O16" s="571"/>
      <c r="P16" s="572">
        <f t="shared" si="0"/>
        <v>0</v>
      </c>
      <c r="Q16" s="572"/>
      <c r="R16" s="573">
        <v>1</v>
      </c>
      <c r="S16" s="573"/>
      <c r="T16" s="95">
        <f t="shared" si="4"/>
        <v>0</v>
      </c>
      <c r="U16" s="475">
        <f t="shared" si="5"/>
        <v>0</v>
      </c>
    </row>
    <row r="17" spans="1:21" x14ac:dyDescent="0.25">
      <c r="A17" s="520" t="s">
        <v>23</v>
      </c>
      <c r="B17" s="520"/>
      <c r="C17" s="143">
        <v>6.5</v>
      </c>
      <c r="D17" s="143">
        <v>6</v>
      </c>
      <c r="E17" s="116">
        <f t="shared" si="1"/>
        <v>12.5</v>
      </c>
      <c r="F17" s="558">
        <f>'1461'!F17:G17</f>
        <v>1</v>
      </c>
      <c r="G17" s="558"/>
      <c r="H17" s="80">
        <f t="shared" si="2"/>
        <v>12.5</v>
      </c>
      <c r="I17" s="101">
        <f t="shared" si="3"/>
        <v>67086.33</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4.8899999999999997</v>
      </c>
      <c r="D26" s="143">
        <v>5.49</v>
      </c>
      <c r="E26" s="116">
        <f t="shared" si="1"/>
        <v>10.379999999999999</v>
      </c>
      <c r="F26" s="558">
        <f>'1461'!F26:G26</f>
        <v>1.208</v>
      </c>
      <c r="G26" s="558"/>
      <c r="H26" s="80">
        <f t="shared" si="2"/>
        <v>12.539</v>
      </c>
      <c r="I26" s="101">
        <f t="shared" si="3"/>
        <v>67295.64</v>
      </c>
      <c r="N26" s="571" t="s">
        <v>85</v>
      </c>
      <c r="O26" s="571"/>
      <c r="P26" s="572">
        <f t="shared" si="0"/>
        <v>0</v>
      </c>
      <c r="Q26" s="572"/>
      <c r="R26" s="573">
        <v>1</v>
      </c>
      <c r="S26" s="573"/>
      <c r="T26" s="95">
        <f t="shared" si="4"/>
        <v>0</v>
      </c>
      <c r="U26" s="475">
        <f t="shared" si="5"/>
        <v>0</v>
      </c>
    </row>
    <row r="27" spans="1:21" x14ac:dyDescent="0.25">
      <c r="A27" s="520" t="s">
        <v>86</v>
      </c>
      <c r="B27" s="520"/>
      <c r="C27" s="143">
        <v>1.33</v>
      </c>
      <c r="D27" s="143">
        <v>1.55</v>
      </c>
      <c r="E27" s="116">
        <f t="shared" si="1"/>
        <v>2.88</v>
      </c>
      <c r="F27" s="558">
        <f>'1461'!F27:G27</f>
        <v>1.208</v>
      </c>
      <c r="G27" s="558"/>
      <c r="H27" s="80">
        <f t="shared" si="2"/>
        <v>3.4790000000000001</v>
      </c>
      <c r="I27" s="101">
        <f t="shared" si="3"/>
        <v>18671.47</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83.44</v>
      </c>
      <c r="D30" s="94">
        <f>SUM(D14:D29)</f>
        <v>86.16</v>
      </c>
      <c r="E30" s="94">
        <f>SUM(E14:E29)</f>
        <v>169.6</v>
      </c>
      <c r="F30" s="539"/>
      <c r="G30" s="539"/>
      <c r="H30" s="99">
        <f>SUM(H14:H29)</f>
        <v>181.5958</v>
      </c>
      <c r="I30" s="94">
        <f>SUM(I14:I29)</f>
        <v>974607.60999999987</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181.5958</v>
      </c>
      <c r="F46" s="34"/>
      <c r="G46" s="106"/>
      <c r="H46" s="107" t="s">
        <v>98</v>
      </c>
      <c r="I46" s="94">
        <f>SUM(I44,I30)</f>
        <v>974607.60999999987</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974607.60999999987</v>
      </c>
      <c r="G51" s="109" t="s">
        <v>6</v>
      </c>
      <c r="H51" s="403">
        <v>4.5199999999999997E-2</v>
      </c>
      <c r="I51" s="101">
        <f>ROUND(F51*H51,2)</f>
        <v>44052.26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974607.60999999987</v>
      </c>
      <c r="G52" s="109" t="s">
        <v>6</v>
      </c>
      <c r="H52" s="403">
        <v>1.41E-2</v>
      </c>
      <c r="I52" s="101">
        <f>ROUND(F52*H52,2)</f>
        <v>13741.97</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57794.23</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3.5</v>
      </c>
      <c r="D57" s="143">
        <v>4.6500000000000004</v>
      </c>
      <c r="E57" s="116">
        <f t="shared" ref="E57:E65" si="10">IF(D$72=0,C57*2,C57+D57)</f>
        <v>8.15</v>
      </c>
      <c r="F57" s="445" t="s">
        <v>439</v>
      </c>
      <c r="G57" s="445">
        <v>251</v>
      </c>
      <c r="H57" s="459">
        <f>'1461'!H57</f>
        <v>1047</v>
      </c>
      <c r="I57" s="101">
        <f>ROUND(E57*H57,2)</f>
        <v>8533.0499999999993</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0.5</v>
      </c>
      <c r="D59" s="143">
        <v>0</v>
      </c>
      <c r="E59" s="116">
        <f t="shared" si="10"/>
        <v>0.5</v>
      </c>
      <c r="F59" s="445" t="s">
        <v>439</v>
      </c>
      <c r="G59" s="445">
        <v>253</v>
      </c>
      <c r="H59" s="459">
        <f>'1461'!H59</f>
        <v>6896</v>
      </c>
      <c r="I59" s="101">
        <f t="shared" si="11"/>
        <v>3448</v>
      </c>
      <c r="N59" s="622"/>
      <c r="O59" s="622"/>
      <c r="P59" s="625"/>
      <c r="Q59" s="625"/>
      <c r="R59" s="451" t="s">
        <v>439</v>
      </c>
      <c r="S59" s="451">
        <v>253</v>
      </c>
      <c r="T59" s="462">
        <f t="shared" si="12"/>
        <v>6896</v>
      </c>
      <c r="U59" s="476">
        <f t="shared" si="13"/>
        <v>0</v>
      </c>
      <c r="V59" s="426"/>
    </row>
    <row r="60" spans="1:22" x14ac:dyDescent="0.25">
      <c r="A60" s="536"/>
      <c r="B60" s="536"/>
      <c r="C60" s="143">
        <v>4.5</v>
      </c>
      <c r="D60" s="143">
        <v>3.5</v>
      </c>
      <c r="E60" s="116">
        <f t="shared" si="10"/>
        <v>8</v>
      </c>
      <c r="F60" s="446" t="s">
        <v>13</v>
      </c>
      <c r="G60" s="445">
        <v>251</v>
      </c>
      <c r="H60" s="459">
        <f>'1461'!H60</f>
        <v>1173</v>
      </c>
      <c r="I60" s="101">
        <f t="shared" si="11"/>
        <v>9384</v>
      </c>
      <c r="N60" s="622"/>
      <c r="O60" s="622"/>
      <c r="P60" s="625"/>
      <c r="Q60" s="625"/>
      <c r="R60" s="40" t="s">
        <v>13</v>
      </c>
      <c r="S60" s="451">
        <v>251</v>
      </c>
      <c r="T60" s="462">
        <f t="shared" si="12"/>
        <v>1173</v>
      </c>
      <c r="U60" s="476">
        <f t="shared" si="13"/>
        <v>0</v>
      </c>
      <c r="V60" s="426"/>
    </row>
    <row r="61" spans="1:22" x14ac:dyDescent="0.25">
      <c r="A61" s="536"/>
      <c r="B61" s="536"/>
      <c r="C61" s="143">
        <v>2</v>
      </c>
      <c r="D61" s="143">
        <v>2.5</v>
      </c>
      <c r="E61" s="116">
        <f t="shared" si="10"/>
        <v>4.5</v>
      </c>
      <c r="F61" s="446" t="s">
        <v>13</v>
      </c>
      <c r="G61" s="445">
        <v>252</v>
      </c>
      <c r="H61" s="459">
        <f>'1461'!H61</f>
        <v>3506</v>
      </c>
      <c r="I61" s="101">
        <f t="shared" si="11"/>
        <v>15777</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10.5</v>
      </c>
      <c r="D66" s="97">
        <f>SUM(D57:D65)</f>
        <v>10.65</v>
      </c>
      <c r="E66" s="97">
        <f>SUM(E57:E65)</f>
        <v>21.15</v>
      </c>
      <c r="F66" s="523" t="s">
        <v>448</v>
      </c>
      <c r="G66" s="523"/>
      <c r="H66" s="523"/>
      <c r="I66" s="97">
        <f>SUM(I57:I65)</f>
        <v>37142.050000000003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169.6</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8.34E-4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181.5958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7.9799999999999999E-4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169.6</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9.0700000000000004E-4</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169.6</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8.3500000000000002E-4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169.6</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9.0799999999999995E-4</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8.3500000000000002E-4</v>
      </c>
      <c r="I85" s="101">
        <f>ROUND(F85*H85,2)</f>
        <v>37295.72</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8.34E-4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9.0799999999999995E-4</v>
      </c>
      <c r="I90" s="101">
        <f>ROUND(F90*H90,2)</f>
        <v>14679.68</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9.0700000000000004E-4</v>
      </c>
      <c r="I92" s="101">
        <f t="shared" ref="I92:I96" si="14">ROUND(F92*H92,2)</f>
        <v>9106.3700000000008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7.9799999999999999E-4</v>
      </c>
      <c r="I94" s="101">
        <f t="shared" si="14"/>
        <v>190720.14</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7.9799999999999999E-4</v>
      </c>
      <c r="I96" s="101">
        <f t="shared" si="14"/>
        <v>-1276.8399999999999</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97.496799999999993</v>
      </c>
      <c r="D101" s="518"/>
      <c r="E101" s="46">
        <f>H8</f>
        <v>1.0442</v>
      </c>
      <c r="F101" s="304">
        <f>'1461'!F101</f>
        <v>947.59</v>
      </c>
      <c r="G101" s="39" t="s">
        <v>12</v>
      </c>
      <c r="H101" s="101">
        <f>ROUND(C101*E101*F101,2)</f>
        <v>96470.5</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84.099000000000004</v>
      </c>
      <c r="D102" s="518"/>
      <c r="E102" s="46">
        <f>H8</f>
        <v>1.0442</v>
      </c>
      <c r="F102" s="304">
        <f>'1461'!F102</f>
        <v>904.74</v>
      </c>
      <c r="G102" s="39" t="s">
        <v>12</v>
      </c>
      <c r="H102" s="101">
        <f>ROUND(C102*E102*F102,2)</f>
        <v>79450.81</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181.5958</v>
      </c>
      <c r="D104" s="531"/>
      <c r="E104" s="123"/>
      <c r="F104" s="123"/>
      <c r="G104" s="123"/>
      <c r="H104" s="124" t="s">
        <v>100</v>
      </c>
      <c r="I104" s="101">
        <f>IF(A1=75,0,H103+H102+H101)</f>
        <v>175921.31</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v>
      </c>
      <c r="D110" s="143">
        <v>0</v>
      </c>
      <c r="E110" s="144">
        <f>(C110+D110)/2</f>
        <v>0.5</v>
      </c>
      <c r="F110" s="126" t="s">
        <v>30</v>
      </c>
      <c r="G110" s="305">
        <f>'1461'!G110</f>
        <v>565</v>
      </c>
      <c r="I110" s="101">
        <f>ROUND(G110*E110,2)</f>
        <v>282.5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1438478.5399999998</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1380684.3099999998</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1380684.3099999998</v>
      </c>
      <c r="I132" s="94">
        <f>ROUND(IF(E30=0,0,IF(E30&gt;250,-(((250/E30)*H132)*IF(G132="H",0.02,0.05)),IF(G132="H",-0.02*H132,-0.05*H132))),2)</f>
        <v>-69034.22</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1369444.3199999998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-232524.36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1136919.96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113692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2:U152"/>
    <mergeCell ref="N127:T127"/>
    <mergeCell ref="A125:H125"/>
    <mergeCell ref="A129:G129"/>
    <mergeCell ref="N132:U132"/>
    <mergeCell ref="A130:G130"/>
    <mergeCell ref="N133:U133"/>
    <mergeCell ref="A121:B121"/>
    <mergeCell ref="N121:O121"/>
    <mergeCell ref="A123:C123"/>
    <mergeCell ref="F123:H123"/>
    <mergeCell ref="N123:P123"/>
    <mergeCell ref="A119:B119"/>
    <mergeCell ref="F119:G119"/>
    <mergeCell ref="N119:O119"/>
    <mergeCell ref="P119:Q119"/>
    <mergeCell ref="R119:S119"/>
    <mergeCell ref="A120:B120"/>
    <mergeCell ref="F120:G120"/>
    <mergeCell ref="N120:O120"/>
    <mergeCell ref="P120:Q120"/>
    <mergeCell ref="R120:S12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300</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195.19</v>
      </c>
      <c r="D16" s="143">
        <v>199.34</v>
      </c>
      <c r="E16" s="116">
        <f t="shared" si="1"/>
        <v>394.53</v>
      </c>
      <c r="F16" s="558">
        <f>'1461'!F16:G16</f>
        <v>1</v>
      </c>
      <c r="G16" s="558"/>
      <c r="H16" s="80">
        <f t="shared" si="2"/>
        <v>394.53</v>
      </c>
      <c r="I16" s="101">
        <f t="shared" si="3"/>
        <v>2117405.4500000002</v>
      </c>
      <c r="N16" s="571" t="s">
        <v>22</v>
      </c>
      <c r="O16" s="571"/>
      <c r="P16" s="572">
        <f t="shared" si="0"/>
        <v>0</v>
      </c>
      <c r="Q16" s="572"/>
      <c r="R16" s="573">
        <v>1</v>
      </c>
      <c r="S16" s="573"/>
      <c r="T16" s="95">
        <f t="shared" si="4"/>
        <v>0</v>
      </c>
      <c r="U16" s="475">
        <f t="shared" si="5"/>
        <v>0</v>
      </c>
    </row>
    <row r="17" spans="1:21" x14ac:dyDescent="0.25">
      <c r="A17" s="520" t="s">
        <v>23</v>
      </c>
      <c r="B17" s="520"/>
      <c r="C17" s="143">
        <v>30</v>
      </c>
      <c r="D17" s="143">
        <v>31.22</v>
      </c>
      <c r="E17" s="116">
        <f t="shared" si="1"/>
        <v>61.22</v>
      </c>
      <c r="F17" s="558">
        <f>'1461'!F17:G17</f>
        <v>1</v>
      </c>
      <c r="G17" s="558"/>
      <c r="H17" s="80">
        <f t="shared" si="2"/>
        <v>61.22</v>
      </c>
      <c r="I17" s="101">
        <f t="shared" si="3"/>
        <v>328561.99</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165.69</v>
      </c>
      <c r="D18" s="143">
        <v>160.24</v>
      </c>
      <c r="E18" s="116">
        <f t="shared" si="1"/>
        <v>325.93</v>
      </c>
      <c r="F18" s="558">
        <f>'1461'!F18:G18</f>
        <v>0.98799999999999999</v>
      </c>
      <c r="G18" s="558"/>
      <c r="H18" s="80">
        <f t="shared" si="2"/>
        <v>322.0188</v>
      </c>
      <c r="I18" s="101">
        <f t="shared" si="3"/>
        <v>1728244.65</v>
      </c>
      <c r="N18" s="571" t="s">
        <v>24</v>
      </c>
      <c r="O18" s="571"/>
      <c r="P18" s="572">
        <f t="shared" si="0"/>
        <v>0</v>
      </c>
      <c r="Q18" s="572"/>
      <c r="R18" s="573">
        <v>1</v>
      </c>
      <c r="S18" s="573"/>
      <c r="T18" s="95">
        <f t="shared" si="4"/>
        <v>0</v>
      </c>
      <c r="U18" s="475">
        <f t="shared" si="5"/>
        <v>0</v>
      </c>
    </row>
    <row r="19" spans="1:21" x14ac:dyDescent="0.25">
      <c r="A19" s="520" t="s">
        <v>25</v>
      </c>
      <c r="B19" s="520"/>
      <c r="C19" s="143">
        <v>18.5</v>
      </c>
      <c r="D19" s="143">
        <v>18.04</v>
      </c>
      <c r="E19" s="116">
        <f t="shared" si="1"/>
        <v>36.54</v>
      </c>
      <c r="F19" s="558">
        <f>'1461'!F19:G19</f>
        <v>0.98799999999999999</v>
      </c>
      <c r="G19" s="558"/>
      <c r="H19" s="80">
        <f t="shared" si="2"/>
        <v>36.101500000000001</v>
      </c>
      <c r="I19" s="101">
        <f t="shared" si="3"/>
        <v>193753.36</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39.479999999999997</v>
      </c>
      <c r="D27" s="143">
        <v>41.89</v>
      </c>
      <c r="E27" s="116">
        <f t="shared" si="1"/>
        <v>81.37</v>
      </c>
      <c r="F27" s="558">
        <f>'1461'!F27:G27</f>
        <v>1.208</v>
      </c>
      <c r="G27" s="558"/>
      <c r="H27" s="80">
        <f t="shared" si="2"/>
        <v>98.295000000000002</v>
      </c>
      <c r="I27" s="101">
        <f t="shared" si="3"/>
        <v>527540.03</v>
      </c>
      <c r="N27" s="571" t="s">
        <v>86</v>
      </c>
      <c r="O27" s="571"/>
      <c r="P27" s="572">
        <f t="shared" si="0"/>
        <v>0</v>
      </c>
      <c r="Q27" s="572"/>
      <c r="R27" s="573">
        <v>1</v>
      </c>
      <c r="S27" s="573"/>
      <c r="T27" s="95">
        <f t="shared" si="4"/>
        <v>0</v>
      </c>
      <c r="U27" s="475">
        <f t="shared" si="5"/>
        <v>0</v>
      </c>
    </row>
    <row r="28" spans="1:21" x14ac:dyDescent="0.25">
      <c r="A28" s="520" t="s">
        <v>87</v>
      </c>
      <c r="B28" s="520"/>
      <c r="C28" s="143">
        <v>34.840000000000003</v>
      </c>
      <c r="D28" s="143">
        <v>33.46</v>
      </c>
      <c r="E28" s="116">
        <f t="shared" si="1"/>
        <v>68.300000000000011</v>
      </c>
      <c r="F28" s="558">
        <f>'1461'!F28:G28</f>
        <v>1.208</v>
      </c>
      <c r="G28" s="558"/>
      <c r="H28" s="80">
        <f t="shared" si="2"/>
        <v>82.506399999999999</v>
      </c>
      <c r="I28" s="101">
        <f t="shared" si="3"/>
        <v>442804.1</v>
      </c>
      <c r="N28" s="571" t="s">
        <v>87</v>
      </c>
      <c r="O28" s="571"/>
      <c r="P28" s="572">
        <f t="shared" si="0"/>
        <v>0</v>
      </c>
      <c r="Q28" s="572"/>
      <c r="R28" s="573">
        <v>1</v>
      </c>
      <c r="S28" s="573"/>
      <c r="T28" s="95">
        <f t="shared" si="4"/>
        <v>0</v>
      </c>
      <c r="U28" s="475">
        <f t="shared" si="5"/>
        <v>0</v>
      </c>
    </row>
    <row r="29" spans="1:21" x14ac:dyDescent="0.25">
      <c r="A29" s="520" t="s">
        <v>88</v>
      </c>
      <c r="B29" s="520"/>
      <c r="C29" s="110">
        <v>19.239999999999998</v>
      </c>
      <c r="D29" s="110">
        <v>20.22</v>
      </c>
      <c r="E29" s="154">
        <f t="shared" si="1"/>
        <v>39.459999999999994</v>
      </c>
      <c r="F29" s="558">
        <f>'1461'!F29:G29</f>
        <v>1.0720000000000001</v>
      </c>
      <c r="G29" s="558"/>
      <c r="H29" s="93">
        <f t="shared" si="2"/>
        <v>42.301099999999998</v>
      </c>
      <c r="I29" s="94">
        <f t="shared" si="3"/>
        <v>227026.03</v>
      </c>
      <c r="N29" s="588" t="s">
        <v>88</v>
      </c>
      <c r="O29" s="588"/>
      <c r="P29" s="572">
        <f t="shared" si="0"/>
        <v>0</v>
      </c>
      <c r="Q29" s="572"/>
      <c r="R29" s="589">
        <v>1</v>
      </c>
      <c r="S29" s="589"/>
      <c r="T29" s="95">
        <f t="shared" si="4"/>
        <v>0</v>
      </c>
      <c r="U29" s="475">
        <f t="shared" si="5"/>
        <v>0</v>
      </c>
    </row>
    <row r="30" spans="1:21" x14ac:dyDescent="0.25">
      <c r="A30" s="523" t="s">
        <v>5</v>
      </c>
      <c r="B30" s="523"/>
      <c r="C30" s="94">
        <f>SUM(C14:C29)</f>
        <v>502.94000000000005</v>
      </c>
      <c r="D30" s="94">
        <f>SUM(D14:D29)</f>
        <v>504.40999999999997</v>
      </c>
      <c r="E30" s="94">
        <f>SUM(E14:E29)</f>
        <v>1007.3500000000001</v>
      </c>
      <c r="F30" s="539"/>
      <c r="G30" s="539"/>
      <c r="H30" s="99">
        <f>SUM(H14:H29)</f>
        <v>1036.9728</v>
      </c>
      <c r="I30" s="94">
        <f>SUM(I14:I29)</f>
        <v>5565335.6100000003</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1036.9728</v>
      </c>
      <c r="F46" s="34"/>
      <c r="G46" s="106"/>
      <c r="H46" s="107" t="s">
        <v>98</v>
      </c>
      <c r="I46" s="94">
        <f>SUM(I44,I30)</f>
        <v>5565335.6100000003</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5565335.6100000003</v>
      </c>
      <c r="G51" s="109" t="s">
        <v>6</v>
      </c>
      <c r="H51" s="403">
        <v>4.5199999999999997E-2</v>
      </c>
      <c r="I51" s="101">
        <f>ROUND(F51*H51,2)</f>
        <v>251553.17</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5565335.6100000003</v>
      </c>
      <c r="G52" s="109" t="s">
        <v>6</v>
      </c>
      <c r="H52" s="403">
        <v>1.41E-2</v>
      </c>
      <c r="I52" s="101">
        <f>ROUND(F52*H52,2)</f>
        <v>78471.23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330024.40000000002</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28</v>
      </c>
      <c r="D60" s="143">
        <v>29.22</v>
      </c>
      <c r="E60" s="116">
        <f t="shared" si="10"/>
        <v>57.22</v>
      </c>
      <c r="F60" s="446" t="s">
        <v>13</v>
      </c>
      <c r="G60" s="445">
        <v>251</v>
      </c>
      <c r="H60" s="459">
        <f>'1461'!H60</f>
        <v>1173</v>
      </c>
      <c r="I60" s="101">
        <f t="shared" si="11"/>
        <v>67119.06</v>
      </c>
      <c r="N60" s="622"/>
      <c r="O60" s="622"/>
      <c r="P60" s="625"/>
      <c r="Q60" s="625"/>
      <c r="R60" s="40" t="s">
        <v>13</v>
      </c>
      <c r="S60" s="451">
        <v>251</v>
      </c>
      <c r="T60" s="462">
        <f t="shared" si="12"/>
        <v>1173</v>
      </c>
      <c r="U60" s="476">
        <f t="shared" si="13"/>
        <v>0</v>
      </c>
      <c r="V60" s="426"/>
    </row>
    <row r="61" spans="1:22" x14ac:dyDescent="0.25">
      <c r="A61" s="536"/>
      <c r="B61" s="536"/>
      <c r="C61" s="143">
        <v>1.5</v>
      </c>
      <c r="D61" s="143">
        <v>2</v>
      </c>
      <c r="E61" s="116">
        <f t="shared" si="10"/>
        <v>3.5</v>
      </c>
      <c r="F61" s="446" t="s">
        <v>13</v>
      </c>
      <c r="G61" s="445">
        <v>252</v>
      </c>
      <c r="H61" s="459">
        <f>'1461'!H61</f>
        <v>3506</v>
      </c>
      <c r="I61" s="101">
        <f t="shared" si="11"/>
        <v>12271</v>
      </c>
      <c r="N61" s="622"/>
      <c r="O61" s="622"/>
      <c r="P61" s="625"/>
      <c r="Q61" s="625"/>
      <c r="R61" s="40" t="s">
        <v>13</v>
      </c>
      <c r="S61" s="451">
        <v>252</v>
      </c>
      <c r="T61" s="462">
        <f t="shared" si="12"/>
        <v>3506</v>
      </c>
      <c r="U61" s="476">
        <f t="shared" si="13"/>
        <v>0</v>
      </c>
      <c r="V61" s="426"/>
    </row>
    <row r="62" spans="1:22" x14ac:dyDescent="0.25">
      <c r="A62" s="536"/>
      <c r="B62" s="536"/>
      <c r="C62" s="143">
        <v>0.5</v>
      </c>
      <c r="D62" s="143">
        <v>0</v>
      </c>
      <c r="E62" s="116">
        <f t="shared" si="10"/>
        <v>0.5</v>
      </c>
      <c r="F62" s="446" t="s">
        <v>13</v>
      </c>
      <c r="G62" s="445">
        <v>253</v>
      </c>
      <c r="H62" s="459">
        <f>'1461'!H62</f>
        <v>7023</v>
      </c>
      <c r="I62" s="101">
        <f t="shared" si="11"/>
        <v>3511.5</v>
      </c>
      <c r="N62" s="622"/>
      <c r="O62" s="622"/>
      <c r="P62" s="625"/>
      <c r="Q62" s="625"/>
      <c r="R62" s="40" t="s">
        <v>13</v>
      </c>
      <c r="S62" s="451">
        <v>253</v>
      </c>
      <c r="T62" s="462">
        <f t="shared" si="12"/>
        <v>7023</v>
      </c>
      <c r="U62" s="476">
        <f t="shared" si="13"/>
        <v>0</v>
      </c>
      <c r="V62" s="426"/>
    </row>
    <row r="63" spans="1:22" x14ac:dyDescent="0.25">
      <c r="A63" s="536"/>
      <c r="B63" s="536"/>
      <c r="C63" s="143">
        <v>16</v>
      </c>
      <c r="D63" s="143">
        <v>16.54</v>
      </c>
      <c r="E63" s="116">
        <f t="shared" si="10"/>
        <v>32.54</v>
      </c>
      <c r="F63" s="446" t="s">
        <v>14</v>
      </c>
      <c r="G63" s="445">
        <v>251</v>
      </c>
      <c r="H63" s="459">
        <f>'1461'!H63</f>
        <v>835</v>
      </c>
      <c r="I63" s="101">
        <f t="shared" si="11"/>
        <v>27170.9</v>
      </c>
      <c r="N63" s="622"/>
      <c r="O63" s="622"/>
      <c r="P63" s="625"/>
      <c r="Q63" s="625"/>
      <c r="R63" s="40" t="s">
        <v>14</v>
      </c>
      <c r="S63" s="451">
        <v>251</v>
      </c>
      <c r="T63" s="462">
        <f t="shared" si="12"/>
        <v>835</v>
      </c>
      <c r="U63" s="476">
        <f t="shared" si="13"/>
        <v>0</v>
      </c>
      <c r="V63" s="426"/>
    </row>
    <row r="64" spans="1:22" x14ac:dyDescent="0.25">
      <c r="A64" s="536"/>
      <c r="B64" s="536"/>
      <c r="C64" s="143">
        <v>2.5</v>
      </c>
      <c r="D64" s="143">
        <v>1.5</v>
      </c>
      <c r="E64" s="116">
        <f t="shared" si="10"/>
        <v>4</v>
      </c>
      <c r="F64" s="446" t="s">
        <v>14</v>
      </c>
      <c r="G64" s="445">
        <v>252</v>
      </c>
      <c r="H64" s="459">
        <f>'1461'!H64</f>
        <v>3168</v>
      </c>
      <c r="I64" s="101">
        <f t="shared" si="11"/>
        <v>12672</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48.5</v>
      </c>
      <c r="D66" s="97">
        <f>SUM(D57:D65)</f>
        <v>49.26</v>
      </c>
      <c r="E66" s="97">
        <f>SUM(E57:E65)</f>
        <v>97.759999999999991</v>
      </c>
      <c r="F66" s="523" t="s">
        <v>448</v>
      </c>
      <c r="G66" s="523"/>
      <c r="H66" s="523"/>
      <c r="I66" s="97">
        <f>SUM(I57:I65)</f>
        <v>122744.45999999999</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1007.3500000000001</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4.9550000000000002E-3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1036.9728</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4.5570000000000003E-3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1007.3500000000001</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5.3899999999999998E-3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1007.3500000000001</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4.96E-3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1007.3500000000001</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5.3959999999999998E-3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4.96E-3</v>
      </c>
      <c r="I85" s="101">
        <f>ROUND(F85*H85,2)</f>
        <v>221541.06</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4.9550000000000002E-3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5.3959999999999998E-3</v>
      </c>
      <c r="I90" s="101">
        <f>ROUND(F90*H90,2)</f>
        <v>87237.41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5.3899999999999998E-3</v>
      </c>
      <c r="I92" s="101">
        <f t="shared" ref="I92:I96" si="14">ROUND(F92*H92,2)</f>
        <v>54116.13</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4.5570000000000003E-3</v>
      </c>
      <c r="I94" s="101">
        <f t="shared" si="14"/>
        <v>1089112.3999999999</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4.5570000000000003E-3</v>
      </c>
      <c r="I96" s="101">
        <f t="shared" si="14"/>
        <v>-7291.41</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554.04499999999996</v>
      </c>
      <c r="D102" s="518"/>
      <c r="E102" s="46">
        <f>H8</f>
        <v>1.0442</v>
      </c>
      <c r="F102" s="304">
        <f>'1461'!F102</f>
        <v>904.74</v>
      </c>
      <c r="G102" s="39" t="s">
        <v>12</v>
      </c>
      <c r="H102" s="101">
        <f>ROUND(C102*E102*F102,2)</f>
        <v>523422.66</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482.92779999999999</v>
      </c>
      <c r="D103" s="518"/>
      <c r="E103" s="46">
        <f>H8</f>
        <v>1.0442</v>
      </c>
      <c r="F103" s="304">
        <f>'1461'!F103</f>
        <v>906.93</v>
      </c>
      <c r="G103" s="39" t="s">
        <v>12</v>
      </c>
      <c r="H103" s="94">
        <f>ROUND(C103*E103*F103,2)</f>
        <v>457340.5</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1036.9728</v>
      </c>
      <c r="D104" s="531"/>
      <c r="E104" s="123"/>
      <c r="F104" s="123"/>
      <c r="G104" s="123"/>
      <c r="H104" s="124" t="s">
        <v>100</v>
      </c>
      <c r="I104" s="101">
        <f>IF(A1=75,0,H103+H102+H101)</f>
        <v>980763.15999999992</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5</v>
      </c>
      <c r="D110" s="143">
        <v>0</v>
      </c>
      <c r="E110" s="144">
        <f>(C110+D110)/2</f>
        <v>2.5</v>
      </c>
      <c r="F110" s="126" t="s">
        <v>30</v>
      </c>
      <c r="G110" s="305">
        <f>'1461'!G110</f>
        <v>565</v>
      </c>
      <c r="I110" s="101">
        <f>ROUND(G110*E110,2)</f>
        <v>1412.5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8114971.3200000003</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7784946.9199999999</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7784946.9199999999</v>
      </c>
      <c r="I132" s="94">
        <f>ROUND(IF(E30=0,0,IF(E30&gt;250,-(((250/E30)*H132)*IF(G132="H",0.02,0.05)),IF(G132="H",-0.02*H132,-0.05*H132))),2)</f>
        <v>-96601.81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8018369.5100000007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-1365148.96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6653220.5500000007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665322.06000000006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292645.53999999998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309</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91.76</v>
      </c>
      <c r="D18" s="143">
        <v>87.5</v>
      </c>
      <c r="E18" s="116">
        <f t="shared" si="1"/>
        <v>179.26</v>
      </c>
      <c r="F18" s="558">
        <f>'1461'!F18:G18</f>
        <v>0.98799999999999999</v>
      </c>
      <c r="G18" s="558"/>
      <c r="H18" s="80">
        <f t="shared" si="2"/>
        <v>177.10890000000001</v>
      </c>
      <c r="I18" s="101">
        <f t="shared" si="3"/>
        <v>950526.83</v>
      </c>
      <c r="N18" s="571" t="s">
        <v>24</v>
      </c>
      <c r="O18" s="571"/>
      <c r="P18" s="572">
        <f t="shared" si="0"/>
        <v>0</v>
      </c>
      <c r="Q18" s="572"/>
      <c r="R18" s="573">
        <v>1</v>
      </c>
      <c r="S18" s="573"/>
      <c r="T18" s="95">
        <f t="shared" si="4"/>
        <v>0</v>
      </c>
      <c r="U18" s="475">
        <f t="shared" si="5"/>
        <v>0</v>
      </c>
    </row>
    <row r="19" spans="1:21" x14ac:dyDescent="0.25">
      <c r="A19" s="520" t="s">
        <v>25</v>
      </c>
      <c r="B19" s="520"/>
      <c r="C19" s="143">
        <v>24.44</v>
      </c>
      <c r="D19" s="143">
        <v>24.61</v>
      </c>
      <c r="E19" s="116">
        <f t="shared" si="1"/>
        <v>49.05</v>
      </c>
      <c r="F19" s="558">
        <f>'1461'!F19:G19</f>
        <v>0.98799999999999999</v>
      </c>
      <c r="G19" s="558"/>
      <c r="H19" s="80">
        <f t="shared" si="2"/>
        <v>48.461399999999998</v>
      </c>
      <c r="I19" s="101">
        <f t="shared" si="3"/>
        <v>260087.78</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15.59</v>
      </c>
      <c r="D28" s="143">
        <v>15.98</v>
      </c>
      <c r="E28" s="116">
        <f t="shared" si="1"/>
        <v>31.57</v>
      </c>
      <c r="F28" s="558">
        <f>'1461'!F28:G28</f>
        <v>1.208</v>
      </c>
      <c r="G28" s="558"/>
      <c r="H28" s="80">
        <f t="shared" si="2"/>
        <v>38.136600000000001</v>
      </c>
      <c r="I28" s="101">
        <f t="shared" si="3"/>
        <v>204675.55</v>
      </c>
      <c r="N28" s="571" t="s">
        <v>87</v>
      </c>
      <c r="O28" s="571"/>
      <c r="P28" s="572">
        <f t="shared" si="0"/>
        <v>0</v>
      </c>
      <c r="Q28" s="572"/>
      <c r="R28" s="573">
        <v>1</v>
      </c>
      <c r="S28" s="573"/>
      <c r="T28" s="95">
        <f t="shared" si="4"/>
        <v>0</v>
      </c>
      <c r="U28" s="475">
        <f t="shared" si="5"/>
        <v>0</v>
      </c>
    </row>
    <row r="29" spans="1:21" x14ac:dyDescent="0.25">
      <c r="A29" s="520" t="s">
        <v>88</v>
      </c>
      <c r="B29" s="520"/>
      <c r="C29" s="110">
        <v>25.21</v>
      </c>
      <c r="D29" s="110">
        <v>27.65</v>
      </c>
      <c r="E29" s="116">
        <f t="shared" si="1"/>
        <v>52.86</v>
      </c>
      <c r="F29" s="558">
        <f>'1461'!F29:G29</f>
        <v>1.0720000000000001</v>
      </c>
      <c r="G29" s="558"/>
      <c r="H29" s="93">
        <f t="shared" si="2"/>
        <v>56.665900000000001</v>
      </c>
      <c r="I29" s="94">
        <f t="shared" si="3"/>
        <v>304120.56</v>
      </c>
      <c r="N29" s="588" t="s">
        <v>88</v>
      </c>
      <c r="O29" s="588"/>
      <c r="P29" s="572">
        <f t="shared" si="0"/>
        <v>0</v>
      </c>
      <c r="Q29" s="572"/>
      <c r="R29" s="589">
        <v>1</v>
      </c>
      <c r="S29" s="589"/>
      <c r="T29" s="95">
        <f t="shared" si="4"/>
        <v>0</v>
      </c>
      <c r="U29" s="475">
        <f t="shared" si="5"/>
        <v>0</v>
      </c>
    </row>
    <row r="30" spans="1:21" x14ac:dyDescent="0.25">
      <c r="A30" s="523" t="s">
        <v>5</v>
      </c>
      <c r="B30" s="523"/>
      <c r="C30" s="94">
        <f>SUM(C14:C29)</f>
        <v>157</v>
      </c>
      <c r="D30" s="94">
        <f>SUM(D14:D29)</f>
        <v>155.74</v>
      </c>
      <c r="E30" s="97">
        <f>SUM(E14:E29)</f>
        <v>312.74</v>
      </c>
      <c r="F30" s="539"/>
      <c r="G30" s="539"/>
      <c r="H30" s="99">
        <f>SUM(H14:H29)</f>
        <v>320.37280000000004</v>
      </c>
      <c r="I30" s="94">
        <f>SUM(I14:I29)</f>
        <v>1719410.72</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42">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44">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44">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44">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44">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36">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320.37280000000004</v>
      </c>
      <c r="F46" s="34"/>
      <c r="G46" s="106"/>
      <c r="H46" s="107" t="s">
        <v>98</v>
      </c>
      <c r="I46" s="94">
        <f>SUM(I44,I30)</f>
        <v>1719410.72</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1719410.72</v>
      </c>
      <c r="G51" s="109" t="s">
        <v>6</v>
      </c>
      <c r="H51" s="403">
        <v>4.5199999999999997E-2</v>
      </c>
      <c r="I51" s="101">
        <f>ROUND(F51*H51,2)</f>
        <v>77717.36</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1719410.72</v>
      </c>
      <c r="G52" s="109" t="s">
        <v>6</v>
      </c>
      <c r="H52" s="403">
        <v>1.41E-2</v>
      </c>
      <c r="I52" s="101">
        <f>ROUND(F52*H52,2)</f>
        <v>24243.69</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101961.05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22.94</v>
      </c>
      <c r="D63" s="143">
        <v>23.61</v>
      </c>
      <c r="E63" s="116">
        <f t="shared" si="10"/>
        <v>46.55</v>
      </c>
      <c r="F63" s="446" t="s">
        <v>14</v>
      </c>
      <c r="G63" s="445">
        <v>251</v>
      </c>
      <c r="H63" s="459">
        <f>'1461'!H63</f>
        <v>835</v>
      </c>
      <c r="I63" s="101">
        <f t="shared" si="11"/>
        <v>38869.25</v>
      </c>
      <c r="N63" s="622"/>
      <c r="O63" s="622"/>
      <c r="P63" s="625"/>
      <c r="Q63" s="625"/>
      <c r="R63" s="40" t="s">
        <v>14</v>
      </c>
      <c r="S63" s="451">
        <v>251</v>
      </c>
      <c r="T63" s="462">
        <f t="shared" si="12"/>
        <v>835</v>
      </c>
      <c r="U63" s="476">
        <f t="shared" si="13"/>
        <v>0</v>
      </c>
      <c r="V63" s="426"/>
    </row>
    <row r="64" spans="1:22" x14ac:dyDescent="0.25">
      <c r="A64" s="536"/>
      <c r="B64" s="536"/>
      <c r="C64" s="143">
        <v>1.5</v>
      </c>
      <c r="D64" s="143">
        <v>1</v>
      </c>
      <c r="E64" s="116">
        <f t="shared" si="10"/>
        <v>2.5</v>
      </c>
      <c r="F64" s="446" t="s">
        <v>14</v>
      </c>
      <c r="G64" s="445">
        <v>252</v>
      </c>
      <c r="H64" s="459">
        <f>'1461'!H64</f>
        <v>3168</v>
      </c>
      <c r="I64" s="101">
        <f t="shared" si="11"/>
        <v>7920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24.44</v>
      </c>
      <c r="D66" s="97">
        <f>SUM(D57:D65)</f>
        <v>24.61</v>
      </c>
      <c r="E66" s="97">
        <f>SUM(E57:E65)</f>
        <v>49.05</v>
      </c>
      <c r="F66" s="523" t="s">
        <v>448</v>
      </c>
      <c r="G66" s="523"/>
      <c r="H66" s="523"/>
      <c r="I66" s="97">
        <f>SUM(I57:I65)</f>
        <v>46789.25</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312.74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1.5380000000000001E-3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320.37280000000004</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1.408E-3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312.74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1.673E-3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312.74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1.5399999999999999E-3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312.74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1.6750000000000001E-3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1.5399999999999999E-3</v>
      </c>
      <c r="I85" s="101">
        <f>ROUND(F85*H85,2)</f>
        <v>68784.929999999993</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53"/>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1.5380000000000001E-3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1.6750000000000001E-3</v>
      </c>
      <c r="I90" s="101">
        <f>ROUND(F90*H90,2)</f>
        <v>27079.81</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1.673E-3</v>
      </c>
      <c r="I92" s="101">
        <f t="shared" ref="I92:I96" si="14">ROUND(F92*H92,2)</f>
        <v>16797.09</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1.408E-3</v>
      </c>
      <c r="I94" s="101">
        <f t="shared" si="14"/>
        <v>336508.72</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1.408E-3</v>
      </c>
      <c r="I96" s="101">
        <f t="shared" si="14"/>
        <v>-2252.87</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320.37280000000004</v>
      </c>
      <c r="D103" s="518"/>
      <c r="E103" s="46">
        <f>H8</f>
        <v>1.0442</v>
      </c>
      <c r="F103" s="304">
        <f>'1461'!F103</f>
        <v>906.93</v>
      </c>
      <c r="G103" s="39" t="s">
        <v>12</v>
      </c>
      <c r="H103" s="94">
        <f>ROUND(C103*E103*F103,2)</f>
        <v>303398.27</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320.37280000000004</v>
      </c>
      <c r="D104" s="531"/>
      <c r="E104" s="123"/>
      <c r="F104" s="123"/>
      <c r="G104" s="123"/>
      <c r="H104" s="124" t="s">
        <v>100</v>
      </c>
      <c r="I104" s="101">
        <f>IF(A1=75,0,H103+H102+H101)</f>
        <v>303398.27</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44">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44">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42">
        <f>IF(D30=0,C118*2,C118+D118)</f>
        <v>0</v>
      </c>
      <c r="F118" s="631">
        <v>0</v>
      </c>
      <c r="G118" s="631"/>
      <c r="H118" s="61">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44">
        <f>IF(D31=0,C119*2,C119+D119)</f>
        <v>0</v>
      </c>
      <c r="F119" s="525">
        <f>ROUND(F118/2,2)</f>
        <v>0</v>
      </c>
      <c r="G119" s="525"/>
      <c r="H119" s="61">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44">
        <f>IF(D32=0,C120*2,C120+D120)</f>
        <v>0</v>
      </c>
      <c r="F120" s="526"/>
      <c r="G120" s="526"/>
      <c r="H120" s="63">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2516515.92</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2414554.87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2414554.87</v>
      </c>
      <c r="I132" s="94">
        <f>ROUND(IF(E30=0,0,IF(E30&gt;250,-(((250/E30)*H132)*IF(G132="H",0.02,0.05)),IF(G132="H",-0.02*H132,-0.05*H132))),2)</f>
        <v>-96508.08</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2420007.84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-414000.01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2006007.8299999998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200600.78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24219.66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CCC"/>
  </sheetPr>
  <dimension ref="A1:V218"/>
  <sheetViews>
    <sheetView showGridLines="0" zoomScaleNormal="100" workbookViewId="0">
      <pane ySplit="1" topLeftCell="A10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110</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326.99</v>
      </c>
      <c r="D18" s="143">
        <v>314.5</v>
      </c>
      <c r="E18" s="116">
        <f t="shared" si="1"/>
        <v>641.49</v>
      </c>
      <c r="F18" s="558">
        <f>'1461'!F18:G18</f>
        <v>0.98799999999999999</v>
      </c>
      <c r="G18" s="558"/>
      <c r="H18" s="80">
        <f t="shared" si="2"/>
        <v>633.7921</v>
      </c>
      <c r="I18" s="101">
        <f t="shared" si="3"/>
        <v>3401502.67</v>
      </c>
      <c r="N18" s="571" t="s">
        <v>24</v>
      </c>
      <c r="O18" s="571"/>
      <c r="P18" s="572">
        <f t="shared" si="0"/>
        <v>0</v>
      </c>
      <c r="Q18" s="572"/>
      <c r="R18" s="573">
        <v>1</v>
      </c>
      <c r="S18" s="573"/>
      <c r="T18" s="95">
        <f t="shared" si="4"/>
        <v>0</v>
      </c>
      <c r="U18" s="475">
        <f t="shared" si="5"/>
        <v>0</v>
      </c>
    </row>
    <row r="19" spans="1:21" x14ac:dyDescent="0.25">
      <c r="A19" s="520" t="s">
        <v>25</v>
      </c>
      <c r="B19" s="520"/>
      <c r="C19" s="143">
        <v>113.58</v>
      </c>
      <c r="D19" s="143">
        <v>107.86</v>
      </c>
      <c r="E19" s="116">
        <f t="shared" si="1"/>
        <v>221.44</v>
      </c>
      <c r="F19" s="558">
        <f>'1461'!F19:G19</f>
        <v>0.98799999999999999</v>
      </c>
      <c r="G19" s="558"/>
      <c r="H19" s="80">
        <f t="shared" si="2"/>
        <v>218.78270000000001</v>
      </c>
      <c r="I19" s="101">
        <f t="shared" si="3"/>
        <v>1174186.2</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4.04</v>
      </c>
      <c r="D28" s="143">
        <v>3.35</v>
      </c>
      <c r="E28" s="116">
        <f t="shared" si="1"/>
        <v>7.3900000000000006</v>
      </c>
      <c r="F28" s="558">
        <f>'1461'!F28:G28</f>
        <v>1.208</v>
      </c>
      <c r="G28" s="558"/>
      <c r="H28" s="80">
        <f t="shared" si="2"/>
        <v>8.9270999999999994</v>
      </c>
      <c r="I28" s="101">
        <f t="shared" si="3"/>
        <v>47910.91</v>
      </c>
      <c r="N28" s="571" t="s">
        <v>87</v>
      </c>
      <c r="O28" s="571"/>
      <c r="P28" s="572">
        <f t="shared" si="0"/>
        <v>0</v>
      </c>
      <c r="Q28" s="572"/>
      <c r="R28" s="573">
        <v>1</v>
      </c>
      <c r="S28" s="573"/>
      <c r="T28" s="95">
        <f t="shared" si="4"/>
        <v>0</v>
      </c>
      <c r="U28" s="475">
        <f t="shared" si="5"/>
        <v>0</v>
      </c>
    </row>
    <row r="29" spans="1:21" x14ac:dyDescent="0.25">
      <c r="A29" s="520" t="s">
        <v>88</v>
      </c>
      <c r="B29" s="520"/>
      <c r="C29" s="110">
        <v>125.3</v>
      </c>
      <c r="D29" s="110">
        <v>127.2</v>
      </c>
      <c r="E29" s="154">
        <f t="shared" si="1"/>
        <v>252.5</v>
      </c>
      <c r="F29" s="558">
        <f>'1461'!F29:G29</f>
        <v>1.0720000000000001</v>
      </c>
      <c r="G29" s="558"/>
      <c r="H29" s="93">
        <f t="shared" si="2"/>
        <v>270.68</v>
      </c>
      <c r="I29" s="94">
        <f t="shared" si="3"/>
        <v>1452714.13</v>
      </c>
      <c r="N29" s="588" t="s">
        <v>88</v>
      </c>
      <c r="O29" s="588"/>
      <c r="P29" s="572">
        <f t="shared" si="0"/>
        <v>0</v>
      </c>
      <c r="Q29" s="572"/>
      <c r="R29" s="589">
        <v>1</v>
      </c>
      <c r="S29" s="589"/>
      <c r="T29" s="95">
        <f t="shared" si="4"/>
        <v>0</v>
      </c>
      <c r="U29" s="475">
        <f t="shared" si="5"/>
        <v>0</v>
      </c>
    </row>
    <row r="30" spans="1:21" x14ac:dyDescent="0.25">
      <c r="A30" s="523" t="s">
        <v>5</v>
      </c>
      <c r="B30" s="523"/>
      <c r="C30" s="94">
        <f>SUM(C14:C29)</f>
        <v>569.91</v>
      </c>
      <c r="D30" s="94">
        <f>SUM(D14:D29)</f>
        <v>552.91000000000008</v>
      </c>
      <c r="E30" s="94">
        <f>SUM(E14:E29)</f>
        <v>1122.8200000000002</v>
      </c>
      <c r="F30" s="539"/>
      <c r="G30" s="539"/>
      <c r="H30" s="99">
        <f>SUM(H14:H29)</f>
        <v>1132.1819</v>
      </c>
      <c r="I30" s="94">
        <f>SUM(I14:I29)</f>
        <v>6076313.9100000001</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1132.1819</v>
      </c>
      <c r="F46" s="34"/>
      <c r="G46" s="106"/>
      <c r="H46" s="107" t="s">
        <v>98</v>
      </c>
      <c r="I46" s="94">
        <f>SUM(I44,I30)</f>
        <v>6076313.9100000001</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6076313.9100000001</v>
      </c>
      <c r="G51" s="109" t="s">
        <v>6</v>
      </c>
      <c r="H51" s="403">
        <v>4.5199999999999997E-2</v>
      </c>
      <c r="I51" s="101">
        <f>ROUND(F51*H51,2)</f>
        <v>274649.39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6076313.9100000001</v>
      </c>
      <c r="G52" s="109" t="s">
        <v>6</v>
      </c>
      <c r="H52" s="403">
        <v>1.41E-2</v>
      </c>
      <c r="I52" s="101">
        <f>ROUND(F52*H52,2)</f>
        <v>85676.03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360325.42000000004</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106.58</v>
      </c>
      <c r="D63" s="143">
        <v>101.45</v>
      </c>
      <c r="E63" s="116">
        <f t="shared" si="10"/>
        <v>208.03</v>
      </c>
      <c r="F63" s="446" t="s">
        <v>14</v>
      </c>
      <c r="G63" s="445">
        <v>251</v>
      </c>
      <c r="H63" s="459">
        <f>'1461'!H63</f>
        <v>835</v>
      </c>
      <c r="I63" s="101">
        <f t="shared" si="11"/>
        <v>173705.05</v>
      </c>
      <c r="N63" s="622"/>
      <c r="O63" s="622"/>
      <c r="P63" s="625"/>
      <c r="Q63" s="625"/>
      <c r="R63" s="40" t="s">
        <v>14</v>
      </c>
      <c r="S63" s="451">
        <v>251</v>
      </c>
      <c r="T63" s="462">
        <f t="shared" si="12"/>
        <v>835</v>
      </c>
      <c r="U63" s="476">
        <f t="shared" si="13"/>
        <v>0</v>
      </c>
      <c r="V63" s="426"/>
    </row>
    <row r="64" spans="1:22" x14ac:dyDescent="0.25">
      <c r="A64" s="536"/>
      <c r="B64" s="536"/>
      <c r="C64" s="143">
        <v>7</v>
      </c>
      <c r="D64" s="143">
        <v>6.41</v>
      </c>
      <c r="E64" s="116">
        <f t="shared" si="10"/>
        <v>13.41</v>
      </c>
      <c r="F64" s="446" t="s">
        <v>14</v>
      </c>
      <c r="G64" s="445">
        <v>252</v>
      </c>
      <c r="H64" s="459">
        <f>'1461'!H64</f>
        <v>3168</v>
      </c>
      <c r="I64" s="101">
        <f t="shared" si="11"/>
        <v>42482.879999999997</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113.58</v>
      </c>
      <c r="D66" s="97">
        <f>SUM(D57:D65)</f>
        <v>107.86</v>
      </c>
      <c r="E66" s="97">
        <f>SUM(E57:E65)</f>
        <v>221.44</v>
      </c>
      <c r="F66" s="523" t="s">
        <v>448</v>
      </c>
      <c r="G66" s="523"/>
      <c r="H66" s="523"/>
      <c r="I66" s="97">
        <f>SUM(I57:I65)</f>
        <v>216187.93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1122.8200000000002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5.5230000000000001E-3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1132.1819</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4.9760000000000004E-3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1122.8200000000002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6.0070000000000002E-3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1122.8200000000002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5.5290000000000001E-3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1122.8200000000002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6.0150000000000004E-3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5.5290000000000001E-3</v>
      </c>
      <c r="I85" s="101">
        <f>ROUND(F85*H85,2)</f>
        <v>246955.75</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5.5230000000000001E-3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6.0150000000000004E-3</v>
      </c>
      <c r="I90" s="101">
        <f>ROUND(F90*H90,2)</f>
        <v>97244.82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6.0070000000000002E-3</v>
      </c>
      <c r="I92" s="101">
        <f t="shared" ref="I92:I96" si="14">ROUND(F92*H92,2)</f>
        <v>60310.87</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4.9760000000000004E-3</v>
      </c>
      <c r="I94" s="101">
        <f t="shared" si="14"/>
        <v>1189252.43</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4.9760000000000004E-3</v>
      </c>
      <c r="I96" s="101">
        <f t="shared" si="14"/>
        <v>-7961.83</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1132.1819</v>
      </c>
      <c r="D103" s="518"/>
      <c r="E103" s="46">
        <f>H8</f>
        <v>1.0442</v>
      </c>
      <c r="F103" s="304">
        <f>'1461'!F103</f>
        <v>906.93</v>
      </c>
      <c r="G103" s="39" t="s">
        <v>12</v>
      </c>
      <c r="H103" s="94">
        <f>ROUND(C103*E103*F103,2)</f>
        <v>1072194.72</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1132.1819</v>
      </c>
      <c r="D104" s="531"/>
      <c r="E104" s="123"/>
      <c r="F104" s="123"/>
      <c r="G104" s="123"/>
      <c r="H104" s="124" t="s">
        <v>100</v>
      </c>
      <c r="I104" s="101">
        <f>IF(A1=75,0,H103+H102+H101)</f>
        <v>1072194.72</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8"/>
      <c r="D107" s="8"/>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656</v>
      </c>
      <c r="D110" s="143">
        <v>644</v>
      </c>
      <c r="E110" s="116">
        <f>(C110+D110)/2</f>
        <v>650</v>
      </c>
      <c r="F110" s="126" t="s">
        <v>30</v>
      </c>
      <c r="G110" s="305">
        <f>'1461'!G110</f>
        <v>565</v>
      </c>
      <c r="I110" s="101">
        <f>ROUND(G110*E110,2)</f>
        <v>367250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9317748.5999999996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8957423.1799999997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8957423.1799999997</v>
      </c>
      <c r="I132" s="94">
        <f>ROUND(IF(E30=0,0,IF(E30&gt;250,-(((250/E30)*H132)*IF(G132="H",0.02,0.05)),IF(G132="H",-0.02*H132,-0.05*H132))),2)</f>
        <v>-39888.06</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9277860.5399999991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-1588639.75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7689220.7899999991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768922.08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139260.40359999999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5"/>
      <c r="O152" s="615"/>
      <c r="P152" s="615"/>
      <c r="Q152" s="615"/>
      <c r="R152" s="615"/>
      <c r="S152" s="615"/>
      <c r="T152" s="615"/>
      <c r="U152" s="615"/>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352</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151"/>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7"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14.88</v>
      </c>
      <c r="D18" s="143">
        <v>13.47</v>
      </c>
      <c r="E18" s="116">
        <f t="shared" si="1"/>
        <v>28.35</v>
      </c>
      <c r="F18" s="558">
        <f>'1461'!F18:G18</f>
        <v>0.98799999999999999</v>
      </c>
      <c r="G18" s="558"/>
      <c r="H18" s="80">
        <f t="shared" si="2"/>
        <v>28.009799999999998</v>
      </c>
      <c r="I18" s="101">
        <f t="shared" si="3"/>
        <v>150325.97</v>
      </c>
      <c r="N18" s="571" t="s">
        <v>24</v>
      </c>
      <c r="O18" s="571"/>
      <c r="P18" s="572">
        <f t="shared" si="0"/>
        <v>0</v>
      </c>
      <c r="Q18" s="572"/>
      <c r="R18" s="573">
        <v>1</v>
      </c>
      <c r="S18" s="573"/>
      <c r="T18" s="95">
        <f t="shared" si="4"/>
        <v>0</v>
      </c>
      <c r="U18" s="475">
        <f t="shared" si="5"/>
        <v>0</v>
      </c>
    </row>
    <row r="19" spans="1:21" x14ac:dyDescent="0.25">
      <c r="A19" s="520" t="s">
        <v>25</v>
      </c>
      <c r="B19" s="520"/>
      <c r="C19" s="143">
        <v>2</v>
      </c>
      <c r="D19" s="143">
        <v>2</v>
      </c>
      <c r="E19" s="116">
        <f t="shared" si="1"/>
        <v>4</v>
      </c>
      <c r="F19" s="558">
        <f>'1461'!F19:G19</f>
        <v>0.98799999999999999</v>
      </c>
      <c r="G19" s="558"/>
      <c r="H19" s="80">
        <f t="shared" si="2"/>
        <v>3.952</v>
      </c>
      <c r="I19" s="101">
        <f t="shared" si="3"/>
        <v>21210.01</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2.19</v>
      </c>
      <c r="D28" s="143">
        <v>1.81</v>
      </c>
      <c r="E28" s="116">
        <f t="shared" si="1"/>
        <v>4</v>
      </c>
      <c r="F28" s="558">
        <f>'1461'!F28:G28</f>
        <v>1.208</v>
      </c>
      <c r="G28" s="558"/>
      <c r="H28" s="80">
        <f t="shared" si="2"/>
        <v>4.8319999999999999</v>
      </c>
      <c r="I28" s="101">
        <f t="shared" si="3"/>
        <v>25932.89</v>
      </c>
      <c r="N28" s="571" t="s">
        <v>87</v>
      </c>
      <c r="O28" s="571"/>
      <c r="P28" s="572">
        <f t="shared" si="0"/>
        <v>0</v>
      </c>
      <c r="Q28" s="572"/>
      <c r="R28" s="573">
        <v>1</v>
      </c>
      <c r="S28" s="573"/>
      <c r="T28" s="95">
        <f t="shared" si="4"/>
        <v>0</v>
      </c>
      <c r="U28" s="475">
        <f t="shared" si="5"/>
        <v>0</v>
      </c>
    </row>
    <row r="29" spans="1:21" x14ac:dyDescent="0.25">
      <c r="A29" s="520" t="s">
        <v>88</v>
      </c>
      <c r="B29" s="520"/>
      <c r="C29" s="110">
        <v>0.88</v>
      </c>
      <c r="D29" s="110">
        <v>1.01</v>
      </c>
      <c r="E29" s="154">
        <f t="shared" si="1"/>
        <v>1.8900000000000001</v>
      </c>
      <c r="F29" s="558">
        <f>'1461'!F29:G29</f>
        <v>1.0720000000000001</v>
      </c>
      <c r="G29" s="558"/>
      <c r="H29" s="93">
        <f t="shared" si="2"/>
        <v>2.0261</v>
      </c>
      <c r="I29" s="94">
        <f t="shared" si="3"/>
        <v>10873.89</v>
      </c>
      <c r="N29" s="588" t="s">
        <v>88</v>
      </c>
      <c r="O29" s="588"/>
      <c r="P29" s="572">
        <f t="shared" si="0"/>
        <v>0</v>
      </c>
      <c r="Q29" s="572"/>
      <c r="R29" s="589">
        <v>1</v>
      </c>
      <c r="S29" s="589"/>
      <c r="T29" s="95">
        <f t="shared" si="4"/>
        <v>0</v>
      </c>
      <c r="U29" s="475">
        <f t="shared" si="5"/>
        <v>0</v>
      </c>
    </row>
    <row r="30" spans="1:21" x14ac:dyDescent="0.25">
      <c r="A30" s="523" t="s">
        <v>5</v>
      </c>
      <c r="B30" s="523"/>
      <c r="C30" s="94">
        <f>SUM(C14:C29)</f>
        <v>19.950000000000003</v>
      </c>
      <c r="D30" s="94">
        <f>SUM(D14:D29)</f>
        <v>18.290000000000003</v>
      </c>
      <c r="E30" s="94">
        <f>SUM(E14:E29)</f>
        <v>38.24</v>
      </c>
      <c r="F30" s="539"/>
      <c r="G30" s="539"/>
      <c r="H30" s="99">
        <f>SUM(H14:H29)</f>
        <v>38.819899999999997</v>
      </c>
      <c r="I30" s="94">
        <f>SUM(I14:I29)</f>
        <v>208342.76</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38.819899999999997</v>
      </c>
      <c r="F46" s="34"/>
      <c r="G46" s="106"/>
      <c r="H46" s="107" t="s">
        <v>98</v>
      </c>
      <c r="I46" s="94">
        <f>SUM(I44,I30)</f>
        <v>208342.76</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208342.76</v>
      </c>
      <c r="G51" s="109" t="s">
        <v>6</v>
      </c>
      <c r="H51" s="403">
        <v>4.5199999999999997E-2</v>
      </c>
      <c r="I51" s="101">
        <f>ROUND(F51*H51,2)</f>
        <v>9417.09</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208342.76</v>
      </c>
      <c r="G52" s="109" t="s">
        <v>6</v>
      </c>
      <c r="H52" s="403">
        <v>1.41E-2</v>
      </c>
      <c r="I52" s="101">
        <f>ROUND(F52*H52,2)</f>
        <v>2937.63</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12354.720000000001</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1</v>
      </c>
      <c r="D63" s="143">
        <v>1</v>
      </c>
      <c r="E63" s="116">
        <f t="shared" si="10"/>
        <v>2</v>
      </c>
      <c r="F63" s="446" t="s">
        <v>14</v>
      </c>
      <c r="G63" s="445">
        <v>251</v>
      </c>
      <c r="H63" s="459">
        <f>'1461'!H63</f>
        <v>835</v>
      </c>
      <c r="I63" s="101">
        <f t="shared" si="11"/>
        <v>1670</v>
      </c>
      <c r="N63" s="622"/>
      <c r="O63" s="622"/>
      <c r="P63" s="625"/>
      <c r="Q63" s="625"/>
      <c r="R63" s="40" t="s">
        <v>14</v>
      </c>
      <c r="S63" s="451">
        <v>251</v>
      </c>
      <c r="T63" s="462">
        <f t="shared" si="12"/>
        <v>835</v>
      </c>
      <c r="U63" s="476">
        <f t="shared" si="13"/>
        <v>0</v>
      </c>
      <c r="V63" s="426"/>
    </row>
    <row r="64" spans="1:22" x14ac:dyDescent="0.25">
      <c r="A64" s="536"/>
      <c r="B64" s="536"/>
      <c r="C64" s="143">
        <v>1</v>
      </c>
      <c r="D64" s="143">
        <v>1</v>
      </c>
      <c r="E64" s="116">
        <f t="shared" si="10"/>
        <v>2</v>
      </c>
      <c r="F64" s="446" t="s">
        <v>14</v>
      </c>
      <c r="G64" s="445">
        <v>252</v>
      </c>
      <c r="H64" s="459">
        <f>'1461'!H64</f>
        <v>3168</v>
      </c>
      <c r="I64" s="101">
        <f t="shared" si="11"/>
        <v>6336</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2</v>
      </c>
      <c r="D66" s="97">
        <f>SUM(D57:D65)</f>
        <v>2</v>
      </c>
      <c r="E66" s="97">
        <f>SUM(E57:E65)</f>
        <v>4</v>
      </c>
      <c r="F66" s="523" t="s">
        <v>448</v>
      </c>
      <c r="G66" s="523"/>
      <c r="H66" s="523"/>
      <c r="I66" s="97">
        <f>SUM(I57:I65)</f>
        <v>8006</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38.24</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1.8799999999999999E-4</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38.819899999999997</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1.7100000000000001E-4</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38.24</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2.05E-4</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38.24</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1.8799999999999999E-4</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38.24</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2.05E-4</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1.8799999999999999E-4</v>
      </c>
      <c r="I85" s="101">
        <f>ROUND(F85*H85,2)</f>
        <v>8397.1200000000008</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1.8799999999999999E-4</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2.05E-4</v>
      </c>
      <c r="I90" s="101">
        <f>ROUND(F90*H90,2)</f>
        <v>3314.25</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2.05E-4</v>
      </c>
      <c r="I92" s="101">
        <f t="shared" ref="I92:I96" si="14">ROUND(F92*H92,2)</f>
        <v>2058.2199999999998</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1.7100000000000001E-4</v>
      </c>
      <c r="I94" s="101">
        <f t="shared" si="14"/>
        <v>40868.6</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1.7100000000000001E-4</v>
      </c>
      <c r="I96" s="101">
        <f t="shared" si="14"/>
        <v>-273.61</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38.819899999999997</v>
      </c>
      <c r="D103" s="518"/>
      <c r="E103" s="46">
        <f>H8</f>
        <v>1.0442</v>
      </c>
      <c r="F103" s="304">
        <f>'1461'!F103</f>
        <v>906.93</v>
      </c>
      <c r="G103" s="39" t="s">
        <v>12</v>
      </c>
      <c r="H103" s="94">
        <f>ROUND(C103*E103*F103,2)</f>
        <v>36763.08</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38.819899999999997</v>
      </c>
      <c r="D104" s="531"/>
      <c r="E104" s="123"/>
      <c r="F104" s="123"/>
      <c r="G104" s="123"/>
      <c r="H104" s="124" t="s">
        <v>100</v>
      </c>
      <c r="I104" s="101">
        <f>IF(A1=75,0,H103+H102+H101)</f>
        <v>36763.08</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7">
        <v>44829</v>
      </c>
      <c r="D109" s="325"/>
      <c r="E109" s="325" t="s">
        <v>2</v>
      </c>
      <c r="F109" s="43"/>
      <c r="G109" s="43"/>
      <c r="H109" s="43"/>
      <c r="I109" s="43"/>
      <c r="N109" s="45"/>
      <c r="O109" s="45"/>
      <c r="P109" s="45"/>
      <c r="Q109" s="125"/>
      <c r="R109" s="125"/>
      <c r="S109" s="125"/>
      <c r="T109" s="125"/>
      <c r="U109" s="103"/>
    </row>
    <row r="110" spans="1:21" x14ac:dyDescent="0.25">
      <c r="A110" s="532" t="s">
        <v>379</v>
      </c>
      <c r="B110" s="553"/>
      <c r="C110" s="143">
        <v>2</v>
      </c>
      <c r="D110" s="143">
        <v>0</v>
      </c>
      <c r="E110" s="116">
        <f>(C110+D110)/2</f>
        <v>1</v>
      </c>
      <c r="F110" s="126" t="s">
        <v>30</v>
      </c>
      <c r="G110" s="305">
        <f>'1461'!G110</f>
        <v>565</v>
      </c>
      <c r="I110" s="101">
        <f>ROUND(G110*E110,2)</f>
        <v>565</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308041.42000000004</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295686.70000000007</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295686.70000000007</v>
      </c>
      <c r="I132" s="94">
        <f>ROUND(IF(E30=0,0,IF(E30&gt;250,-(((250/E30)*H132)*IF(G132="H",0.02,0.05)),IF(G132="H",-0.02*H132,-0.05*H132))),2)</f>
        <v>-14784.34</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293257.08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-49713.85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243543.23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24354.32</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K42"/>
  <sheetViews>
    <sheetView zoomScale="90" zoomScaleNormal="90" workbookViewId="0">
      <selection activeCell="K8" sqref="K8"/>
    </sheetView>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Sep 2023</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111</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20.440000000000001</v>
      </c>
      <c r="D19" s="143">
        <v>25</v>
      </c>
      <c r="E19" s="116">
        <f t="shared" si="1"/>
        <v>45.44</v>
      </c>
      <c r="F19" s="558">
        <f>'1461'!F19:G19</f>
        <v>0.98799999999999999</v>
      </c>
      <c r="G19" s="558"/>
      <c r="H19" s="80">
        <f t="shared" si="2"/>
        <v>44.8947</v>
      </c>
      <c r="I19" s="101">
        <f t="shared" si="3"/>
        <v>240945.64</v>
      </c>
      <c r="J19" s="65" t="str">
        <f>IF(ROUND(E19,2)=ROUND(SUM(E63:E65),2)," ","CHECK 4-8 LINES BELOW")</f>
        <v xml:space="preserve"> </v>
      </c>
      <c r="N19" s="571" t="s">
        <v>25</v>
      </c>
      <c r="O19" s="571"/>
      <c r="P19" s="572">
        <f t="shared" si="0"/>
        <v>45.44</v>
      </c>
      <c r="Q19" s="572"/>
      <c r="R19" s="573">
        <v>1</v>
      </c>
      <c r="S19" s="573"/>
      <c r="T19" s="95">
        <f t="shared" si="4"/>
        <v>45.44</v>
      </c>
      <c r="U19" s="474">
        <f t="shared" si="5"/>
        <v>243872.21</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13.44</v>
      </c>
      <c r="D22" s="143">
        <v>10.29</v>
      </c>
      <c r="E22" s="116">
        <f t="shared" si="1"/>
        <v>23.729999999999997</v>
      </c>
      <c r="F22" s="558">
        <f>'1461'!F22:G22</f>
        <v>3.706</v>
      </c>
      <c r="G22" s="558"/>
      <c r="H22" s="80">
        <f t="shared" si="2"/>
        <v>87.943399999999997</v>
      </c>
      <c r="I22" s="101">
        <f t="shared" si="3"/>
        <v>471983.97</v>
      </c>
      <c r="N22" s="571" t="s">
        <v>81</v>
      </c>
      <c r="O22" s="571"/>
      <c r="P22" s="572">
        <f t="shared" si="0"/>
        <v>23.729999999999997</v>
      </c>
      <c r="Q22" s="572"/>
      <c r="R22" s="573">
        <v>1</v>
      </c>
      <c r="S22" s="573"/>
      <c r="T22" s="95">
        <f t="shared" si="4"/>
        <v>23.73</v>
      </c>
      <c r="U22" s="475">
        <f t="shared" si="5"/>
        <v>127356.68</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33.880000000000003</v>
      </c>
      <c r="D30" s="94">
        <f>SUM(D14:D29)</f>
        <v>35.29</v>
      </c>
      <c r="E30" s="94">
        <f>SUM(E14:E29)</f>
        <v>69.169999999999987</v>
      </c>
      <c r="F30" s="539"/>
      <c r="G30" s="539"/>
      <c r="H30" s="99">
        <f>SUM(H14:H29)</f>
        <v>132.8381</v>
      </c>
      <c r="I30" s="94">
        <f>SUM(I14:I29)</f>
        <v>712929.61</v>
      </c>
      <c r="N30" s="590" t="s">
        <v>5</v>
      </c>
      <c r="O30" s="590"/>
      <c r="P30" s="591">
        <f>SUM(P14:P29)</f>
        <v>69.169999999999987</v>
      </c>
      <c r="Q30" s="591"/>
      <c r="R30" s="592"/>
      <c r="S30" s="592"/>
      <c r="T30" s="100">
        <f>SUM(T14:T29)</f>
        <v>69.17</v>
      </c>
      <c r="U30" s="475">
        <f>SUM(U14:U29)</f>
        <v>371228.89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132.8381</v>
      </c>
      <c r="F46" s="34"/>
      <c r="G46" s="106"/>
      <c r="H46" s="107" t="s">
        <v>98</v>
      </c>
      <c r="I46" s="94">
        <f>SUM(I44,I30)</f>
        <v>712929.61</v>
      </c>
      <c r="N46" s="616" t="s">
        <v>44</v>
      </c>
      <c r="O46" s="616"/>
      <c r="P46" s="616"/>
      <c r="Q46" s="616"/>
      <c r="R46" s="35">
        <f>R44+T30</f>
        <v>69.17</v>
      </c>
      <c r="S46" s="592" t="s">
        <v>42</v>
      </c>
      <c r="T46" s="592"/>
      <c r="U46" s="108">
        <f>SUM(U44,U30)</f>
        <v>371228.89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712929.61</v>
      </c>
      <c r="G51" s="109" t="s">
        <v>6</v>
      </c>
      <c r="H51" s="403">
        <v>4.5199999999999997E-2</v>
      </c>
      <c r="I51" s="101">
        <f>ROUND(F51*H51,2)</f>
        <v>32224.42</v>
      </c>
      <c r="N51" s="408"/>
      <c r="O51" s="409" t="s">
        <v>398</v>
      </c>
      <c r="P51" s="28"/>
      <c r="Q51" s="44" t="s">
        <v>399</v>
      </c>
      <c r="R51" s="410">
        <f>U30</f>
        <v>371228.89</v>
      </c>
      <c r="S51" s="411" t="s">
        <v>6</v>
      </c>
      <c r="T51" s="412">
        <v>4.5199999999999997E-2</v>
      </c>
      <c r="U51" s="404">
        <f>ROUND(R51*T51,2)</f>
        <v>16779.55</v>
      </c>
    </row>
    <row r="52" spans="1:22" x14ac:dyDescent="0.25">
      <c r="A52" s="26"/>
      <c r="B52" s="81" t="s">
        <v>400</v>
      </c>
      <c r="C52" s="26"/>
      <c r="D52" s="26"/>
      <c r="E52" s="43" t="s">
        <v>399</v>
      </c>
      <c r="F52" s="402">
        <f>I46</f>
        <v>712929.61</v>
      </c>
      <c r="G52" s="109" t="s">
        <v>6</v>
      </c>
      <c r="H52" s="403">
        <v>1.41E-2</v>
      </c>
      <c r="I52" s="101">
        <f>ROUND(F52*H52,2)</f>
        <v>10052.31</v>
      </c>
      <c r="N52" s="28"/>
      <c r="O52" s="385" t="s">
        <v>400</v>
      </c>
      <c r="P52" s="28"/>
      <c r="Q52" s="44" t="s">
        <v>399</v>
      </c>
      <c r="R52" s="410">
        <f>U30</f>
        <v>371228.89</v>
      </c>
      <c r="S52" s="411" t="s">
        <v>6</v>
      </c>
      <c r="T52" s="412">
        <v>1.41E-2</v>
      </c>
      <c r="U52" s="413">
        <f>ROUND(R52*T52,2)</f>
        <v>5234.33</v>
      </c>
    </row>
    <row r="53" spans="1:22" x14ac:dyDescent="0.25">
      <c r="A53" s="26"/>
      <c r="B53" s="81" t="s">
        <v>401</v>
      </c>
      <c r="C53" s="26"/>
      <c r="D53" s="26"/>
      <c r="E53" s="43"/>
      <c r="F53" s="402"/>
      <c r="G53" s="109"/>
      <c r="H53" s="403"/>
      <c r="I53" s="97">
        <f>SUM(I51:I52)</f>
        <v>42276.729999999996</v>
      </c>
      <c r="N53" s="28"/>
      <c r="O53" s="385" t="s">
        <v>401</v>
      </c>
      <c r="P53" s="28"/>
      <c r="Q53" s="44"/>
      <c r="R53" s="410"/>
      <c r="S53" s="411"/>
      <c r="T53" s="412"/>
      <c r="U53" s="404">
        <f>SUM(U51:U52)</f>
        <v>22013.879999999997</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0.5</v>
      </c>
      <c r="D64" s="143">
        <v>1.41</v>
      </c>
      <c r="E64" s="116">
        <f t="shared" si="10"/>
        <v>1.91</v>
      </c>
      <c r="F64" s="446" t="s">
        <v>14</v>
      </c>
      <c r="G64" s="445">
        <v>252</v>
      </c>
      <c r="H64" s="459">
        <f>'1461'!H64</f>
        <v>3168</v>
      </c>
      <c r="I64" s="101">
        <f t="shared" si="11"/>
        <v>6050.88</v>
      </c>
      <c r="N64" s="622"/>
      <c r="O64" s="622"/>
      <c r="P64" s="625"/>
      <c r="Q64" s="625"/>
      <c r="R64" s="40" t="s">
        <v>14</v>
      </c>
      <c r="S64" s="451">
        <v>252</v>
      </c>
      <c r="T64" s="462">
        <f t="shared" si="12"/>
        <v>3168</v>
      </c>
      <c r="U64" s="476">
        <f t="shared" si="13"/>
        <v>0</v>
      </c>
      <c r="V64" s="426"/>
    </row>
    <row r="65" spans="1:22" ht="16.5" thickBot="1" x14ac:dyDescent="0.3">
      <c r="A65" s="536"/>
      <c r="B65" s="536"/>
      <c r="C65" s="143">
        <v>19.940000000000001</v>
      </c>
      <c r="D65" s="143">
        <v>23.59</v>
      </c>
      <c r="E65" s="116">
        <f t="shared" si="10"/>
        <v>43.53</v>
      </c>
      <c r="F65" s="446" t="s">
        <v>14</v>
      </c>
      <c r="G65" s="445">
        <v>253</v>
      </c>
      <c r="H65" s="459">
        <f>'1461'!H65</f>
        <v>6685</v>
      </c>
      <c r="I65" s="101">
        <f t="shared" si="11"/>
        <v>290998.05</v>
      </c>
      <c r="N65" s="622"/>
      <c r="O65" s="622"/>
      <c r="P65" s="626"/>
      <c r="Q65" s="626"/>
      <c r="R65" s="40" t="s">
        <v>14</v>
      </c>
      <c r="S65" s="451">
        <v>253</v>
      </c>
      <c r="T65" s="462">
        <f t="shared" si="12"/>
        <v>6685</v>
      </c>
      <c r="U65" s="477">
        <f t="shared" si="13"/>
        <v>0</v>
      </c>
      <c r="V65" s="426"/>
    </row>
    <row r="66" spans="1:22" ht="16.5" thickBot="1" x14ac:dyDescent="0.3">
      <c r="A66" s="442"/>
      <c r="C66" s="97">
        <f>SUM(C57:C65)</f>
        <v>20.440000000000001</v>
      </c>
      <c r="D66" s="97">
        <f>SUM(D57:D65)</f>
        <v>25</v>
      </c>
      <c r="E66" s="97">
        <f>SUM(E57:E65)</f>
        <v>45.44</v>
      </c>
      <c r="F66" s="523" t="s">
        <v>448</v>
      </c>
      <c r="G66" s="523"/>
      <c r="H66" s="523"/>
      <c r="I66" s="97">
        <f>SUM(I57:I65)</f>
        <v>297048.93</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69.169999999999987</v>
      </c>
      <c r="D69" s="533" t="s">
        <v>413</v>
      </c>
      <c r="E69" s="533"/>
      <c r="F69" s="533"/>
      <c r="G69" s="533"/>
      <c r="H69" s="301">
        <f>'1461'!H69</f>
        <v>203305.63</v>
      </c>
      <c r="I69" s="113"/>
      <c r="N69" s="594" t="s">
        <v>406</v>
      </c>
      <c r="O69" s="571"/>
      <c r="P69" s="41">
        <f>P30</f>
        <v>69.169999999999987</v>
      </c>
      <c r="Q69" s="599" t="s">
        <v>408</v>
      </c>
      <c r="R69" s="600"/>
      <c r="S69" s="600"/>
      <c r="T69" s="598">
        <f>H69</f>
        <v>203305.63</v>
      </c>
      <c r="U69" s="598"/>
    </row>
    <row r="70" spans="1:22" x14ac:dyDescent="0.25">
      <c r="B70" s="69"/>
      <c r="G70" s="42" t="s">
        <v>12</v>
      </c>
      <c r="H70" s="114">
        <f>ROUND(C69/H69,6)</f>
        <v>3.4000000000000002E-4</v>
      </c>
      <c r="I70" s="115"/>
      <c r="N70" s="571"/>
      <c r="O70" s="571"/>
      <c r="P70" s="571"/>
      <c r="Q70" s="571"/>
      <c r="R70" s="571"/>
      <c r="S70" s="571"/>
      <c r="T70" s="601">
        <f>ROUND(P69/T69,6)</f>
        <v>3.4000000000000002E-4</v>
      </c>
      <c r="U70" s="601"/>
    </row>
    <row r="71" spans="1:22" x14ac:dyDescent="0.25">
      <c r="A71" s="444" t="s">
        <v>451</v>
      </c>
      <c r="N71" s="455" t="s">
        <v>459</v>
      </c>
      <c r="O71" s="51"/>
      <c r="P71" s="51"/>
      <c r="Q71" s="51"/>
      <c r="R71" s="51"/>
      <c r="S71" s="51"/>
      <c r="T71" s="51"/>
      <c r="U71" s="51"/>
    </row>
    <row r="72" spans="1:22" x14ac:dyDescent="0.25">
      <c r="A72" s="519" t="s">
        <v>403</v>
      </c>
      <c r="B72" s="520"/>
      <c r="C72" s="112">
        <f>H30</f>
        <v>132.8381</v>
      </c>
      <c r="D72" s="533" t="s">
        <v>414</v>
      </c>
      <c r="E72" s="533"/>
      <c r="F72" s="533"/>
      <c r="G72" s="533"/>
      <c r="H72" s="302">
        <f>'1461'!H72</f>
        <v>227540.36</v>
      </c>
      <c r="I72" s="116"/>
      <c r="N72" s="594" t="s">
        <v>407</v>
      </c>
      <c r="O72" s="571"/>
      <c r="P72" s="41">
        <f>T30</f>
        <v>69.17</v>
      </c>
      <c r="Q72" s="599" t="s">
        <v>409</v>
      </c>
      <c r="R72" s="600"/>
      <c r="S72" s="600"/>
      <c r="T72" s="598">
        <f>H72</f>
        <v>227540.36</v>
      </c>
      <c r="U72" s="598"/>
    </row>
    <row r="73" spans="1:22" x14ac:dyDescent="0.25">
      <c r="G73" s="42" t="s">
        <v>12</v>
      </c>
      <c r="H73" s="114">
        <f>ROUND(C72/H72,6)</f>
        <v>5.8399999999999999E-4</v>
      </c>
      <c r="I73" s="114"/>
      <c r="N73" s="571"/>
      <c r="O73" s="571"/>
      <c r="P73" s="571"/>
      <c r="Q73" s="571"/>
      <c r="R73" s="571"/>
      <c r="S73" s="571"/>
      <c r="T73" s="601">
        <f>ROUND(P72/T72,6)</f>
        <v>3.0400000000000002E-4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69.169999999999987</v>
      </c>
      <c r="D75" s="532" t="s">
        <v>415</v>
      </c>
      <c r="E75" s="532"/>
      <c r="F75" s="532"/>
      <c r="G75" s="532"/>
      <c r="H75" s="301">
        <f>'1461'!H75</f>
        <v>186907.73</v>
      </c>
      <c r="I75" s="113"/>
      <c r="N75" s="594" t="s">
        <v>405</v>
      </c>
      <c r="O75" s="571"/>
      <c r="P75" s="41">
        <f>P30</f>
        <v>69.169999999999987</v>
      </c>
      <c r="Q75" s="604" t="s">
        <v>410</v>
      </c>
      <c r="R75" s="605"/>
      <c r="S75" s="605"/>
      <c r="T75" s="598">
        <f>H75</f>
        <v>186907.73</v>
      </c>
      <c r="U75" s="598"/>
    </row>
    <row r="76" spans="1:22" x14ac:dyDescent="0.25">
      <c r="B76" s="69"/>
      <c r="G76" s="42" t="s">
        <v>12</v>
      </c>
      <c r="H76" s="114">
        <f>ROUND(C75/H75,6)</f>
        <v>3.6999999999999999E-4</v>
      </c>
      <c r="I76" s="115"/>
      <c r="N76" s="571"/>
      <c r="O76" s="571"/>
      <c r="P76" s="571"/>
      <c r="Q76" s="571"/>
      <c r="R76" s="571"/>
      <c r="S76" s="571"/>
      <c r="T76" s="601">
        <f>ROUND(P75/T75,6)</f>
        <v>3.6999999999999999E-4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69.169999999999987</v>
      </c>
      <c r="D78" s="528" t="s">
        <v>416</v>
      </c>
      <c r="E78" s="528"/>
      <c r="F78" s="528"/>
      <c r="G78" s="528"/>
      <c r="H78" s="301">
        <f>'1461'!H78</f>
        <v>203080.55</v>
      </c>
      <c r="I78" s="113"/>
      <c r="N78" s="594" t="s">
        <v>405</v>
      </c>
      <c r="O78" s="571"/>
      <c r="P78" s="41">
        <f>P30</f>
        <v>69.169999999999987</v>
      </c>
      <c r="Q78" s="602" t="s">
        <v>411</v>
      </c>
      <c r="R78" s="603"/>
      <c r="S78" s="603"/>
      <c r="T78" s="598">
        <f>H78</f>
        <v>203080.55</v>
      </c>
      <c r="U78" s="598"/>
    </row>
    <row r="79" spans="1:22" x14ac:dyDescent="0.25">
      <c r="B79" s="69"/>
      <c r="G79" s="42" t="s">
        <v>12</v>
      </c>
      <c r="H79" s="114">
        <f>ROUND(C78/H78,6)</f>
        <v>3.4099999999999999E-4</v>
      </c>
      <c r="I79" s="115"/>
      <c r="N79" s="571"/>
      <c r="O79" s="571"/>
      <c r="P79" s="571"/>
      <c r="Q79" s="571"/>
      <c r="R79" s="571"/>
      <c r="S79" s="571"/>
      <c r="T79" s="601">
        <f>ROUND(P78/T78,6)</f>
        <v>3.4099999999999999E-4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69.169999999999987</v>
      </c>
      <c r="D81" s="532" t="s">
        <v>417</v>
      </c>
      <c r="E81" s="532"/>
      <c r="F81" s="532"/>
      <c r="G81" s="532"/>
      <c r="H81" s="301">
        <f>'1461'!H81</f>
        <v>186682.65</v>
      </c>
      <c r="I81" s="113"/>
      <c r="N81" s="594" t="s">
        <v>418</v>
      </c>
      <c r="O81" s="571"/>
      <c r="P81" s="41">
        <f>P30</f>
        <v>69.169999999999987</v>
      </c>
      <c r="Q81" s="604" t="s">
        <v>419</v>
      </c>
      <c r="R81" s="605"/>
      <c r="S81" s="605"/>
      <c r="T81" s="598">
        <f>H81</f>
        <v>186682.65</v>
      </c>
      <c r="U81" s="598"/>
    </row>
    <row r="82" spans="1:21" x14ac:dyDescent="0.25">
      <c r="B82" s="69"/>
      <c r="G82" s="42" t="s">
        <v>12</v>
      </c>
      <c r="H82" s="114">
        <f>ROUND(C81/H81,6)</f>
        <v>3.7100000000000002E-4</v>
      </c>
      <c r="I82" s="115"/>
      <c r="N82" s="571"/>
      <c r="O82" s="571"/>
      <c r="P82" s="571"/>
      <c r="Q82" s="571"/>
      <c r="R82" s="571"/>
      <c r="S82" s="571"/>
      <c r="T82" s="601">
        <f>ROUND(P81/T81,6)</f>
        <v>3.7100000000000002E-4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3.4099999999999999E-4</v>
      </c>
      <c r="I85" s="101">
        <f>ROUND(F85*H85,2)</f>
        <v>15230.95</v>
      </c>
      <c r="N85" s="455" t="s">
        <v>455</v>
      </c>
      <c r="O85" s="51"/>
      <c r="P85" s="51"/>
      <c r="Q85" s="44"/>
      <c r="R85" s="421">
        <f>F85</f>
        <v>44665536</v>
      </c>
      <c r="S85" s="38" t="s">
        <v>6</v>
      </c>
      <c r="T85" s="423">
        <f>T79</f>
        <v>3.4099999999999999E-4</v>
      </c>
      <c r="U85" s="475">
        <f>ROUND(R85*T85,2)</f>
        <v>15230.95</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3.4000000000000002E-4</v>
      </c>
      <c r="I88" s="101">
        <f>ROUND(F88*H88,2)</f>
        <v>0</v>
      </c>
      <c r="N88" s="606" t="s">
        <v>99</v>
      </c>
      <c r="O88" s="571"/>
      <c r="P88" s="571"/>
      <c r="Q88" s="44"/>
      <c r="R88" s="421">
        <f>F88</f>
        <v>0</v>
      </c>
      <c r="S88" s="38" t="s">
        <v>6</v>
      </c>
      <c r="T88" s="423">
        <f>T70</f>
        <v>3.4000000000000002E-4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3.7100000000000002E-4</v>
      </c>
      <c r="I90" s="101">
        <f>ROUND(F90*H90,2)</f>
        <v>5997.98</v>
      </c>
      <c r="N90" s="455" t="s">
        <v>456</v>
      </c>
      <c r="O90" s="51"/>
      <c r="P90" s="51"/>
      <c r="Q90" s="44"/>
      <c r="R90" s="421">
        <f>F90</f>
        <v>16167052</v>
      </c>
      <c r="S90" s="38" t="s">
        <v>6</v>
      </c>
      <c r="T90" s="423">
        <f>T82</f>
        <v>3.7100000000000002E-4</v>
      </c>
      <c r="U90" s="475">
        <f>ROUND(R90*T90,2)</f>
        <v>5997.98</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3.6999999999999999E-4</v>
      </c>
      <c r="I92" s="101">
        <f t="shared" ref="I92:I96" si="14">ROUND(F92*H92,2)</f>
        <v>3714.84</v>
      </c>
      <c r="N92" s="455" t="s">
        <v>457</v>
      </c>
      <c r="O92" s="51"/>
      <c r="P92" s="51"/>
      <c r="Q92" s="44"/>
      <c r="R92" s="421">
        <f t="shared" ref="R92:R96" si="15">F92</f>
        <v>10040099</v>
      </c>
      <c r="S92" s="38" t="s">
        <v>6</v>
      </c>
      <c r="T92" s="423">
        <f>T76</f>
        <v>3.6999999999999999E-4</v>
      </c>
      <c r="U92" s="475">
        <f>ROUND(R92*T92,2)</f>
        <v>3714.84</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5.8399999999999999E-4</v>
      </c>
      <c r="I94" s="101">
        <f t="shared" si="14"/>
        <v>139574.64000000001</v>
      </c>
      <c r="N94" s="571" t="s">
        <v>421</v>
      </c>
      <c r="O94" s="571"/>
      <c r="P94" s="571"/>
      <c r="Q94" s="44"/>
      <c r="R94" s="421">
        <f t="shared" si="15"/>
        <v>238997674</v>
      </c>
      <c r="S94" s="38" t="s">
        <v>6</v>
      </c>
      <c r="T94" s="423">
        <f>T73</f>
        <v>3.0400000000000002E-4</v>
      </c>
      <c r="U94" s="475">
        <f>ROUND(R94*T94,2)</f>
        <v>72655.289999999994</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5.8399999999999999E-4</v>
      </c>
      <c r="I96" s="101">
        <f t="shared" si="14"/>
        <v>-934.43</v>
      </c>
      <c r="N96" s="594" t="s">
        <v>422</v>
      </c>
      <c r="O96" s="571"/>
      <c r="P96" s="571"/>
      <c r="Q96" s="44"/>
      <c r="R96" s="421">
        <f t="shared" si="15"/>
        <v>-1600047</v>
      </c>
      <c r="S96" s="38" t="s">
        <v>6</v>
      </c>
      <c r="T96" s="423">
        <f>T73</f>
        <v>3.0400000000000002E-4</v>
      </c>
      <c r="U96" s="475">
        <f>ROUND(R96*T96,2)</f>
        <v>-486.41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0</v>
      </c>
      <c r="D101" s="518"/>
      <c r="E101" s="46">
        <f>H8</f>
        <v>1.0442</v>
      </c>
      <c r="F101" s="304">
        <f>'1461'!F101</f>
        <v>947.59</v>
      </c>
      <c r="G101" s="39" t="s">
        <v>12</v>
      </c>
      <c r="H101" s="101">
        <f>ROUND(C101*E101*F101,2)</f>
        <v>0</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0</v>
      </c>
      <c r="D102" s="518"/>
      <c r="E102" s="46">
        <f>H8</f>
        <v>1.0442</v>
      </c>
      <c r="F102" s="304">
        <f>'1461'!F102</f>
        <v>904.74</v>
      </c>
      <c r="G102" s="39" t="s">
        <v>12</v>
      </c>
      <c r="H102" s="101">
        <f>ROUND(C102*E102*F102,2)</f>
        <v>0</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132.8381</v>
      </c>
      <c r="D103" s="518"/>
      <c r="E103" s="46">
        <f>H8</f>
        <v>1.0442</v>
      </c>
      <c r="F103" s="304">
        <f>'1461'!F103</f>
        <v>906.93</v>
      </c>
      <c r="G103" s="39" t="s">
        <v>12</v>
      </c>
      <c r="H103" s="94">
        <f>ROUND(C103*E103*F103,2)</f>
        <v>125799.85</v>
      </c>
      <c r="N103" s="53" t="s">
        <v>14</v>
      </c>
      <c r="O103" s="54">
        <f>T18+T19+T22+T25+T28+T29</f>
        <v>69.17</v>
      </c>
      <c r="P103" s="609">
        <f>T8</f>
        <v>1.0442</v>
      </c>
      <c r="Q103" s="609"/>
      <c r="R103" s="48">
        <f>F103</f>
        <v>906.93</v>
      </c>
      <c r="S103" s="40" t="s">
        <v>12</v>
      </c>
      <c r="T103" s="481">
        <f>ROUND(O103*P103*R103,2)</f>
        <v>65505.120000000003</v>
      </c>
      <c r="U103" s="51"/>
    </row>
    <row r="104" spans="1:21" ht="16.5" thickBot="1" x14ac:dyDescent="0.3">
      <c r="A104" s="55"/>
      <c r="B104" s="122" t="s">
        <v>102</v>
      </c>
      <c r="C104" s="531">
        <f>SUM(C101:C103)</f>
        <v>132.8381</v>
      </c>
      <c r="D104" s="531"/>
      <c r="E104" s="123"/>
      <c r="F104" s="123"/>
      <c r="G104" s="123"/>
      <c r="H104" s="124" t="s">
        <v>100</v>
      </c>
      <c r="I104" s="101">
        <f>IF(A1=75,0,H103+H102+H101)</f>
        <v>125799.85</v>
      </c>
      <c r="N104" s="56" t="s">
        <v>89</v>
      </c>
      <c r="O104" s="57">
        <f>SUM(O101:O103)</f>
        <v>69.17</v>
      </c>
      <c r="P104" s="610" t="s">
        <v>16</v>
      </c>
      <c r="Q104" s="611"/>
      <c r="R104" s="611"/>
      <c r="S104" s="611"/>
      <c r="T104" s="611"/>
      <c r="U104" s="475">
        <f>IF(N1=75,0,T103+T102+T101)</f>
        <v>65505.120000000003</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8"/>
      <c r="D107" s="8"/>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35</v>
      </c>
      <c r="D110" s="143">
        <v>36</v>
      </c>
      <c r="E110" s="116">
        <f>(C110+D110)/2</f>
        <v>35.5</v>
      </c>
      <c r="F110" s="126" t="s">
        <v>30</v>
      </c>
      <c r="G110" s="305">
        <f>'1461'!G110</f>
        <v>565</v>
      </c>
      <c r="I110" s="101">
        <f>ROUND(G110*E110,2)</f>
        <v>20057.5</v>
      </c>
      <c r="N110" s="620" t="s">
        <v>52</v>
      </c>
      <c r="O110" s="620"/>
      <c r="P110" s="608">
        <f>IF(H130=1,E110,0)</f>
        <v>35.5</v>
      </c>
      <c r="Q110" s="608"/>
      <c r="R110" s="608"/>
      <c r="S110" s="83" t="s">
        <v>30</v>
      </c>
      <c r="T110" s="58">
        <f>G110</f>
        <v>565</v>
      </c>
      <c r="U110" s="475">
        <f>ROUND(T110*P110,2)</f>
        <v>20057.5</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1319419.8700000001</v>
      </c>
      <c r="N125" s="455"/>
      <c r="O125" s="454"/>
      <c r="P125" s="454"/>
      <c r="Q125" s="307"/>
      <c r="R125" s="307"/>
      <c r="S125" s="307"/>
      <c r="T125" s="307"/>
      <c r="U125" s="482">
        <f>SUM(U30,U85,U88,U90,U92,U94,U96,U104,U110,U111,U121,U123)</f>
        <v>553904.16</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1277143.1400000001</v>
      </c>
      <c r="N127" s="616" t="s">
        <v>33</v>
      </c>
      <c r="O127" s="616"/>
      <c r="P127" s="616"/>
      <c r="Q127" s="616"/>
      <c r="R127" s="616"/>
      <c r="S127" s="616"/>
      <c r="T127" s="616"/>
      <c r="U127" s="132">
        <f>U125-U53</f>
        <v>531890.28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531890.28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531890.28</v>
      </c>
      <c r="I132" s="94">
        <f>ROUND(IF(E30=0,0,IF(E30&gt;250,-(((250/E30)*H132)*IF(G132="H",0.02,0.05)),IF(G132="H",-0.02*H132,-0.05*H132))),2)</f>
        <v>-26594.51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1292825.3600000001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-202338.12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1090487.2400000002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109048.72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5"/>
      <c r="O152" s="615"/>
      <c r="P152" s="615"/>
      <c r="Q152" s="615"/>
      <c r="R152" s="615"/>
      <c r="S152" s="615"/>
      <c r="T152" s="615"/>
      <c r="U152" s="615"/>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CCC"/>
    <pageSetUpPr fitToPage="1"/>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112</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0.5</v>
      </c>
      <c r="D15" s="143">
        <v>0.55000000000000004</v>
      </c>
      <c r="E15" s="116">
        <f t="shared" ref="E15:E29" si="1">IF(D$30=0,C15*2,C15+D15)</f>
        <v>1.05</v>
      </c>
      <c r="F15" s="558">
        <f>'1461'!F15:G15</f>
        <v>1.1220000000000001</v>
      </c>
      <c r="G15" s="558"/>
      <c r="H15" s="80">
        <f t="shared" ref="H15:H29" si="2">ROUND(E15*F15,4)</f>
        <v>1.1780999999999999</v>
      </c>
      <c r="I15" s="101">
        <f t="shared" ref="I15:I29" si="3">ROUND(ROUND(ROUND(H15*$C$8,4)*($H$8),2)*(MAX($H$9,1)),2)</f>
        <v>6322.75</v>
      </c>
      <c r="J15" s="65" t="str">
        <f>IF(ROUND(E15,2)=ROUND(SUM(E57:E59),2)," ","CHECK PK-3 LINES BELOW")</f>
        <v xml:space="preserve"> </v>
      </c>
      <c r="N15" s="571" t="s">
        <v>21</v>
      </c>
      <c r="O15" s="571"/>
      <c r="P15" s="572">
        <f t="shared" si="0"/>
        <v>1.05</v>
      </c>
      <c r="Q15" s="572"/>
      <c r="R15" s="573">
        <v>1</v>
      </c>
      <c r="S15" s="573"/>
      <c r="T15" s="95">
        <f t="shared" ref="T15:T29" si="4">ROUND(P15*R15,4)</f>
        <v>1.05</v>
      </c>
      <c r="U15" s="475">
        <f t="shared" ref="U15:U29" si="5">ROUND(ROUND(ROUND(T15*$C$8,4)*($H$8),2)*(MAX($H$9,1)),2)</f>
        <v>5635.25</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1.5</v>
      </c>
      <c r="D20" s="143">
        <v>1.5</v>
      </c>
      <c r="E20" s="116">
        <f t="shared" si="1"/>
        <v>3</v>
      </c>
      <c r="F20" s="558">
        <f>'1461'!F20:G20</f>
        <v>3.706</v>
      </c>
      <c r="G20" s="558"/>
      <c r="H20" s="80">
        <f t="shared" si="2"/>
        <v>11.118</v>
      </c>
      <c r="I20" s="101">
        <f t="shared" si="3"/>
        <v>59669.26</v>
      </c>
      <c r="N20" s="571" t="s">
        <v>79</v>
      </c>
      <c r="O20" s="571"/>
      <c r="P20" s="572">
        <f t="shared" si="0"/>
        <v>3</v>
      </c>
      <c r="Q20" s="572"/>
      <c r="R20" s="573">
        <v>1</v>
      </c>
      <c r="S20" s="573"/>
      <c r="T20" s="95">
        <f t="shared" si="4"/>
        <v>3</v>
      </c>
      <c r="U20" s="475">
        <f t="shared" si="5"/>
        <v>16100.72</v>
      </c>
    </row>
    <row r="21" spans="1:21" x14ac:dyDescent="0.25">
      <c r="A21" s="520" t="s">
        <v>80</v>
      </c>
      <c r="B21" s="520"/>
      <c r="C21" s="143">
        <v>4</v>
      </c>
      <c r="D21" s="143">
        <v>4</v>
      </c>
      <c r="E21" s="116">
        <f t="shared" si="1"/>
        <v>8</v>
      </c>
      <c r="F21" s="558">
        <f>'1461'!F21:G21</f>
        <v>3.706</v>
      </c>
      <c r="G21" s="558"/>
      <c r="H21" s="80">
        <f t="shared" si="2"/>
        <v>29.648</v>
      </c>
      <c r="I21" s="101">
        <f t="shared" si="3"/>
        <v>159118.03</v>
      </c>
      <c r="N21" s="571" t="s">
        <v>80</v>
      </c>
      <c r="O21" s="571"/>
      <c r="P21" s="572">
        <f t="shared" si="0"/>
        <v>8</v>
      </c>
      <c r="Q21" s="572"/>
      <c r="R21" s="573">
        <v>1</v>
      </c>
      <c r="S21" s="573"/>
      <c r="T21" s="95">
        <f t="shared" si="4"/>
        <v>8</v>
      </c>
      <c r="U21" s="475">
        <f t="shared" si="5"/>
        <v>42935.25</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2.5</v>
      </c>
      <c r="D23" s="143">
        <v>3</v>
      </c>
      <c r="E23" s="116">
        <f t="shared" si="1"/>
        <v>5.5</v>
      </c>
      <c r="F23" s="558">
        <f>'1461'!F23:G23</f>
        <v>5.7069999999999999</v>
      </c>
      <c r="G23" s="558"/>
      <c r="H23" s="80">
        <f t="shared" si="2"/>
        <v>31.388500000000001</v>
      </c>
      <c r="I23" s="101">
        <f t="shared" si="3"/>
        <v>168459.13</v>
      </c>
      <c r="N23" s="571" t="s">
        <v>82</v>
      </c>
      <c r="O23" s="571"/>
      <c r="P23" s="572">
        <f t="shared" si="0"/>
        <v>5.5</v>
      </c>
      <c r="Q23" s="572"/>
      <c r="R23" s="573">
        <v>1</v>
      </c>
      <c r="S23" s="573"/>
      <c r="T23" s="95">
        <f t="shared" si="4"/>
        <v>5.5</v>
      </c>
      <c r="U23" s="475">
        <f t="shared" si="5"/>
        <v>29517.98</v>
      </c>
    </row>
    <row r="24" spans="1:21" x14ac:dyDescent="0.25">
      <c r="A24" s="520" t="s">
        <v>83</v>
      </c>
      <c r="B24" s="520"/>
      <c r="C24" s="143">
        <v>5</v>
      </c>
      <c r="D24" s="143">
        <v>4.5</v>
      </c>
      <c r="E24" s="116">
        <f t="shared" si="1"/>
        <v>9.5</v>
      </c>
      <c r="F24" s="558">
        <f>'1461'!F24:G24</f>
        <v>5.7069999999999999</v>
      </c>
      <c r="G24" s="558"/>
      <c r="H24" s="80">
        <f t="shared" si="2"/>
        <v>54.216500000000003</v>
      </c>
      <c r="I24" s="101">
        <f t="shared" si="3"/>
        <v>290974.86</v>
      </c>
      <c r="N24" s="571" t="s">
        <v>83</v>
      </c>
      <c r="O24" s="571"/>
      <c r="P24" s="572">
        <f t="shared" si="0"/>
        <v>9.5</v>
      </c>
      <c r="Q24" s="572"/>
      <c r="R24" s="573">
        <v>1</v>
      </c>
      <c r="S24" s="573"/>
      <c r="T24" s="95">
        <f t="shared" si="4"/>
        <v>9.5</v>
      </c>
      <c r="U24" s="475">
        <f t="shared" si="5"/>
        <v>50985.61</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13.5</v>
      </c>
      <c r="D30" s="94">
        <f>SUM(D14:D29)</f>
        <v>13.55</v>
      </c>
      <c r="E30" s="94">
        <f>SUM(E14:E29)</f>
        <v>27.05</v>
      </c>
      <c r="F30" s="539"/>
      <c r="G30" s="539"/>
      <c r="H30" s="99">
        <f>SUM(H14:H29)</f>
        <v>127.54910000000001</v>
      </c>
      <c r="I30" s="94">
        <f>SUM(I14:I29)</f>
        <v>684544.03</v>
      </c>
      <c r="N30" s="590" t="s">
        <v>5</v>
      </c>
      <c r="O30" s="590"/>
      <c r="P30" s="591">
        <f>SUM(P14:P29)</f>
        <v>27.05</v>
      </c>
      <c r="Q30" s="591"/>
      <c r="R30" s="592"/>
      <c r="S30" s="592"/>
      <c r="T30" s="100">
        <f>SUM(T14:T29)</f>
        <v>27.05</v>
      </c>
      <c r="U30" s="475">
        <f>SUM(U14:U29)</f>
        <v>145174.81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127.54910000000001</v>
      </c>
      <c r="F46" s="34"/>
      <c r="G46" s="106"/>
      <c r="H46" s="107" t="s">
        <v>98</v>
      </c>
      <c r="I46" s="94">
        <f>SUM(I44,I30)</f>
        <v>684544.03</v>
      </c>
      <c r="N46" s="616" t="s">
        <v>44</v>
      </c>
      <c r="O46" s="616"/>
      <c r="P46" s="616"/>
      <c r="Q46" s="616"/>
      <c r="R46" s="35">
        <f>R44+T30</f>
        <v>27.05</v>
      </c>
      <c r="S46" s="592" t="s">
        <v>42</v>
      </c>
      <c r="T46" s="592"/>
      <c r="U46" s="108">
        <f>SUM(U44,U30)</f>
        <v>145174.81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684544.03</v>
      </c>
      <c r="G51" s="109" t="s">
        <v>6</v>
      </c>
      <c r="H51" s="403">
        <v>4.5199999999999997E-2</v>
      </c>
      <c r="I51" s="101">
        <f>ROUND(F51*H51,2)</f>
        <v>30941.39</v>
      </c>
      <c r="N51" s="408"/>
      <c r="O51" s="409" t="s">
        <v>398</v>
      </c>
      <c r="P51" s="28"/>
      <c r="Q51" s="44" t="s">
        <v>399</v>
      </c>
      <c r="R51" s="410">
        <f>U30</f>
        <v>145174.81</v>
      </c>
      <c r="S51" s="411" t="s">
        <v>6</v>
      </c>
      <c r="T51" s="412">
        <v>4.5199999999999997E-2</v>
      </c>
      <c r="U51" s="404">
        <f>ROUND(R51*T51,2)</f>
        <v>6561.9</v>
      </c>
    </row>
    <row r="52" spans="1:22" x14ac:dyDescent="0.25">
      <c r="A52" s="26"/>
      <c r="B52" s="81" t="s">
        <v>400</v>
      </c>
      <c r="C52" s="26"/>
      <c r="D52" s="26"/>
      <c r="E52" s="43" t="s">
        <v>399</v>
      </c>
      <c r="F52" s="402">
        <f>I46</f>
        <v>684544.03</v>
      </c>
      <c r="G52" s="109" t="s">
        <v>6</v>
      </c>
      <c r="H52" s="403">
        <v>1.41E-2</v>
      </c>
      <c r="I52" s="101">
        <f>ROUND(F52*H52,2)</f>
        <v>9652.07</v>
      </c>
      <c r="N52" s="28"/>
      <c r="O52" s="385" t="s">
        <v>400</v>
      </c>
      <c r="P52" s="28"/>
      <c r="Q52" s="44" t="s">
        <v>399</v>
      </c>
      <c r="R52" s="410">
        <f>U30</f>
        <v>145174.81</v>
      </c>
      <c r="S52" s="411" t="s">
        <v>6</v>
      </c>
      <c r="T52" s="412">
        <v>1.41E-2</v>
      </c>
      <c r="U52" s="413">
        <f>ROUND(R52*T52,2)</f>
        <v>2046.96</v>
      </c>
    </row>
    <row r="53" spans="1:22" x14ac:dyDescent="0.25">
      <c r="A53" s="26"/>
      <c r="B53" s="81" t="s">
        <v>401</v>
      </c>
      <c r="C53" s="26"/>
      <c r="D53" s="26"/>
      <c r="E53" s="43"/>
      <c r="F53" s="402"/>
      <c r="G53" s="109"/>
      <c r="H53" s="403"/>
      <c r="I53" s="97">
        <f>SUM(I51:I52)</f>
        <v>40593.46</v>
      </c>
      <c r="N53" s="28"/>
      <c r="O53" s="385" t="s">
        <v>401</v>
      </c>
      <c r="P53" s="28"/>
      <c r="Q53" s="44"/>
      <c r="R53" s="410"/>
      <c r="S53" s="411"/>
      <c r="T53" s="412"/>
      <c r="U53" s="404">
        <f>SUM(U51:U52)</f>
        <v>8608.86</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0.5</v>
      </c>
      <c r="D59" s="143">
        <v>0.55000000000000004</v>
      </c>
      <c r="E59" s="116">
        <f t="shared" si="10"/>
        <v>1.05</v>
      </c>
      <c r="F59" s="445" t="s">
        <v>439</v>
      </c>
      <c r="G59" s="445">
        <v>253</v>
      </c>
      <c r="H59" s="459">
        <f>'1461'!H59</f>
        <v>6896</v>
      </c>
      <c r="I59" s="101">
        <f t="shared" si="11"/>
        <v>7240.8</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0.5</v>
      </c>
      <c r="D66" s="97">
        <f>SUM(D57:D65)</f>
        <v>0.55000000000000004</v>
      </c>
      <c r="E66" s="97">
        <f>SUM(E57:E65)</f>
        <v>1.05</v>
      </c>
      <c r="F66" s="523" t="s">
        <v>448</v>
      </c>
      <c r="G66" s="523"/>
      <c r="H66" s="523"/>
      <c r="I66" s="97">
        <f>SUM(I57:I65)</f>
        <v>7240.8</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27.05</v>
      </c>
      <c r="D69" s="533" t="s">
        <v>413</v>
      </c>
      <c r="E69" s="533"/>
      <c r="F69" s="533"/>
      <c r="G69" s="533"/>
      <c r="H69" s="301">
        <f>'1461'!H69</f>
        <v>203305.63</v>
      </c>
      <c r="I69" s="113"/>
      <c r="N69" s="594" t="s">
        <v>406</v>
      </c>
      <c r="O69" s="571"/>
      <c r="P69" s="41">
        <f>P30</f>
        <v>27.05</v>
      </c>
      <c r="Q69" s="599" t="s">
        <v>408</v>
      </c>
      <c r="R69" s="600"/>
      <c r="S69" s="600"/>
      <c r="T69" s="598">
        <f>H69</f>
        <v>203305.63</v>
      </c>
      <c r="U69" s="598"/>
    </row>
    <row r="70" spans="1:22" x14ac:dyDescent="0.25">
      <c r="B70" s="69"/>
      <c r="G70" s="42" t="s">
        <v>12</v>
      </c>
      <c r="H70" s="114">
        <f>ROUND(C69/H69,6)</f>
        <v>1.3300000000000001E-4</v>
      </c>
      <c r="I70" s="115"/>
      <c r="N70" s="571"/>
      <c r="O70" s="571"/>
      <c r="P70" s="571"/>
      <c r="Q70" s="571"/>
      <c r="R70" s="571"/>
      <c r="S70" s="571"/>
      <c r="T70" s="601">
        <f>ROUND(P69/T69,6)</f>
        <v>1.3300000000000001E-4</v>
      </c>
      <c r="U70" s="601"/>
    </row>
    <row r="71" spans="1:22" x14ac:dyDescent="0.25">
      <c r="A71" s="444" t="s">
        <v>451</v>
      </c>
      <c r="N71" s="455" t="s">
        <v>459</v>
      </c>
      <c r="O71" s="51"/>
      <c r="P71" s="51"/>
      <c r="Q71" s="51"/>
      <c r="R71" s="51"/>
      <c r="S71" s="51"/>
      <c r="T71" s="51"/>
      <c r="U71" s="51"/>
    </row>
    <row r="72" spans="1:22" x14ac:dyDescent="0.25">
      <c r="A72" s="519" t="s">
        <v>403</v>
      </c>
      <c r="B72" s="520"/>
      <c r="C72" s="112">
        <f>H30</f>
        <v>127.54910000000001</v>
      </c>
      <c r="D72" s="533" t="s">
        <v>414</v>
      </c>
      <c r="E72" s="533"/>
      <c r="F72" s="533"/>
      <c r="G72" s="533"/>
      <c r="H72" s="302">
        <f>'1461'!H72</f>
        <v>227540.36</v>
      </c>
      <c r="I72" s="116"/>
      <c r="N72" s="594" t="s">
        <v>407</v>
      </c>
      <c r="O72" s="571"/>
      <c r="P72" s="41">
        <f>T30</f>
        <v>27.05</v>
      </c>
      <c r="Q72" s="599" t="s">
        <v>409</v>
      </c>
      <c r="R72" s="600"/>
      <c r="S72" s="600"/>
      <c r="T72" s="598">
        <f>H72</f>
        <v>227540.36</v>
      </c>
      <c r="U72" s="598"/>
    </row>
    <row r="73" spans="1:22" x14ac:dyDescent="0.25">
      <c r="G73" s="42" t="s">
        <v>12</v>
      </c>
      <c r="H73" s="114">
        <f>ROUND(C72/H72,6)</f>
        <v>5.6099999999999998E-4</v>
      </c>
      <c r="I73" s="114"/>
      <c r="N73" s="571"/>
      <c r="O73" s="571"/>
      <c r="P73" s="571"/>
      <c r="Q73" s="571"/>
      <c r="R73" s="571"/>
      <c r="S73" s="571"/>
      <c r="T73" s="601">
        <f>ROUND(P72/T72,6)</f>
        <v>1.1900000000000001E-4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27.05</v>
      </c>
      <c r="D75" s="532" t="s">
        <v>415</v>
      </c>
      <c r="E75" s="532"/>
      <c r="F75" s="532"/>
      <c r="G75" s="532"/>
      <c r="H75" s="301">
        <f>'1461'!H75</f>
        <v>186907.73</v>
      </c>
      <c r="I75" s="113"/>
      <c r="N75" s="594" t="s">
        <v>405</v>
      </c>
      <c r="O75" s="571"/>
      <c r="P75" s="41">
        <f>P30</f>
        <v>27.05</v>
      </c>
      <c r="Q75" s="604" t="s">
        <v>410</v>
      </c>
      <c r="R75" s="605"/>
      <c r="S75" s="605"/>
      <c r="T75" s="598">
        <f>H75</f>
        <v>186907.73</v>
      </c>
      <c r="U75" s="598"/>
    </row>
    <row r="76" spans="1:22" x14ac:dyDescent="0.25">
      <c r="B76" s="69"/>
      <c r="G76" s="42" t="s">
        <v>12</v>
      </c>
      <c r="H76" s="114">
        <f>ROUND(C75/H75,6)</f>
        <v>1.45E-4</v>
      </c>
      <c r="I76" s="115"/>
      <c r="N76" s="571"/>
      <c r="O76" s="571"/>
      <c r="P76" s="571"/>
      <c r="Q76" s="571"/>
      <c r="R76" s="571"/>
      <c r="S76" s="571"/>
      <c r="T76" s="601">
        <f>ROUND(P75/T75,6)</f>
        <v>1.45E-4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27.05</v>
      </c>
      <c r="D78" s="528" t="s">
        <v>416</v>
      </c>
      <c r="E78" s="528"/>
      <c r="F78" s="528"/>
      <c r="G78" s="528"/>
      <c r="H78" s="301">
        <f>'1461'!H78</f>
        <v>203080.55</v>
      </c>
      <c r="I78" s="113"/>
      <c r="N78" s="594" t="s">
        <v>405</v>
      </c>
      <c r="O78" s="571"/>
      <c r="P78" s="41">
        <f>P30</f>
        <v>27.05</v>
      </c>
      <c r="Q78" s="602" t="s">
        <v>411</v>
      </c>
      <c r="R78" s="603"/>
      <c r="S78" s="603"/>
      <c r="T78" s="598">
        <f>H78</f>
        <v>203080.55</v>
      </c>
      <c r="U78" s="598"/>
    </row>
    <row r="79" spans="1:22" x14ac:dyDescent="0.25">
      <c r="B79" s="69"/>
      <c r="G79" s="42" t="s">
        <v>12</v>
      </c>
      <c r="H79" s="114">
        <f>ROUND(C78/H78,6)</f>
        <v>1.3300000000000001E-4</v>
      </c>
      <c r="I79" s="115"/>
      <c r="N79" s="571"/>
      <c r="O79" s="571"/>
      <c r="P79" s="571"/>
      <c r="Q79" s="571"/>
      <c r="R79" s="571"/>
      <c r="S79" s="571"/>
      <c r="T79" s="601">
        <f>ROUND(P78/T78,6)</f>
        <v>1.3300000000000001E-4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27.05</v>
      </c>
      <c r="D81" s="532" t="s">
        <v>417</v>
      </c>
      <c r="E81" s="532"/>
      <c r="F81" s="532"/>
      <c r="G81" s="532"/>
      <c r="H81" s="301">
        <f>'1461'!H81</f>
        <v>186682.65</v>
      </c>
      <c r="I81" s="113"/>
      <c r="N81" s="594" t="s">
        <v>418</v>
      </c>
      <c r="O81" s="571"/>
      <c r="P81" s="41">
        <f>P30</f>
        <v>27.05</v>
      </c>
      <c r="Q81" s="604" t="s">
        <v>419</v>
      </c>
      <c r="R81" s="605"/>
      <c r="S81" s="605"/>
      <c r="T81" s="598">
        <f>H81</f>
        <v>186682.65</v>
      </c>
      <c r="U81" s="598"/>
    </row>
    <row r="82" spans="1:21" x14ac:dyDescent="0.25">
      <c r="B82" s="69"/>
      <c r="G82" s="42" t="s">
        <v>12</v>
      </c>
      <c r="H82" s="114">
        <f>ROUND(C81/H81,6)</f>
        <v>1.45E-4</v>
      </c>
      <c r="I82" s="115"/>
      <c r="N82" s="571"/>
      <c r="O82" s="571"/>
      <c r="P82" s="571"/>
      <c r="Q82" s="571"/>
      <c r="R82" s="571"/>
      <c r="S82" s="571"/>
      <c r="T82" s="601">
        <f>ROUND(P81/T81,6)</f>
        <v>1.45E-4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1.3300000000000001E-4</v>
      </c>
      <c r="I85" s="101">
        <f>ROUND(F85*H85,2)</f>
        <v>5940.52</v>
      </c>
      <c r="N85" s="455" t="s">
        <v>455</v>
      </c>
      <c r="O85" s="51"/>
      <c r="P85" s="51"/>
      <c r="Q85" s="44"/>
      <c r="R85" s="421">
        <f>F85</f>
        <v>44665536</v>
      </c>
      <c r="S85" s="38" t="s">
        <v>6</v>
      </c>
      <c r="T85" s="423">
        <f>T79</f>
        <v>1.3300000000000001E-4</v>
      </c>
      <c r="U85" s="475">
        <f>ROUND(R85*T85,2)</f>
        <v>5940.52</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1.3300000000000001E-4</v>
      </c>
      <c r="I88" s="101">
        <f>ROUND(F88*H88,2)</f>
        <v>0</v>
      </c>
      <c r="N88" s="606" t="s">
        <v>99</v>
      </c>
      <c r="O88" s="571"/>
      <c r="P88" s="571"/>
      <c r="Q88" s="44"/>
      <c r="R88" s="421">
        <f>F88</f>
        <v>0</v>
      </c>
      <c r="S88" s="38" t="s">
        <v>6</v>
      </c>
      <c r="T88" s="423">
        <f>T70</f>
        <v>1.3300000000000001E-4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1.45E-4</v>
      </c>
      <c r="I90" s="101">
        <f>ROUND(F90*H90,2)</f>
        <v>2344.2199999999998</v>
      </c>
      <c r="N90" s="455" t="s">
        <v>456</v>
      </c>
      <c r="O90" s="51"/>
      <c r="P90" s="51"/>
      <c r="Q90" s="44"/>
      <c r="R90" s="421">
        <f>F90</f>
        <v>16167052</v>
      </c>
      <c r="S90" s="38" t="s">
        <v>6</v>
      </c>
      <c r="T90" s="423">
        <f>T82</f>
        <v>1.45E-4</v>
      </c>
      <c r="U90" s="475">
        <f>ROUND(R90*T90,2)</f>
        <v>2344.2199999999998</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1.45E-4</v>
      </c>
      <c r="I92" s="101">
        <f t="shared" ref="I92:I96" si="14">ROUND(F92*H92,2)</f>
        <v>1455.81</v>
      </c>
      <c r="N92" s="455" t="s">
        <v>457</v>
      </c>
      <c r="O92" s="51"/>
      <c r="P92" s="51"/>
      <c r="Q92" s="44"/>
      <c r="R92" s="421">
        <f t="shared" ref="R92:R96" si="15">F92</f>
        <v>10040099</v>
      </c>
      <c r="S92" s="38" t="s">
        <v>6</v>
      </c>
      <c r="T92" s="423">
        <f>T76</f>
        <v>1.45E-4</v>
      </c>
      <c r="U92" s="475">
        <f>ROUND(R92*T92,2)</f>
        <v>1455.81</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5.6099999999999998E-4</v>
      </c>
      <c r="I94" s="101">
        <f t="shared" si="14"/>
        <v>134077.70000000001</v>
      </c>
      <c r="N94" s="571" t="s">
        <v>421</v>
      </c>
      <c r="O94" s="571"/>
      <c r="P94" s="571"/>
      <c r="Q94" s="44"/>
      <c r="R94" s="421">
        <f t="shared" si="15"/>
        <v>238997674</v>
      </c>
      <c r="S94" s="38" t="s">
        <v>6</v>
      </c>
      <c r="T94" s="423">
        <f>T73</f>
        <v>1.1900000000000001E-4</v>
      </c>
      <c r="U94" s="475">
        <f>ROUND(R94*T94,2)</f>
        <v>28440.720000000001</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5.6099999999999998E-4</v>
      </c>
      <c r="I96" s="101">
        <f t="shared" si="14"/>
        <v>-897.63</v>
      </c>
      <c r="N96" s="594" t="s">
        <v>422</v>
      </c>
      <c r="O96" s="571"/>
      <c r="P96" s="571"/>
      <c r="Q96" s="44"/>
      <c r="R96" s="421">
        <f t="shared" si="15"/>
        <v>-1600047</v>
      </c>
      <c r="S96" s="38" t="s">
        <v>6</v>
      </c>
      <c r="T96" s="423">
        <f>T73</f>
        <v>1.1900000000000001E-4</v>
      </c>
      <c r="U96" s="475">
        <f>ROUND(R96*T96,2)</f>
        <v>-190.41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43.684600000000003</v>
      </c>
      <c r="D101" s="518"/>
      <c r="E101" s="46">
        <f>H8</f>
        <v>1.0442</v>
      </c>
      <c r="F101" s="304">
        <f>'1461'!F101</f>
        <v>947.59</v>
      </c>
      <c r="G101" s="39" t="s">
        <v>12</v>
      </c>
      <c r="H101" s="101">
        <f>ROUND(C101*E101*F101,2)</f>
        <v>43224.75</v>
      </c>
      <c r="I101" s="104"/>
      <c r="N101" s="28" t="s">
        <v>17</v>
      </c>
      <c r="O101" s="47">
        <f>T14+T15+T20+T23+T26</f>
        <v>9.5500000000000007</v>
      </c>
      <c r="P101" s="609">
        <f>T8</f>
        <v>1.0442</v>
      </c>
      <c r="Q101" s="609"/>
      <c r="R101" s="48">
        <f>F101</f>
        <v>947.59</v>
      </c>
      <c r="S101" s="40" t="s">
        <v>12</v>
      </c>
      <c r="T101" s="481">
        <f>ROUND(O101*P101*R101,2)</f>
        <v>9449.4699999999993</v>
      </c>
      <c r="U101" s="102"/>
    </row>
    <row r="102" spans="1:21" x14ac:dyDescent="0.25">
      <c r="A102" s="49"/>
      <c r="B102" s="49" t="s">
        <v>104</v>
      </c>
      <c r="C102" s="518">
        <f>H16+H17+H21+H24+H27</f>
        <v>83.864500000000007</v>
      </c>
      <c r="D102" s="518"/>
      <c r="E102" s="46">
        <f>H8</f>
        <v>1.0442</v>
      </c>
      <c r="F102" s="304">
        <f>'1461'!F102</f>
        <v>904.74</v>
      </c>
      <c r="G102" s="39" t="s">
        <v>12</v>
      </c>
      <c r="H102" s="101">
        <f>ROUND(C102*E102*F102,2)</f>
        <v>79229.27</v>
      </c>
      <c r="N102" s="50" t="s">
        <v>13</v>
      </c>
      <c r="O102" s="47">
        <f>T16+T17+T21+T24+T27</f>
        <v>17.5</v>
      </c>
      <c r="P102" s="609">
        <f>T8</f>
        <v>1.0442</v>
      </c>
      <c r="Q102" s="609"/>
      <c r="R102" s="48">
        <f>F102</f>
        <v>904.74</v>
      </c>
      <c r="S102" s="40" t="s">
        <v>12</v>
      </c>
      <c r="T102" s="481">
        <f>ROUND(O102*P102*R102,2)</f>
        <v>16532.77</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127.54910000000001</v>
      </c>
      <c r="D104" s="531"/>
      <c r="E104" s="123"/>
      <c r="F104" s="123"/>
      <c r="G104" s="123"/>
      <c r="H104" s="124" t="s">
        <v>100</v>
      </c>
      <c r="I104" s="101">
        <f>IF(A1=75,0,H103+H102+H101)</f>
        <v>122454.02</v>
      </c>
      <c r="N104" s="56" t="s">
        <v>89</v>
      </c>
      <c r="O104" s="57">
        <f>SUM(O101:O103)</f>
        <v>27.05</v>
      </c>
      <c r="P104" s="610" t="s">
        <v>16</v>
      </c>
      <c r="Q104" s="611"/>
      <c r="R104" s="611"/>
      <c r="S104" s="611"/>
      <c r="T104" s="611"/>
      <c r="U104" s="475">
        <f>IF(N1=75,0,T103+T102+T101)</f>
        <v>25982.239999999998</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9</v>
      </c>
      <c r="E110" s="116">
        <f>(C110+D110)/2</f>
        <v>4.5</v>
      </c>
      <c r="F110" s="126" t="s">
        <v>30</v>
      </c>
      <c r="G110" s="305">
        <f>'1461'!G110</f>
        <v>565</v>
      </c>
      <c r="I110" s="101">
        <f>ROUND(G110*E110,2)</f>
        <v>2542.5</v>
      </c>
      <c r="N110" s="620" t="s">
        <v>52</v>
      </c>
      <c r="O110" s="620"/>
      <c r="P110" s="608">
        <f>IF(H130=1,E110,0)</f>
        <v>4.5</v>
      </c>
      <c r="Q110" s="608"/>
      <c r="R110" s="608"/>
      <c r="S110" s="83" t="s">
        <v>30</v>
      </c>
      <c r="T110" s="58">
        <f>G110</f>
        <v>565</v>
      </c>
      <c r="U110" s="475">
        <f>ROUND(T110*P110,2)</f>
        <v>2542.5</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959701.97000000009</v>
      </c>
      <c r="N125" s="455"/>
      <c r="O125" s="454"/>
      <c r="P125" s="454"/>
      <c r="Q125" s="307"/>
      <c r="R125" s="307"/>
      <c r="S125" s="307"/>
      <c r="T125" s="307"/>
      <c r="U125" s="482">
        <f>SUM(U30,U85,U88,U90,U92,U94,U96,U104,U110,U111,U121,U123)</f>
        <v>211690.40999999997</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919108.51000000013</v>
      </c>
      <c r="N127" s="616" t="s">
        <v>33</v>
      </c>
      <c r="O127" s="616"/>
      <c r="P127" s="616"/>
      <c r="Q127" s="616"/>
      <c r="R127" s="616"/>
      <c r="S127" s="616"/>
      <c r="T127" s="616"/>
      <c r="U127" s="132">
        <f>U125-U53</f>
        <v>203081.55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203081.55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203081.55</v>
      </c>
      <c r="I132" s="94">
        <f>ROUND(IF(E30=0,0,IF(E30&gt;250,-(((250/E30)*H132)*IF(G132="H",0.02,0.05)),IF(G132="H",-0.02*H132,-0.05*H132))),2)</f>
        <v>-10154.08</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949547.89000000013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-160773.01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788774.88000000012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78877.490000000005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5"/>
      <c r="O152" s="615"/>
      <c r="P152" s="615"/>
      <c r="Q152" s="615"/>
      <c r="R152" s="615"/>
      <c r="S152" s="615"/>
      <c r="T152" s="615"/>
      <c r="U152" s="615"/>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99:D99"/>
    <mergeCell ref="C100:D100"/>
    <mergeCell ref="N100:O100"/>
    <mergeCell ref="P100:Q100"/>
    <mergeCell ref="N88:P88"/>
    <mergeCell ref="R100:U100"/>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114:C114"/>
    <mergeCell ref="F114:I114"/>
    <mergeCell ref="N114:U114"/>
    <mergeCell ref="C115:E115"/>
    <mergeCell ref="F116:G116"/>
    <mergeCell ref="A117:B117"/>
    <mergeCell ref="F117:G117"/>
    <mergeCell ref="N117:O117"/>
    <mergeCell ref="P117:Q117"/>
    <mergeCell ref="R117:S117"/>
    <mergeCell ref="A118:B118"/>
    <mergeCell ref="F118:G118"/>
    <mergeCell ref="N118:O118"/>
    <mergeCell ref="P118:Q118"/>
    <mergeCell ref="R118:S118"/>
    <mergeCell ref="A119:B119"/>
    <mergeCell ref="F119:G119"/>
    <mergeCell ref="N119:O119"/>
    <mergeCell ref="P119:Q119"/>
    <mergeCell ref="R119:S119"/>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258</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0</v>
      </c>
      <c r="D14" s="141">
        <v>0</v>
      </c>
      <c r="E14" s="187">
        <f>IF(D$30=0,C14*2,C14+D14)</f>
        <v>0</v>
      </c>
      <c r="F14" s="561">
        <f>'1461'!F14:G14</f>
        <v>1.1220000000000001</v>
      </c>
      <c r="G14" s="561"/>
      <c r="H14" s="145">
        <f>ROUND(E14*F14,4)</f>
        <v>0</v>
      </c>
      <c r="I14" s="111">
        <f>ROUND(ROUND(ROUND(H14*$C$8,4)*($H$8),2)*(MAX($H$9,1)),2)</f>
        <v>0</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0</v>
      </c>
      <c r="D15" s="143">
        <v>0</v>
      </c>
      <c r="E15" s="116">
        <f t="shared" ref="E15:E29" si="1">IF(D$30=0,C15*2,C15+D15)</f>
        <v>0</v>
      </c>
      <c r="F15" s="558">
        <f>'1461'!F15:G15</f>
        <v>1.1220000000000001</v>
      </c>
      <c r="G15" s="558"/>
      <c r="H15" s="80">
        <f t="shared" ref="H15:H29" si="2">ROUND(E15*F15,4)</f>
        <v>0</v>
      </c>
      <c r="I15" s="101">
        <f t="shared" ref="I15:I29" si="3">ROUND(ROUND(ROUND(H15*$C$8,4)*($H$8),2)*(MAX($H$9,1)),2)</f>
        <v>0</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0</v>
      </c>
      <c r="D16" s="143">
        <v>0</v>
      </c>
      <c r="E16" s="116">
        <f t="shared" si="1"/>
        <v>0</v>
      </c>
      <c r="F16" s="558">
        <f>'1461'!F16:G16</f>
        <v>1</v>
      </c>
      <c r="G16" s="558"/>
      <c r="H16" s="80">
        <f t="shared" si="2"/>
        <v>0</v>
      </c>
      <c r="I16" s="101">
        <f t="shared" si="3"/>
        <v>0</v>
      </c>
      <c r="N16" s="571" t="s">
        <v>22</v>
      </c>
      <c r="O16" s="571"/>
      <c r="P16" s="572">
        <f t="shared" si="0"/>
        <v>0</v>
      </c>
      <c r="Q16" s="572"/>
      <c r="R16" s="573">
        <v>1</v>
      </c>
      <c r="S16" s="573"/>
      <c r="T16" s="95">
        <f t="shared" si="4"/>
        <v>0</v>
      </c>
      <c r="U16" s="475">
        <f t="shared" si="5"/>
        <v>0</v>
      </c>
    </row>
    <row r="17" spans="1:21" x14ac:dyDescent="0.25">
      <c r="A17" s="520" t="s">
        <v>23</v>
      </c>
      <c r="B17" s="520"/>
      <c r="C17" s="143">
        <v>0</v>
      </c>
      <c r="D17" s="143">
        <v>0</v>
      </c>
      <c r="E17" s="116">
        <f t="shared" si="1"/>
        <v>0</v>
      </c>
      <c r="F17" s="558">
        <f>'1461'!F17:G17</f>
        <v>1</v>
      </c>
      <c r="G17" s="558"/>
      <c r="H17" s="80">
        <f t="shared" si="2"/>
        <v>0</v>
      </c>
      <c r="I17" s="101">
        <f t="shared" si="3"/>
        <v>0</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22.5</v>
      </c>
      <c r="D20" s="143">
        <v>23.52</v>
      </c>
      <c r="E20" s="116">
        <f t="shared" si="1"/>
        <v>46.019999999999996</v>
      </c>
      <c r="F20" s="558">
        <f>'1461'!F20:G20</f>
        <v>3.706</v>
      </c>
      <c r="G20" s="558"/>
      <c r="H20" s="80">
        <f t="shared" si="2"/>
        <v>170.55009999999999</v>
      </c>
      <c r="I20" s="101">
        <f t="shared" si="3"/>
        <v>915326.37</v>
      </c>
      <c r="N20" s="571" t="s">
        <v>79</v>
      </c>
      <c r="O20" s="571"/>
      <c r="P20" s="572">
        <f t="shared" si="0"/>
        <v>46.019999999999996</v>
      </c>
      <c r="Q20" s="572"/>
      <c r="R20" s="573">
        <v>1</v>
      </c>
      <c r="S20" s="573"/>
      <c r="T20" s="95">
        <f t="shared" si="4"/>
        <v>46.02</v>
      </c>
      <c r="U20" s="475">
        <f t="shared" si="5"/>
        <v>246985.02</v>
      </c>
    </row>
    <row r="21" spans="1:21" x14ac:dyDescent="0.25">
      <c r="A21" s="520" t="s">
        <v>80</v>
      </c>
      <c r="B21" s="520"/>
      <c r="C21" s="143">
        <v>25.5</v>
      </c>
      <c r="D21" s="143">
        <v>25.5</v>
      </c>
      <c r="E21" s="116">
        <f t="shared" si="1"/>
        <v>51</v>
      </c>
      <c r="F21" s="558">
        <f>'1461'!F21:G21</f>
        <v>3.706</v>
      </c>
      <c r="G21" s="558"/>
      <c r="H21" s="80">
        <f t="shared" si="2"/>
        <v>189.006</v>
      </c>
      <c r="I21" s="101">
        <f t="shared" si="3"/>
        <v>1014377.45</v>
      </c>
      <c r="N21" s="571" t="s">
        <v>80</v>
      </c>
      <c r="O21" s="571"/>
      <c r="P21" s="572">
        <f t="shared" si="0"/>
        <v>51</v>
      </c>
      <c r="Q21" s="572"/>
      <c r="R21" s="573">
        <v>1</v>
      </c>
      <c r="S21" s="573"/>
      <c r="T21" s="95">
        <f t="shared" si="4"/>
        <v>51</v>
      </c>
      <c r="U21" s="475">
        <f t="shared" si="5"/>
        <v>273712.21000000002</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9</v>
      </c>
      <c r="D23" s="143">
        <v>8</v>
      </c>
      <c r="E23" s="116">
        <f t="shared" si="1"/>
        <v>17</v>
      </c>
      <c r="F23" s="558">
        <f>'1461'!F23:G23</f>
        <v>5.7069999999999999</v>
      </c>
      <c r="G23" s="558"/>
      <c r="H23" s="80">
        <f t="shared" si="2"/>
        <v>97.019000000000005</v>
      </c>
      <c r="I23" s="101">
        <f t="shared" si="3"/>
        <v>520691.86</v>
      </c>
      <c r="N23" s="571" t="s">
        <v>82</v>
      </c>
      <c r="O23" s="571"/>
      <c r="P23" s="572">
        <f t="shared" si="0"/>
        <v>17</v>
      </c>
      <c r="Q23" s="572"/>
      <c r="R23" s="573">
        <v>1</v>
      </c>
      <c r="S23" s="573"/>
      <c r="T23" s="95">
        <f t="shared" si="4"/>
        <v>17</v>
      </c>
      <c r="U23" s="475">
        <f t="shared" si="5"/>
        <v>91237.4</v>
      </c>
    </row>
    <row r="24" spans="1:21" x14ac:dyDescent="0.25">
      <c r="A24" s="520" t="s">
        <v>83</v>
      </c>
      <c r="B24" s="520"/>
      <c r="C24" s="143">
        <v>16.5</v>
      </c>
      <c r="D24" s="143">
        <v>16.5</v>
      </c>
      <c r="E24" s="116">
        <f t="shared" si="1"/>
        <v>33</v>
      </c>
      <c r="F24" s="558">
        <f>'1461'!F24:G24</f>
        <v>5.7069999999999999</v>
      </c>
      <c r="G24" s="558"/>
      <c r="H24" s="80">
        <f t="shared" si="2"/>
        <v>188.33099999999999</v>
      </c>
      <c r="I24" s="101">
        <f t="shared" si="3"/>
        <v>1010754.79</v>
      </c>
      <c r="N24" s="571" t="s">
        <v>83</v>
      </c>
      <c r="O24" s="571"/>
      <c r="P24" s="572">
        <f t="shared" si="0"/>
        <v>33</v>
      </c>
      <c r="Q24" s="572"/>
      <c r="R24" s="573">
        <v>1</v>
      </c>
      <c r="S24" s="573"/>
      <c r="T24" s="95">
        <f t="shared" si="4"/>
        <v>33</v>
      </c>
      <c r="U24" s="475">
        <f t="shared" si="5"/>
        <v>177107.9</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0</v>
      </c>
      <c r="D26" s="143">
        <v>0</v>
      </c>
      <c r="E26" s="116">
        <f t="shared" si="1"/>
        <v>0</v>
      </c>
      <c r="F26" s="558">
        <f>'1461'!F26:G26</f>
        <v>1.208</v>
      </c>
      <c r="G26" s="558"/>
      <c r="H26" s="80">
        <f t="shared" si="2"/>
        <v>0</v>
      </c>
      <c r="I26" s="101">
        <f t="shared" si="3"/>
        <v>0</v>
      </c>
      <c r="N26" s="571" t="s">
        <v>85</v>
      </c>
      <c r="O26" s="571"/>
      <c r="P26" s="572">
        <f t="shared" si="0"/>
        <v>0</v>
      </c>
      <c r="Q26" s="572"/>
      <c r="R26" s="573">
        <v>1</v>
      </c>
      <c r="S26" s="573"/>
      <c r="T26" s="95">
        <f t="shared" si="4"/>
        <v>0</v>
      </c>
      <c r="U26" s="475">
        <f t="shared" si="5"/>
        <v>0</v>
      </c>
    </row>
    <row r="27" spans="1:21" x14ac:dyDescent="0.25">
      <c r="A27" s="520" t="s">
        <v>86</v>
      </c>
      <c r="B27" s="520"/>
      <c r="C27" s="143">
        <v>0</v>
      </c>
      <c r="D27" s="143">
        <v>0</v>
      </c>
      <c r="E27" s="116">
        <f t="shared" si="1"/>
        <v>0</v>
      </c>
      <c r="F27" s="558">
        <f>'1461'!F27:G27</f>
        <v>1.208</v>
      </c>
      <c r="G27" s="558"/>
      <c r="H27" s="80">
        <f t="shared" si="2"/>
        <v>0</v>
      </c>
      <c r="I27" s="101">
        <f t="shared" si="3"/>
        <v>0</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73.5</v>
      </c>
      <c r="D30" s="94">
        <f>SUM(D14:D29)</f>
        <v>73.52</v>
      </c>
      <c r="E30" s="94">
        <f>SUM(E14:E29)</f>
        <v>147.01999999999998</v>
      </c>
      <c r="F30" s="539"/>
      <c r="G30" s="539"/>
      <c r="H30" s="99">
        <f>SUM(H14:H29)</f>
        <v>644.90610000000004</v>
      </c>
      <c r="I30" s="94">
        <f>SUM(I14:I29)</f>
        <v>3461150.4699999997</v>
      </c>
      <c r="N30" s="590" t="s">
        <v>5</v>
      </c>
      <c r="O30" s="590"/>
      <c r="P30" s="591">
        <f>SUM(P14:P29)</f>
        <v>147.01999999999998</v>
      </c>
      <c r="Q30" s="591"/>
      <c r="R30" s="592"/>
      <c r="S30" s="592"/>
      <c r="T30" s="100">
        <f>SUM(T14:T29)</f>
        <v>147.02000000000001</v>
      </c>
      <c r="U30" s="475">
        <f>SUM(U14:U29)</f>
        <v>789042.53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644.90610000000004</v>
      </c>
      <c r="F46" s="34"/>
      <c r="G46" s="106"/>
      <c r="H46" s="107" t="s">
        <v>98</v>
      </c>
      <c r="I46" s="94">
        <f>SUM(I44,I30)</f>
        <v>3461150.4699999997</v>
      </c>
      <c r="N46" s="616" t="s">
        <v>44</v>
      </c>
      <c r="O46" s="616"/>
      <c r="P46" s="616"/>
      <c r="Q46" s="616"/>
      <c r="R46" s="35">
        <f>R44+T30</f>
        <v>147.02000000000001</v>
      </c>
      <c r="S46" s="592" t="s">
        <v>42</v>
      </c>
      <c r="T46" s="592"/>
      <c r="U46" s="108">
        <f>SUM(U44,U30)</f>
        <v>789042.53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3461150.4699999997</v>
      </c>
      <c r="G51" s="109" t="s">
        <v>6</v>
      </c>
      <c r="H51" s="403">
        <v>4.5199999999999997E-2</v>
      </c>
      <c r="I51" s="101">
        <f>ROUND(F51*H51,2)</f>
        <v>156444</v>
      </c>
      <c r="N51" s="408"/>
      <c r="O51" s="409" t="s">
        <v>398</v>
      </c>
      <c r="P51" s="28"/>
      <c r="Q51" s="44" t="s">
        <v>399</v>
      </c>
      <c r="R51" s="410">
        <f>U30</f>
        <v>789042.53</v>
      </c>
      <c r="S51" s="411" t="s">
        <v>6</v>
      </c>
      <c r="T51" s="412">
        <v>4.5199999999999997E-2</v>
      </c>
      <c r="U51" s="404">
        <f>ROUND(R51*T51,2)</f>
        <v>35664.720000000001</v>
      </c>
    </row>
    <row r="52" spans="1:22" x14ac:dyDescent="0.25">
      <c r="A52" s="26"/>
      <c r="B52" s="81" t="s">
        <v>400</v>
      </c>
      <c r="C52" s="26"/>
      <c r="D52" s="26"/>
      <c r="E52" s="43" t="s">
        <v>399</v>
      </c>
      <c r="F52" s="402">
        <f>I46</f>
        <v>3461150.4699999997</v>
      </c>
      <c r="G52" s="109" t="s">
        <v>6</v>
      </c>
      <c r="H52" s="403">
        <v>1.41E-2</v>
      </c>
      <c r="I52" s="101">
        <f>ROUND(F52*H52,2)</f>
        <v>48802.22</v>
      </c>
      <c r="N52" s="28"/>
      <c r="O52" s="385" t="s">
        <v>400</v>
      </c>
      <c r="P52" s="28"/>
      <c r="Q52" s="44" t="s">
        <v>399</v>
      </c>
      <c r="R52" s="410">
        <f>U30</f>
        <v>789042.53</v>
      </c>
      <c r="S52" s="411" t="s">
        <v>6</v>
      </c>
      <c r="T52" s="412">
        <v>1.41E-2</v>
      </c>
      <c r="U52" s="413">
        <f>ROUND(R52*T52,2)</f>
        <v>11125.5</v>
      </c>
    </row>
    <row r="53" spans="1:22" x14ac:dyDescent="0.25">
      <c r="A53" s="26"/>
      <c r="B53" s="81" t="s">
        <v>401</v>
      </c>
      <c r="C53" s="26"/>
      <c r="D53" s="26"/>
      <c r="E53" s="43"/>
      <c r="F53" s="402"/>
      <c r="G53" s="109"/>
      <c r="H53" s="403"/>
      <c r="I53" s="97">
        <f>SUM(I51:I52)</f>
        <v>205246.22</v>
      </c>
      <c r="N53" s="28"/>
      <c r="O53" s="385" t="s">
        <v>401</v>
      </c>
      <c r="P53" s="28"/>
      <c r="Q53" s="44"/>
      <c r="R53" s="410"/>
      <c r="S53" s="411"/>
      <c r="T53" s="412"/>
      <c r="U53" s="404">
        <f>SUM(U51:U52)</f>
        <v>46790.22</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0</v>
      </c>
      <c r="D57" s="143">
        <v>0</v>
      </c>
      <c r="E57" s="116">
        <f t="shared" ref="E57:E65" si="10">IF(D$72=0,C57*2,C57+D57)</f>
        <v>0</v>
      </c>
      <c r="F57" s="445" t="s">
        <v>439</v>
      </c>
      <c r="G57" s="445">
        <v>251</v>
      </c>
      <c r="H57" s="459">
        <f>'1461'!H57</f>
        <v>1047</v>
      </c>
      <c r="I57" s="101">
        <f>ROUND(E57*H57,2)</f>
        <v>0</v>
      </c>
      <c r="N57" s="621" t="s">
        <v>447</v>
      </c>
      <c r="O57" s="621"/>
      <c r="P57" s="624"/>
      <c r="Q57" s="624"/>
      <c r="R57" s="451" t="s">
        <v>439</v>
      </c>
      <c r="S57" s="451">
        <v>251</v>
      </c>
      <c r="T57" s="462">
        <f>H57</f>
        <v>1047</v>
      </c>
      <c r="U57" s="476">
        <f>ROUND(P57*T57,2)</f>
        <v>0</v>
      </c>
      <c r="V57" s="426"/>
    </row>
    <row r="58" spans="1:22" x14ac:dyDescent="0.25">
      <c r="A58" s="536"/>
      <c r="B58" s="536"/>
      <c r="C58" s="143">
        <v>0</v>
      </c>
      <c r="D58" s="143">
        <v>0</v>
      </c>
      <c r="E58" s="116">
        <f t="shared" si="10"/>
        <v>0</v>
      </c>
      <c r="F58" s="445" t="s">
        <v>439</v>
      </c>
      <c r="G58" s="445">
        <v>252</v>
      </c>
      <c r="H58" s="459">
        <f>'1461'!H58</f>
        <v>3380</v>
      </c>
      <c r="I58" s="101">
        <f t="shared" ref="I58:I65" si="11">ROUND(E58*H58,2)</f>
        <v>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v>
      </c>
      <c r="D59" s="143">
        <v>0</v>
      </c>
      <c r="E59" s="116">
        <f t="shared" si="10"/>
        <v>0</v>
      </c>
      <c r="F59" s="445" t="s">
        <v>439</v>
      </c>
      <c r="G59" s="445">
        <v>253</v>
      </c>
      <c r="H59" s="459">
        <f>'1461'!H59</f>
        <v>6896</v>
      </c>
      <c r="I59" s="101">
        <f t="shared" si="11"/>
        <v>0</v>
      </c>
      <c r="N59" s="622"/>
      <c r="O59" s="622"/>
      <c r="P59" s="625"/>
      <c r="Q59" s="625"/>
      <c r="R59" s="451" t="s">
        <v>439</v>
      </c>
      <c r="S59" s="451">
        <v>253</v>
      </c>
      <c r="T59" s="462">
        <f t="shared" si="12"/>
        <v>6896</v>
      </c>
      <c r="U59" s="476">
        <f t="shared" si="13"/>
        <v>0</v>
      </c>
      <c r="V59" s="426"/>
    </row>
    <row r="60" spans="1:22" x14ac:dyDescent="0.25">
      <c r="A60" s="536"/>
      <c r="B60" s="536"/>
      <c r="C60" s="143">
        <v>0</v>
      </c>
      <c r="D60" s="143">
        <v>0</v>
      </c>
      <c r="E60" s="116">
        <f t="shared" si="10"/>
        <v>0</v>
      </c>
      <c r="F60" s="446" t="s">
        <v>13</v>
      </c>
      <c r="G60" s="445">
        <v>251</v>
      </c>
      <c r="H60" s="459">
        <f>'1461'!H60</f>
        <v>1173</v>
      </c>
      <c r="I60" s="101">
        <f t="shared" si="11"/>
        <v>0</v>
      </c>
      <c r="N60" s="622"/>
      <c r="O60" s="622"/>
      <c r="P60" s="625"/>
      <c r="Q60" s="625"/>
      <c r="R60" s="40" t="s">
        <v>13</v>
      </c>
      <c r="S60" s="451">
        <v>251</v>
      </c>
      <c r="T60" s="462">
        <f t="shared" si="12"/>
        <v>1173</v>
      </c>
      <c r="U60" s="476">
        <f t="shared" si="13"/>
        <v>0</v>
      </c>
      <c r="V60" s="426"/>
    </row>
    <row r="61" spans="1:22" x14ac:dyDescent="0.25">
      <c r="A61" s="536"/>
      <c r="B61" s="536"/>
      <c r="C61" s="143">
        <v>0</v>
      </c>
      <c r="D61" s="143">
        <v>0</v>
      </c>
      <c r="E61" s="116">
        <f t="shared" si="10"/>
        <v>0</v>
      </c>
      <c r="F61" s="446" t="s">
        <v>13</v>
      </c>
      <c r="G61" s="445">
        <v>252</v>
      </c>
      <c r="H61" s="459">
        <f>'1461'!H61</f>
        <v>3506</v>
      </c>
      <c r="I61" s="101">
        <f t="shared" si="11"/>
        <v>0</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0</v>
      </c>
      <c r="D66" s="97">
        <f>SUM(D57:D65)</f>
        <v>0</v>
      </c>
      <c r="E66" s="97">
        <f>SUM(E57:E65)</f>
        <v>0</v>
      </c>
      <c r="F66" s="523" t="s">
        <v>448</v>
      </c>
      <c r="G66" s="523"/>
      <c r="H66" s="523"/>
      <c r="I66" s="97">
        <f>SUM(I57:I65)</f>
        <v>0</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147.01999999999998</v>
      </c>
      <c r="D69" s="533" t="s">
        <v>413</v>
      </c>
      <c r="E69" s="533"/>
      <c r="F69" s="533"/>
      <c r="G69" s="533"/>
      <c r="H69" s="301">
        <f>'1461'!H69</f>
        <v>203305.63</v>
      </c>
      <c r="I69" s="113"/>
      <c r="N69" s="594" t="s">
        <v>406</v>
      </c>
      <c r="O69" s="571"/>
      <c r="P69" s="41">
        <f>P30</f>
        <v>147.01999999999998</v>
      </c>
      <c r="Q69" s="599" t="s">
        <v>408</v>
      </c>
      <c r="R69" s="600"/>
      <c r="S69" s="600"/>
      <c r="T69" s="598">
        <f>H69</f>
        <v>203305.63</v>
      </c>
      <c r="U69" s="598"/>
    </row>
    <row r="70" spans="1:22" x14ac:dyDescent="0.25">
      <c r="B70" s="69"/>
      <c r="G70" s="42" t="s">
        <v>12</v>
      </c>
      <c r="H70" s="114">
        <f>ROUND(C69/H69,6)</f>
        <v>7.2300000000000001E-4</v>
      </c>
      <c r="I70" s="115"/>
      <c r="N70" s="571"/>
      <c r="O70" s="571"/>
      <c r="P70" s="571"/>
      <c r="Q70" s="571"/>
      <c r="R70" s="571"/>
      <c r="S70" s="571"/>
      <c r="T70" s="601">
        <f>ROUND(P69/T69,6)</f>
        <v>7.2300000000000001E-4</v>
      </c>
      <c r="U70" s="601"/>
    </row>
    <row r="71" spans="1:22" x14ac:dyDescent="0.25">
      <c r="A71" s="444" t="s">
        <v>451</v>
      </c>
      <c r="N71" s="455" t="s">
        <v>459</v>
      </c>
      <c r="O71" s="51"/>
      <c r="P71" s="51"/>
      <c r="Q71" s="51"/>
      <c r="R71" s="51"/>
      <c r="S71" s="51"/>
      <c r="T71" s="51"/>
      <c r="U71" s="51"/>
    </row>
    <row r="72" spans="1:22" x14ac:dyDescent="0.25">
      <c r="A72" s="519" t="s">
        <v>403</v>
      </c>
      <c r="B72" s="520"/>
      <c r="C72" s="112">
        <f>H30</f>
        <v>644.90610000000004</v>
      </c>
      <c r="D72" s="533" t="s">
        <v>414</v>
      </c>
      <c r="E72" s="533"/>
      <c r="F72" s="533"/>
      <c r="G72" s="533"/>
      <c r="H72" s="302">
        <f>'1461'!H72</f>
        <v>227540.36</v>
      </c>
      <c r="I72" s="116"/>
      <c r="N72" s="594" t="s">
        <v>407</v>
      </c>
      <c r="O72" s="571"/>
      <c r="P72" s="41">
        <f>T30</f>
        <v>147.02000000000001</v>
      </c>
      <c r="Q72" s="599" t="s">
        <v>409</v>
      </c>
      <c r="R72" s="600"/>
      <c r="S72" s="600"/>
      <c r="T72" s="598">
        <f>H72</f>
        <v>227540.36</v>
      </c>
      <c r="U72" s="598"/>
    </row>
    <row r="73" spans="1:22" x14ac:dyDescent="0.25">
      <c r="G73" s="42" t="s">
        <v>12</v>
      </c>
      <c r="H73" s="114">
        <f>ROUND(C72/H72,6)</f>
        <v>2.8340000000000001E-3</v>
      </c>
      <c r="I73" s="114"/>
      <c r="N73" s="571"/>
      <c r="O73" s="571"/>
      <c r="P73" s="571"/>
      <c r="Q73" s="571"/>
      <c r="R73" s="571"/>
      <c r="S73" s="571"/>
      <c r="T73" s="601">
        <f>ROUND(P72/T72,6)</f>
        <v>6.4599999999999998E-4</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147.01999999999998</v>
      </c>
      <c r="D75" s="532" t="s">
        <v>415</v>
      </c>
      <c r="E75" s="532"/>
      <c r="F75" s="532"/>
      <c r="G75" s="532"/>
      <c r="H75" s="301">
        <f>'1461'!H75</f>
        <v>186907.73</v>
      </c>
      <c r="I75" s="113"/>
      <c r="N75" s="594" t="s">
        <v>405</v>
      </c>
      <c r="O75" s="571"/>
      <c r="P75" s="41">
        <f>P30</f>
        <v>147.01999999999998</v>
      </c>
      <c r="Q75" s="604" t="s">
        <v>410</v>
      </c>
      <c r="R75" s="605"/>
      <c r="S75" s="605"/>
      <c r="T75" s="598">
        <f>H75</f>
        <v>186907.73</v>
      </c>
      <c r="U75" s="598"/>
    </row>
    <row r="76" spans="1:22" x14ac:dyDescent="0.25">
      <c r="B76" s="69"/>
      <c r="G76" s="42" t="s">
        <v>12</v>
      </c>
      <c r="H76" s="114">
        <f>ROUND(C75/H75,6)</f>
        <v>7.8700000000000005E-4</v>
      </c>
      <c r="I76" s="115"/>
      <c r="N76" s="571"/>
      <c r="O76" s="571"/>
      <c r="P76" s="571"/>
      <c r="Q76" s="571"/>
      <c r="R76" s="571"/>
      <c r="S76" s="571"/>
      <c r="T76" s="601">
        <f>ROUND(P75/T75,6)</f>
        <v>7.8700000000000005E-4</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147.01999999999998</v>
      </c>
      <c r="D78" s="528" t="s">
        <v>416</v>
      </c>
      <c r="E78" s="528"/>
      <c r="F78" s="528"/>
      <c r="G78" s="528"/>
      <c r="H78" s="301">
        <f>'1461'!H78</f>
        <v>203080.55</v>
      </c>
      <c r="I78" s="113"/>
      <c r="N78" s="594" t="s">
        <v>405</v>
      </c>
      <c r="O78" s="571"/>
      <c r="P78" s="41">
        <f>P30</f>
        <v>147.01999999999998</v>
      </c>
      <c r="Q78" s="602" t="s">
        <v>411</v>
      </c>
      <c r="R78" s="603"/>
      <c r="S78" s="603"/>
      <c r="T78" s="598">
        <f>H78</f>
        <v>203080.55</v>
      </c>
      <c r="U78" s="598"/>
    </row>
    <row r="79" spans="1:22" x14ac:dyDescent="0.25">
      <c r="B79" s="69"/>
      <c r="G79" s="42" t="s">
        <v>12</v>
      </c>
      <c r="H79" s="114">
        <f>ROUND(C78/H78,6)</f>
        <v>7.2400000000000003E-4</v>
      </c>
      <c r="I79" s="115"/>
      <c r="N79" s="571"/>
      <c r="O79" s="571"/>
      <c r="P79" s="571"/>
      <c r="Q79" s="571"/>
      <c r="R79" s="571"/>
      <c r="S79" s="571"/>
      <c r="T79" s="601">
        <f>ROUND(P78/T78,6)</f>
        <v>7.2400000000000003E-4</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147.01999999999998</v>
      </c>
      <c r="D81" s="532" t="s">
        <v>417</v>
      </c>
      <c r="E81" s="532"/>
      <c r="F81" s="532"/>
      <c r="G81" s="532"/>
      <c r="H81" s="301">
        <f>'1461'!H81</f>
        <v>186682.65</v>
      </c>
      <c r="I81" s="113"/>
      <c r="N81" s="594" t="s">
        <v>418</v>
      </c>
      <c r="O81" s="571"/>
      <c r="P81" s="41">
        <f>P30</f>
        <v>147.01999999999998</v>
      </c>
      <c r="Q81" s="604" t="s">
        <v>419</v>
      </c>
      <c r="R81" s="605"/>
      <c r="S81" s="605"/>
      <c r="T81" s="598">
        <f>H81</f>
        <v>186682.65</v>
      </c>
      <c r="U81" s="598"/>
    </row>
    <row r="82" spans="1:21" x14ac:dyDescent="0.25">
      <c r="B82" s="69"/>
      <c r="G82" s="42" t="s">
        <v>12</v>
      </c>
      <c r="H82" s="114">
        <f>ROUND(C81/H81,6)</f>
        <v>7.8799999999999996E-4</v>
      </c>
      <c r="I82" s="115"/>
      <c r="N82" s="571"/>
      <c r="O82" s="571"/>
      <c r="P82" s="571"/>
      <c r="Q82" s="571"/>
      <c r="R82" s="571"/>
      <c r="S82" s="571"/>
      <c r="T82" s="601">
        <f>ROUND(P81/T81,6)</f>
        <v>7.8799999999999996E-4</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7.2400000000000003E-4</v>
      </c>
      <c r="I85" s="101">
        <f>ROUND(F85*H85,2)</f>
        <v>32337.85</v>
      </c>
      <c r="N85" s="455" t="s">
        <v>455</v>
      </c>
      <c r="O85" s="51"/>
      <c r="P85" s="51"/>
      <c r="Q85" s="44"/>
      <c r="R85" s="421">
        <f>F85</f>
        <v>44665536</v>
      </c>
      <c r="S85" s="38" t="s">
        <v>6</v>
      </c>
      <c r="T85" s="423">
        <f>T79</f>
        <v>7.2400000000000003E-4</v>
      </c>
      <c r="U85" s="475">
        <f>ROUND(R85*T85,2)</f>
        <v>32337.85</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7.2300000000000001E-4</v>
      </c>
      <c r="I88" s="101">
        <f>ROUND(F88*H88,2)</f>
        <v>0</v>
      </c>
      <c r="N88" s="606" t="s">
        <v>99</v>
      </c>
      <c r="O88" s="571"/>
      <c r="P88" s="571"/>
      <c r="Q88" s="44"/>
      <c r="R88" s="421">
        <f>F88</f>
        <v>0</v>
      </c>
      <c r="S88" s="38" t="s">
        <v>6</v>
      </c>
      <c r="T88" s="423">
        <f>T70</f>
        <v>7.2300000000000001E-4</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7.8799999999999996E-4</v>
      </c>
      <c r="I90" s="101">
        <f>ROUND(F90*H90,2)</f>
        <v>12739.64</v>
      </c>
      <c r="N90" s="455" t="s">
        <v>456</v>
      </c>
      <c r="O90" s="51"/>
      <c r="P90" s="51"/>
      <c r="Q90" s="44"/>
      <c r="R90" s="421">
        <f>F90</f>
        <v>16167052</v>
      </c>
      <c r="S90" s="38" t="s">
        <v>6</v>
      </c>
      <c r="T90" s="423">
        <f>T82</f>
        <v>7.8799999999999996E-4</v>
      </c>
      <c r="U90" s="475">
        <f>ROUND(R90*T90,2)</f>
        <v>12739.64</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7.8700000000000005E-4</v>
      </c>
      <c r="I92" s="101">
        <f t="shared" ref="I92:I96" si="14">ROUND(F92*H92,2)</f>
        <v>7901.56</v>
      </c>
      <c r="N92" s="455" t="s">
        <v>457</v>
      </c>
      <c r="O92" s="51"/>
      <c r="P92" s="51"/>
      <c r="Q92" s="44"/>
      <c r="R92" s="421">
        <f t="shared" ref="R92:R96" si="15">F92</f>
        <v>10040099</v>
      </c>
      <c r="S92" s="38" t="s">
        <v>6</v>
      </c>
      <c r="T92" s="423">
        <f>T76</f>
        <v>7.8700000000000005E-4</v>
      </c>
      <c r="U92" s="475">
        <f>ROUND(R92*T92,2)</f>
        <v>7901.56</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2.8340000000000001E-3</v>
      </c>
      <c r="I94" s="101">
        <f t="shared" si="14"/>
        <v>677319.41</v>
      </c>
      <c r="N94" s="571" t="s">
        <v>421</v>
      </c>
      <c r="O94" s="571"/>
      <c r="P94" s="571"/>
      <c r="Q94" s="44"/>
      <c r="R94" s="421">
        <f t="shared" si="15"/>
        <v>238997674</v>
      </c>
      <c r="S94" s="38" t="s">
        <v>6</v>
      </c>
      <c r="T94" s="423">
        <f>T73</f>
        <v>6.4599999999999998E-4</v>
      </c>
      <c r="U94" s="475">
        <f>ROUND(R94*T94,2)</f>
        <v>154392.5</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2.8340000000000001E-3</v>
      </c>
      <c r="I96" s="101">
        <f t="shared" si="14"/>
        <v>-4534.53</v>
      </c>
      <c r="N96" s="594" t="s">
        <v>422</v>
      </c>
      <c r="O96" s="571"/>
      <c r="P96" s="571"/>
      <c r="Q96" s="44"/>
      <c r="R96" s="421">
        <f t="shared" si="15"/>
        <v>-1600047</v>
      </c>
      <c r="S96" s="38" t="s">
        <v>6</v>
      </c>
      <c r="T96" s="423">
        <f>T73</f>
        <v>6.4599999999999998E-4</v>
      </c>
      <c r="U96" s="475">
        <f>ROUND(R96*T96,2)</f>
        <v>-1033.6300000000001</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267.56909999999999</v>
      </c>
      <c r="D101" s="518"/>
      <c r="E101" s="46">
        <f>H8</f>
        <v>1.0442</v>
      </c>
      <c r="F101" s="304">
        <f>'1461'!F101</f>
        <v>947.59</v>
      </c>
      <c r="G101" s="39" t="s">
        <v>12</v>
      </c>
      <c r="H101" s="101">
        <f>ROUND(C101*E101*F101,2)</f>
        <v>264752.53000000003</v>
      </c>
      <c r="I101" s="104"/>
      <c r="N101" s="28" t="s">
        <v>17</v>
      </c>
      <c r="O101" s="47">
        <f>T14+T15+T20+T23+T26</f>
        <v>63.02</v>
      </c>
      <c r="P101" s="609">
        <f>T8</f>
        <v>1.0442</v>
      </c>
      <c r="Q101" s="609"/>
      <c r="R101" s="48">
        <f>F101</f>
        <v>947.59</v>
      </c>
      <c r="S101" s="40" t="s">
        <v>12</v>
      </c>
      <c r="T101" s="481">
        <f>ROUND(O101*P101*R101,2)</f>
        <v>62356.62</v>
      </c>
      <c r="U101" s="102"/>
    </row>
    <row r="102" spans="1:21" x14ac:dyDescent="0.25">
      <c r="A102" s="49"/>
      <c r="B102" s="49" t="s">
        <v>104</v>
      </c>
      <c r="C102" s="518">
        <f>H16+H17+H21+H24+H27</f>
        <v>377.33699999999999</v>
      </c>
      <c r="D102" s="518"/>
      <c r="E102" s="46">
        <f>H8</f>
        <v>1.0442</v>
      </c>
      <c r="F102" s="304">
        <f>'1461'!F102</f>
        <v>904.74</v>
      </c>
      <c r="G102" s="39" t="s">
        <v>12</v>
      </c>
      <c r="H102" s="101">
        <f>ROUND(C102*E102*F102,2)</f>
        <v>356481.4</v>
      </c>
      <c r="N102" s="50" t="s">
        <v>13</v>
      </c>
      <c r="O102" s="47">
        <f>T16+T17+T21+T24+T27</f>
        <v>84</v>
      </c>
      <c r="P102" s="609">
        <f>T8</f>
        <v>1.0442</v>
      </c>
      <c r="Q102" s="609"/>
      <c r="R102" s="48">
        <f>F102</f>
        <v>904.74</v>
      </c>
      <c r="S102" s="40" t="s">
        <v>12</v>
      </c>
      <c r="T102" s="481">
        <f>ROUND(O102*P102*R102,2)</f>
        <v>79357.279999999999</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644.90609999999992</v>
      </c>
      <c r="D104" s="531"/>
      <c r="E104" s="123"/>
      <c r="F104" s="123"/>
      <c r="G104" s="123"/>
      <c r="H104" s="124" t="s">
        <v>100</v>
      </c>
      <c r="I104" s="101">
        <f>IF(A1=75,0,H103+H102+H101)</f>
        <v>621233.93000000005</v>
      </c>
      <c r="N104" s="56" t="s">
        <v>89</v>
      </c>
      <c r="O104" s="57">
        <f>SUM(O101:O103)</f>
        <v>147.02000000000001</v>
      </c>
      <c r="P104" s="610" t="s">
        <v>16</v>
      </c>
      <c r="Q104" s="611"/>
      <c r="R104" s="611"/>
      <c r="S104" s="611"/>
      <c r="T104" s="611"/>
      <c r="U104" s="475">
        <f>IF(N1=75,0,T103+T102+T101)</f>
        <v>141713.9</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0</v>
      </c>
      <c r="D110" s="143">
        <v>0</v>
      </c>
      <c r="E110" s="116">
        <f>(C110+D110)/2</f>
        <v>0</v>
      </c>
      <c r="F110" s="126" t="s">
        <v>30</v>
      </c>
      <c r="G110" s="305">
        <f>'1461'!G110</f>
        <v>565</v>
      </c>
      <c r="I110" s="101">
        <f>ROUND(G110*E110,2)</f>
        <v>0</v>
      </c>
      <c r="N110" s="620" t="s">
        <v>52</v>
      </c>
      <c r="O110" s="620"/>
      <c r="P110" s="608">
        <f>IF(H130=1,E110,0)</f>
        <v>0</v>
      </c>
      <c r="Q110" s="608"/>
      <c r="R110" s="608"/>
      <c r="S110" s="83" t="s">
        <v>30</v>
      </c>
      <c r="T110" s="58">
        <f>G110</f>
        <v>565</v>
      </c>
      <c r="U110" s="475">
        <f>ROUND(T110*P110,2)</f>
        <v>0</v>
      </c>
    </row>
    <row r="111" spans="1:21" x14ac:dyDescent="0.25">
      <c r="A111" s="532" t="s">
        <v>380</v>
      </c>
      <c r="B111" s="553"/>
      <c r="C111" s="143">
        <v>0</v>
      </c>
      <c r="D111" s="143">
        <v>0</v>
      </c>
      <c r="E111" s="116">
        <f>(C111+D111)/2</f>
        <v>0</v>
      </c>
      <c r="F111" s="126" t="s">
        <v>30</v>
      </c>
      <c r="G111" s="305">
        <f>'1461'!G111</f>
        <v>1762</v>
      </c>
      <c r="I111" s="101">
        <f>ROUND(G111*E111,2)</f>
        <v>0</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4808148.33</v>
      </c>
      <c r="N125" s="455"/>
      <c r="O125" s="454"/>
      <c r="P125" s="454"/>
      <c r="Q125" s="307"/>
      <c r="R125" s="307"/>
      <c r="S125" s="307"/>
      <c r="T125" s="307"/>
      <c r="U125" s="482">
        <f>SUM(U30,U85,U88,U90,U92,U94,U96,U104,U110,U111,U121,U123)</f>
        <v>1137094.3500000001</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4602902.1100000003</v>
      </c>
      <c r="N127" s="616" t="s">
        <v>33</v>
      </c>
      <c r="O127" s="616"/>
      <c r="P127" s="616"/>
      <c r="Q127" s="616"/>
      <c r="R127" s="616"/>
      <c r="S127" s="616"/>
      <c r="T127" s="616"/>
      <c r="U127" s="132">
        <f>U125-U53</f>
        <v>1090304.1300000001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f>IF(E30=0,"",IF((E15+E17+SUM(E19:E25))/E30&gt;0.75,1,""))</f>
        <v>1</v>
      </c>
      <c r="I130" s="116">
        <f>U127</f>
        <v>1090304.1300000001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1090304.1300000001</v>
      </c>
      <c r="I132" s="94">
        <f>ROUND(IF(E30=0,0,IF(E30&gt;250,-(((250/E30)*H132)*IF(G132="H",0.02,0.05)),IF(G132="H",-0.02*H132,-0.05*H132))),2)</f>
        <v>-54515.21</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4753633.12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-807005.2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3946627.92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394662.79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370</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371</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372</v>
      </c>
      <c r="B152" s="348"/>
      <c r="C152" s="348"/>
      <c r="D152" s="348"/>
      <c r="E152" s="348"/>
      <c r="F152" s="348"/>
      <c r="G152" s="348"/>
      <c r="H152" s="348"/>
      <c r="I152" s="348"/>
      <c r="N152" s="615"/>
      <c r="O152" s="615"/>
      <c r="P152" s="615"/>
      <c r="Q152" s="615"/>
      <c r="R152" s="615"/>
      <c r="S152" s="615"/>
      <c r="T152" s="615"/>
      <c r="U152" s="615"/>
    </row>
    <row r="153" spans="1:21" s="76" customFormat="1" x14ac:dyDescent="0.2">
      <c r="A153" s="346" t="s">
        <v>373</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374</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375</v>
      </c>
      <c r="B155" s="348"/>
      <c r="C155" s="348"/>
      <c r="D155" s="348"/>
      <c r="E155" s="348"/>
      <c r="F155" s="348"/>
      <c r="G155" s="348"/>
      <c r="H155" s="348"/>
      <c r="I155" s="348"/>
      <c r="N155" s="78"/>
    </row>
    <row r="156" spans="1:21" s="76" customFormat="1" x14ac:dyDescent="0.2">
      <c r="A156" s="346" t="s">
        <v>377</v>
      </c>
      <c r="B156" s="348"/>
      <c r="C156" s="348"/>
      <c r="D156" s="348"/>
      <c r="E156" s="348"/>
      <c r="F156" s="348"/>
      <c r="G156" s="348"/>
      <c r="H156" s="348"/>
      <c r="I156" s="348"/>
      <c r="N156" s="78"/>
    </row>
    <row r="157" spans="1:21" s="76" customFormat="1" x14ac:dyDescent="0.2">
      <c r="A157" s="352" t="s">
        <v>376</v>
      </c>
      <c r="B157" s="348"/>
      <c r="C157" s="348"/>
      <c r="D157" s="348"/>
      <c r="E157" s="348"/>
      <c r="F157" s="348"/>
      <c r="G157" s="348"/>
      <c r="H157" s="348"/>
      <c r="I157" s="348"/>
      <c r="N157" s="78"/>
    </row>
    <row r="158" spans="1:21" s="76" customFormat="1" x14ac:dyDescent="0.2">
      <c r="A158" s="346" t="s">
        <v>378</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381</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383</v>
      </c>
      <c r="B162" s="348"/>
      <c r="C162" s="348"/>
      <c r="D162" s="348"/>
      <c r="E162" s="348"/>
      <c r="F162" s="348"/>
      <c r="G162" s="348"/>
      <c r="H162" s="348"/>
      <c r="I162" s="348"/>
      <c r="N162" s="78"/>
    </row>
    <row r="163" spans="1:21" s="76" customFormat="1" ht="15.75" customHeight="1" x14ac:dyDescent="0.2">
      <c r="A163" s="352" t="s">
        <v>382</v>
      </c>
      <c r="B163" s="348"/>
      <c r="C163" s="348"/>
      <c r="D163" s="348"/>
      <c r="E163" s="348"/>
      <c r="F163" s="348"/>
      <c r="G163" s="348"/>
      <c r="H163" s="348"/>
      <c r="I163" s="348"/>
      <c r="N163" s="78"/>
    </row>
    <row r="164" spans="1:21" s="76" customFormat="1" ht="15.75" customHeight="1" x14ac:dyDescent="0.2">
      <c r="A164" s="346" t="s">
        <v>384</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386</v>
      </c>
      <c r="B166" s="348"/>
      <c r="C166" s="348"/>
      <c r="D166" s="348"/>
      <c r="E166" s="348"/>
      <c r="F166" s="348"/>
      <c r="G166" s="348"/>
      <c r="H166" s="348"/>
      <c r="I166" s="348"/>
      <c r="N166" s="78"/>
    </row>
    <row r="167" spans="1:21" s="76" customFormat="1" ht="15.75" customHeight="1" x14ac:dyDescent="0.2">
      <c r="A167" s="352" t="s">
        <v>385</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387</v>
      </c>
      <c r="B172" s="358"/>
      <c r="C172" s="358"/>
      <c r="D172" s="358"/>
      <c r="E172" s="358"/>
      <c r="F172" s="358"/>
      <c r="G172" s="358"/>
      <c r="H172" s="358"/>
      <c r="I172" s="358"/>
      <c r="J172" s="3"/>
      <c r="K172" s="3"/>
      <c r="L172" s="3"/>
      <c r="M172" s="3"/>
      <c r="N172" s="78"/>
    </row>
    <row r="173" spans="1:21" s="76" customFormat="1" ht="15.75" customHeight="1" x14ac:dyDescent="0.2">
      <c r="A173" s="364" t="s">
        <v>388</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CCC"/>
  </sheetPr>
  <dimension ref="A1:V218"/>
  <sheetViews>
    <sheetView showGridLines="0" zoomScaleNormal="100" workbookViewId="0">
      <pane ySplit="1" topLeftCell="A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43" t="s">
        <v>15</v>
      </c>
      <c r="C1" s="544"/>
      <c r="D1" s="544"/>
      <c r="E1" s="544"/>
      <c r="F1" s="544"/>
      <c r="G1" s="544"/>
      <c r="H1" s="544"/>
      <c r="I1" s="544"/>
      <c r="J1" s="135"/>
      <c r="K1" s="135"/>
      <c r="L1" s="135"/>
      <c r="N1" s="82">
        <f>A1</f>
        <v>0</v>
      </c>
      <c r="O1" s="562" t="s">
        <v>15</v>
      </c>
      <c r="P1" s="563"/>
      <c r="Q1" s="563"/>
      <c r="R1" s="563"/>
      <c r="S1" s="563"/>
      <c r="T1" s="563"/>
      <c r="U1" s="563"/>
    </row>
    <row r="2" spans="1:21" ht="21" x14ac:dyDescent="0.35">
      <c r="A2" s="1" t="s">
        <v>363</v>
      </c>
      <c r="B2" s="2"/>
      <c r="C2" s="2"/>
      <c r="D2" s="2"/>
      <c r="E2" s="2"/>
      <c r="F2" s="2"/>
      <c r="G2" s="2"/>
      <c r="H2" s="2"/>
      <c r="I2" s="2"/>
      <c r="N2" s="564" t="s">
        <v>18</v>
      </c>
      <c r="O2" s="564"/>
      <c r="P2" s="564"/>
      <c r="Q2" s="564"/>
      <c r="R2" s="564"/>
      <c r="S2" s="564"/>
      <c r="T2" s="564"/>
      <c r="U2" s="564"/>
    </row>
    <row r="3" spans="1:21" x14ac:dyDescent="0.25">
      <c r="A3" s="81" t="str">
        <f>'1461'!A3</f>
        <v>Based on the FLDOE 2023-24 FEFP Second Calculation</v>
      </c>
      <c r="N3" s="565" t="str">
        <f>A3</f>
        <v>Based on the FLDOE 2023-24 FEFP Second Calculation</v>
      </c>
      <c r="O3" s="565"/>
      <c r="P3" s="565"/>
      <c r="Q3" s="565"/>
      <c r="R3" s="565"/>
      <c r="S3" s="565"/>
      <c r="T3" s="565"/>
      <c r="U3" s="565"/>
    </row>
    <row r="4" spans="1:21" x14ac:dyDescent="0.25">
      <c r="A4" s="545" t="s">
        <v>0</v>
      </c>
      <c r="B4" s="545"/>
      <c r="C4" s="546" t="s">
        <v>9</v>
      </c>
      <c r="D4" s="546"/>
      <c r="E4" s="546"/>
      <c r="F4" s="4" t="str">
        <f>'1461'!F4</f>
        <v>Sep 2023</v>
      </c>
      <c r="G4" s="4"/>
      <c r="H4" s="4"/>
      <c r="I4" s="4"/>
      <c r="N4" s="566" t="s">
        <v>0</v>
      </c>
      <c r="O4" s="566"/>
      <c r="P4" s="567" t="str">
        <f>C4</f>
        <v>Palm Beach</v>
      </c>
      <c r="Q4" s="567"/>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7" t="s">
        <v>432</v>
      </c>
      <c r="B7" s="568"/>
      <c r="C7" s="568"/>
      <c r="D7" s="568"/>
      <c r="E7" s="568"/>
      <c r="F7" s="568"/>
      <c r="G7" s="568"/>
      <c r="H7" s="568"/>
      <c r="I7" s="568"/>
      <c r="N7" s="566" t="str">
        <f>A7</f>
        <v>1A.   2023-24 FEFP State and Local Funding</v>
      </c>
      <c r="O7" s="566"/>
      <c r="P7" s="566"/>
      <c r="Q7" s="566"/>
      <c r="R7" s="566"/>
      <c r="S7" s="566"/>
      <c r="T7" s="566"/>
      <c r="U7" s="566"/>
    </row>
    <row r="8" spans="1:21" x14ac:dyDescent="0.25">
      <c r="A8" s="84"/>
      <c r="B8" s="85" t="s">
        <v>92</v>
      </c>
      <c r="C8" s="300">
        <f>'1461'!C8</f>
        <v>5139.7299999999996</v>
      </c>
      <c r="D8" s="86"/>
      <c r="E8" s="87"/>
      <c r="F8" s="84"/>
      <c r="G8" s="85" t="s">
        <v>392</v>
      </c>
      <c r="H8" s="288">
        <f>'1461'!H8</f>
        <v>1.0442</v>
      </c>
      <c r="I8" s="75"/>
      <c r="N8" s="569" t="s">
        <v>10</v>
      </c>
      <c r="O8" s="569"/>
      <c r="P8" s="570">
        <f>C8</f>
        <v>5139.7299999999996</v>
      </c>
      <c r="Q8" s="570"/>
      <c r="R8" s="579" t="s">
        <v>393</v>
      </c>
      <c r="S8" s="580"/>
      <c r="T8" s="581">
        <f>H8</f>
        <v>1.0442</v>
      </c>
      <c r="U8" s="581"/>
    </row>
    <row r="9" spans="1:21" x14ac:dyDescent="0.25">
      <c r="A9" s="84"/>
      <c r="B9" s="85"/>
      <c r="C9" s="222"/>
      <c r="D9" s="86"/>
      <c r="E9" s="87"/>
      <c r="F9" s="84"/>
      <c r="G9" s="85" t="s">
        <v>390</v>
      </c>
      <c r="H9" s="288">
        <f>'1461'!H9</f>
        <v>1</v>
      </c>
      <c r="I9" s="75"/>
      <c r="N9" s="12"/>
      <c r="O9" s="12"/>
      <c r="P9" s="13"/>
      <c r="Q9" s="13"/>
      <c r="R9" s="389" t="s">
        <v>391</v>
      </c>
      <c r="S9" s="386"/>
      <c r="T9" s="581">
        <f>H9</f>
        <v>1</v>
      </c>
      <c r="U9" s="581"/>
    </row>
    <row r="10" spans="1:21" x14ac:dyDescent="0.25">
      <c r="A10" s="7"/>
      <c r="B10" s="42" t="s">
        <v>304</v>
      </c>
      <c r="C10" s="458"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48" t="s">
        <v>1</v>
      </c>
      <c r="G11" s="548"/>
      <c r="H11" s="10" t="s">
        <v>60</v>
      </c>
      <c r="I11" s="11" t="s">
        <v>27</v>
      </c>
      <c r="N11" s="12"/>
      <c r="O11" s="12"/>
      <c r="P11" s="13"/>
      <c r="Q11" s="13"/>
      <c r="R11" s="582" t="s">
        <v>1</v>
      </c>
      <c r="S11" s="582"/>
      <c r="T11" s="15" t="s">
        <v>60</v>
      </c>
      <c r="U11" s="16" t="s">
        <v>27</v>
      </c>
    </row>
    <row r="12" spans="1:21" ht="15.75" customHeight="1" x14ac:dyDescent="0.25">
      <c r="A12" s="540" t="s">
        <v>1</v>
      </c>
      <c r="B12" s="540"/>
      <c r="C12" s="325" t="str">
        <f>'1461'!C12</f>
        <v>FTE</v>
      </c>
      <c r="D12" s="325" t="str">
        <f>'1461'!D12</f>
        <v>FTE</v>
      </c>
      <c r="E12" s="325" t="s">
        <v>2</v>
      </c>
      <c r="F12" s="549" t="s">
        <v>63</v>
      </c>
      <c r="G12" s="549"/>
      <c r="H12" s="17" t="s">
        <v>59</v>
      </c>
      <c r="I12" s="390" t="s">
        <v>394</v>
      </c>
      <c r="N12" s="583" t="s">
        <v>1</v>
      </c>
      <c r="O12" s="583"/>
      <c r="P12" s="584" t="s">
        <v>19</v>
      </c>
      <c r="Q12" s="584"/>
      <c r="R12" s="585" t="s">
        <v>63</v>
      </c>
      <c r="S12" s="585"/>
      <c r="T12" s="18" t="s">
        <v>59</v>
      </c>
      <c r="U12" s="19" t="str">
        <f>I12</f>
        <v>(WFTE x BSA x CWF x SDF)</v>
      </c>
    </row>
    <row r="13" spans="1:21" x14ac:dyDescent="0.25">
      <c r="A13" s="550" t="s">
        <v>36</v>
      </c>
      <c r="B13" s="550"/>
      <c r="C13" s="91"/>
      <c r="D13" s="91"/>
      <c r="E13" s="92" t="s">
        <v>37</v>
      </c>
      <c r="F13" s="551" t="s">
        <v>38</v>
      </c>
      <c r="G13" s="551"/>
      <c r="H13" s="20" t="s">
        <v>39</v>
      </c>
      <c r="I13" s="21" t="s">
        <v>40</v>
      </c>
      <c r="N13" s="574" t="s">
        <v>36</v>
      </c>
      <c r="O13" s="574"/>
      <c r="P13" s="575" t="s">
        <v>37</v>
      </c>
      <c r="Q13" s="575"/>
      <c r="R13" s="576" t="s">
        <v>38</v>
      </c>
      <c r="S13" s="576"/>
      <c r="T13" s="22" t="s">
        <v>39</v>
      </c>
      <c r="U13" s="23" t="s">
        <v>40</v>
      </c>
    </row>
    <row r="14" spans="1:21" x14ac:dyDescent="0.25">
      <c r="A14" s="541" t="s">
        <v>20</v>
      </c>
      <c r="B14" s="541"/>
      <c r="C14" s="143">
        <v>141.85</v>
      </c>
      <c r="D14" s="141">
        <v>138.65</v>
      </c>
      <c r="E14" s="187">
        <f>IF(D$30=0,C14*2,C14+D14)</f>
        <v>280.5</v>
      </c>
      <c r="F14" s="561">
        <f>'1461'!F14:G14</f>
        <v>1.1220000000000001</v>
      </c>
      <c r="G14" s="561"/>
      <c r="H14" s="145">
        <f>ROUND(E14*F14,4)</f>
        <v>314.721</v>
      </c>
      <c r="I14" s="111">
        <f>ROUND(ROUND(ROUND(H14*$C$8,4)*($H$8),2)*(MAX($H$9,1)),2)</f>
        <v>1689078.04</v>
      </c>
      <c r="N14" s="577" t="s">
        <v>20</v>
      </c>
      <c r="O14" s="577"/>
      <c r="P14" s="572">
        <f t="shared" ref="P14:P29" si="0">IF($H$130=1,E14,0)</f>
        <v>0</v>
      </c>
      <c r="Q14" s="572"/>
      <c r="R14" s="578">
        <v>1</v>
      </c>
      <c r="S14" s="578"/>
      <c r="T14" s="95">
        <f>ROUND(P14*R14,4)</f>
        <v>0</v>
      </c>
      <c r="U14" s="475">
        <f>ROUND(ROUND(ROUND(T14*$C$8,4)*($H$8),2)*(MAX($H$9,1)),2)</f>
        <v>0</v>
      </c>
    </row>
    <row r="15" spans="1:21" x14ac:dyDescent="0.25">
      <c r="A15" s="520" t="s">
        <v>21</v>
      </c>
      <c r="B15" s="520"/>
      <c r="C15" s="143">
        <v>24</v>
      </c>
      <c r="D15" s="143">
        <v>25.5</v>
      </c>
      <c r="E15" s="116">
        <f t="shared" ref="E15:E29" si="1">IF(D$30=0,C15*2,C15+D15)</f>
        <v>49.5</v>
      </c>
      <c r="F15" s="558">
        <f>'1461'!F15:G15</f>
        <v>1.1220000000000001</v>
      </c>
      <c r="G15" s="558"/>
      <c r="H15" s="80">
        <f t="shared" ref="H15:H29" si="2">ROUND(E15*F15,4)</f>
        <v>55.539000000000001</v>
      </c>
      <c r="I15" s="101">
        <f t="shared" ref="I15:I29" si="3">ROUND(ROUND(ROUND(H15*$C$8,4)*($H$8),2)*(MAX($H$9,1)),2)</f>
        <v>298072.59999999998</v>
      </c>
      <c r="J15" s="65" t="str">
        <f>IF(ROUND(E15,2)=ROUND(SUM(E57:E59),2)," ","CHECK PK-3 LINES BELOW")</f>
        <v xml:space="preserve"> </v>
      </c>
      <c r="N15" s="571" t="s">
        <v>21</v>
      </c>
      <c r="O15" s="571"/>
      <c r="P15" s="572">
        <f t="shared" si="0"/>
        <v>0</v>
      </c>
      <c r="Q15" s="572"/>
      <c r="R15" s="573">
        <v>1</v>
      </c>
      <c r="S15" s="573"/>
      <c r="T15" s="95">
        <f t="shared" ref="T15:T29" si="4">ROUND(P15*R15,4)</f>
        <v>0</v>
      </c>
      <c r="U15" s="475">
        <f t="shared" ref="U15:U29" si="5">ROUND(ROUND(ROUND(T15*$C$8,4)*($H$8),2)*(MAX($H$9,1)),2)</f>
        <v>0</v>
      </c>
    </row>
    <row r="16" spans="1:21" x14ac:dyDescent="0.25">
      <c r="A16" s="520" t="s">
        <v>22</v>
      </c>
      <c r="B16" s="520"/>
      <c r="C16" s="143">
        <v>58.16</v>
      </c>
      <c r="D16" s="143">
        <v>56.03</v>
      </c>
      <c r="E16" s="116">
        <f t="shared" si="1"/>
        <v>114.19</v>
      </c>
      <c r="F16" s="558">
        <f>'1461'!F16:G16</f>
        <v>1</v>
      </c>
      <c r="G16" s="558"/>
      <c r="H16" s="80">
        <f t="shared" si="2"/>
        <v>114.19</v>
      </c>
      <c r="I16" s="101">
        <f t="shared" si="3"/>
        <v>612847</v>
      </c>
      <c r="N16" s="571" t="s">
        <v>22</v>
      </c>
      <c r="O16" s="571"/>
      <c r="P16" s="572">
        <f t="shared" si="0"/>
        <v>0</v>
      </c>
      <c r="Q16" s="572"/>
      <c r="R16" s="573">
        <v>1</v>
      </c>
      <c r="S16" s="573"/>
      <c r="T16" s="95">
        <f t="shared" si="4"/>
        <v>0</v>
      </c>
      <c r="U16" s="475">
        <f t="shared" si="5"/>
        <v>0</v>
      </c>
    </row>
    <row r="17" spans="1:21" x14ac:dyDescent="0.25">
      <c r="A17" s="520" t="s">
        <v>23</v>
      </c>
      <c r="B17" s="520"/>
      <c r="C17" s="143">
        <v>14</v>
      </c>
      <c r="D17" s="143">
        <v>14.48</v>
      </c>
      <c r="E17" s="116">
        <f t="shared" si="1"/>
        <v>28.48</v>
      </c>
      <c r="F17" s="558">
        <f>'1461'!F17:G17</f>
        <v>1</v>
      </c>
      <c r="G17" s="558"/>
      <c r="H17" s="80">
        <f t="shared" si="2"/>
        <v>28.48</v>
      </c>
      <c r="I17" s="101">
        <f t="shared" si="3"/>
        <v>152849.48000000001</v>
      </c>
      <c r="J17" s="65" t="str">
        <f>IF(ROUND(E17,2)=ROUND(SUM(E60:E62),2)," ","CHECK 4-8 LINES BELOW")</f>
        <v xml:space="preserve"> </v>
      </c>
      <c r="N17" s="571" t="s">
        <v>23</v>
      </c>
      <c r="O17" s="571"/>
      <c r="P17" s="572">
        <f t="shared" si="0"/>
        <v>0</v>
      </c>
      <c r="Q17" s="572"/>
      <c r="R17" s="573">
        <v>1</v>
      </c>
      <c r="S17" s="573"/>
      <c r="T17" s="95">
        <f t="shared" si="4"/>
        <v>0</v>
      </c>
      <c r="U17" s="475">
        <f t="shared" si="5"/>
        <v>0</v>
      </c>
    </row>
    <row r="18" spans="1:21" x14ac:dyDescent="0.25">
      <c r="A18" s="520" t="s">
        <v>24</v>
      </c>
      <c r="B18" s="520"/>
      <c r="C18" s="143">
        <v>0</v>
      </c>
      <c r="D18" s="143">
        <v>0</v>
      </c>
      <c r="E18" s="116">
        <f t="shared" si="1"/>
        <v>0</v>
      </c>
      <c r="F18" s="558">
        <f>'1461'!F18:G18</f>
        <v>0.98799999999999999</v>
      </c>
      <c r="G18" s="558"/>
      <c r="H18" s="80">
        <f t="shared" si="2"/>
        <v>0</v>
      </c>
      <c r="I18" s="101">
        <f t="shared" si="3"/>
        <v>0</v>
      </c>
      <c r="N18" s="571" t="s">
        <v>24</v>
      </c>
      <c r="O18" s="571"/>
      <c r="P18" s="572">
        <f t="shared" si="0"/>
        <v>0</v>
      </c>
      <c r="Q18" s="572"/>
      <c r="R18" s="573">
        <v>1</v>
      </c>
      <c r="S18" s="573"/>
      <c r="T18" s="95">
        <f t="shared" si="4"/>
        <v>0</v>
      </c>
      <c r="U18" s="475">
        <f t="shared" si="5"/>
        <v>0</v>
      </c>
    </row>
    <row r="19" spans="1:21" x14ac:dyDescent="0.25">
      <c r="A19" s="520" t="s">
        <v>25</v>
      </c>
      <c r="B19" s="520"/>
      <c r="C19" s="143">
        <v>0</v>
      </c>
      <c r="D19" s="143">
        <v>0</v>
      </c>
      <c r="E19" s="116">
        <f t="shared" si="1"/>
        <v>0</v>
      </c>
      <c r="F19" s="558">
        <f>'1461'!F19:G19</f>
        <v>0.98799999999999999</v>
      </c>
      <c r="G19" s="558"/>
      <c r="H19" s="80">
        <f t="shared" si="2"/>
        <v>0</v>
      </c>
      <c r="I19" s="101">
        <f t="shared" si="3"/>
        <v>0</v>
      </c>
      <c r="J19" s="65" t="str">
        <f>IF(ROUND(E19,2)=ROUND(SUM(E63:E65),2)," ","CHECK 4-8 LINES BELOW")</f>
        <v xml:space="preserve"> </v>
      </c>
      <c r="N19" s="571" t="s">
        <v>25</v>
      </c>
      <c r="O19" s="571"/>
      <c r="P19" s="572">
        <f t="shared" si="0"/>
        <v>0</v>
      </c>
      <c r="Q19" s="572"/>
      <c r="R19" s="573">
        <v>1</v>
      </c>
      <c r="S19" s="573"/>
      <c r="T19" s="95">
        <f t="shared" si="4"/>
        <v>0</v>
      </c>
      <c r="U19" s="474">
        <f t="shared" si="5"/>
        <v>0</v>
      </c>
    </row>
    <row r="20" spans="1:21" x14ac:dyDescent="0.25">
      <c r="A20" s="520" t="s">
        <v>79</v>
      </c>
      <c r="B20" s="520"/>
      <c r="C20" s="143">
        <v>0</v>
      </c>
      <c r="D20" s="143">
        <v>0</v>
      </c>
      <c r="E20" s="116">
        <f t="shared" si="1"/>
        <v>0</v>
      </c>
      <c r="F20" s="558">
        <f>'1461'!F20:G20</f>
        <v>3.706</v>
      </c>
      <c r="G20" s="558"/>
      <c r="H20" s="80">
        <f t="shared" si="2"/>
        <v>0</v>
      </c>
      <c r="I20" s="101">
        <f t="shared" si="3"/>
        <v>0</v>
      </c>
      <c r="N20" s="571" t="s">
        <v>79</v>
      </c>
      <c r="O20" s="571"/>
      <c r="P20" s="572">
        <f t="shared" si="0"/>
        <v>0</v>
      </c>
      <c r="Q20" s="572"/>
      <c r="R20" s="573">
        <v>1</v>
      </c>
      <c r="S20" s="573"/>
      <c r="T20" s="95">
        <f t="shared" si="4"/>
        <v>0</v>
      </c>
      <c r="U20" s="475">
        <f t="shared" si="5"/>
        <v>0</v>
      </c>
    </row>
    <row r="21" spans="1:21" x14ac:dyDescent="0.25">
      <c r="A21" s="520" t="s">
        <v>80</v>
      </c>
      <c r="B21" s="520"/>
      <c r="C21" s="143">
        <v>0</v>
      </c>
      <c r="D21" s="143">
        <v>0</v>
      </c>
      <c r="E21" s="116">
        <f t="shared" si="1"/>
        <v>0</v>
      </c>
      <c r="F21" s="558">
        <f>'1461'!F21:G21</f>
        <v>3.706</v>
      </c>
      <c r="G21" s="558"/>
      <c r="H21" s="80">
        <f t="shared" si="2"/>
        <v>0</v>
      </c>
      <c r="I21" s="101">
        <f t="shared" si="3"/>
        <v>0</v>
      </c>
      <c r="N21" s="571" t="s">
        <v>80</v>
      </c>
      <c r="O21" s="571"/>
      <c r="P21" s="572">
        <f t="shared" si="0"/>
        <v>0</v>
      </c>
      <c r="Q21" s="572"/>
      <c r="R21" s="573">
        <v>1</v>
      </c>
      <c r="S21" s="573"/>
      <c r="T21" s="95">
        <f t="shared" si="4"/>
        <v>0</v>
      </c>
      <c r="U21" s="475">
        <f t="shared" si="5"/>
        <v>0</v>
      </c>
    </row>
    <row r="22" spans="1:21" x14ac:dyDescent="0.25">
      <c r="A22" s="520" t="s">
        <v>81</v>
      </c>
      <c r="B22" s="520"/>
      <c r="C22" s="143">
        <v>0</v>
      </c>
      <c r="D22" s="143">
        <v>0</v>
      </c>
      <c r="E22" s="116">
        <f t="shared" si="1"/>
        <v>0</v>
      </c>
      <c r="F22" s="558">
        <f>'1461'!F22:G22</f>
        <v>3.706</v>
      </c>
      <c r="G22" s="558"/>
      <c r="H22" s="80">
        <f t="shared" si="2"/>
        <v>0</v>
      </c>
      <c r="I22" s="101">
        <f t="shared" si="3"/>
        <v>0</v>
      </c>
      <c r="N22" s="571" t="s">
        <v>81</v>
      </c>
      <c r="O22" s="571"/>
      <c r="P22" s="572">
        <f t="shared" si="0"/>
        <v>0</v>
      </c>
      <c r="Q22" s="572"/>
      <c r="R22" s="573">
        <v>1</v>
      </c>
      <c r="S22" s="573"/>
      <c r="T22" s="95">
        <f t="shared" si="4"/>
        <v>0</v>
      </c>
      <c r="U22" s="475">
        <f t="shared" si="5"/>
        <v>0</v>
      </c>
    </row>
    <row r="23" spans="1:21" x14ac:dyDescent="0.25">
      <c r="A23" s="520" t="s">
        <v>82</v>
      </c>
      <c r="B23" s="520"/>
      <c r="C23" s="143">
        <v>0</v>
      </c>
      <c r="D23" s="143">
        <v>0</v>
      </c>
      <c r="E23" s="116">
        <f t="shared" si="1"/>
        <v>0</v>
      </c>
      <c r="F23" s="558">
        <f>'1461'!F23:G23</f>
        <v>5.7069999999999999</v>
      </c>
      <c r="G23" s="558"/>
      <c r="H23" s="80">
        <f t="shared" si="2"/>
        <v>0</v>
      </c>
      <c r="I23" s="101">
        <f t="shared" si="3"/>
        <v>0</v>
      </c>
      <c r="N23" s="571" t="s">
        <v>82</v>
      </c>
      <c r="O23" s="571"/>
      <c r="P23" s="572">
        <f t="shared" si="0"/>
        <v>0</v>
      </c>
      <c r="Q23" s="572"/>
      <c r="R23" s="573">
        <v>1</v>
      </c>
      <c r="S23" s="573"/>
      <c r="T23" s="95">
        <f t="shared" si="4"/>
        <v>0</v>
      </c>
      <c r="U23" s="475">
        <f t="shared" si="5"/>
        <v>0</v>
      </c>
    </row>
    <row r="24" spans="1:21" x14ac:dyDescent="0.25">
      <c r="A24" s="520" t="s">
        <v>83</v>
      </c>
      <c r="B24" s="520"/>
      <c r="C24" s="143">
        <v>0</v>
      </c>
      <c r="D24" s="143">
        <v>0</v>
      </c>
      <c r="E24" s="116">
        <f t="shared" si="1"/>
        <v>0</v>
      </c>
      <c r="F24" s="558">
        <f>'1461'!F24:G24</f>
        <v>5.7069999999999999</v>
      </c>
      <c r="G24" s="558"/>
      <c r="H24" s="80">
        <f t="shared" si="2"/>
        <v>0</v>
      </c>
      <c r="I24" s="101">
        <f t="shared" si="3"/>
        <v>0</v>
      </c>
      <c r="N24" s="571" t="s">
        <v>83</v>
      </c>
      <c r="O24" s="571"/>
      <c r="P24" s="572">
        <f t="shared" si="0"/>
        <v>0</v>
      </c>
      <c r="Q24" s="572"/>
      <c r="R24" s="573">
        <v>1</v>
      </c>
      <c r="S24" s="573"/>
      <c r="T24" s="95">
        <f t="shared" si="4"/>
        <v>0</v>
      </c>
      <c r="U24" s="475">
        <f t="shared" si="5"/>
        <v>0</v>
      </c>
    </row>
    <row r="25" spans="1:21" x14ac:dyDescent="0.25">
      <c r="A25" s="520" t="s">
        <v>84</v>
      </c>
      <c r="B25" s="520"/>
      <c r="C25" s="143">
        <v>0</v>
      </c>
      <c r="D25" s="143">
        <v>0</v>
      </c>
      <c r="E25" s="116">
        <f t="shared" si="1"/>
        <v>0</v>
      </c>
      <c r="F25" s="558">
        <f>'1461'!F25:G25</f>
        <v>5.7069999999999999</v>
      </c>
      <c r="G25" s="558"/>
      <c r="H25" s="80">
        <f t="shared" si="2"/>
        <v>0</v>
      </c>
      <c r="I25" s="101">
        <f t="shared" si="3"/>
        <v>0</v>
      </c>
      <c r="N25" s="571" t="s">
        <v>84</v>
      </c>
      <c r="O25" s="571"/>
      <c r="P25" s="572">
        <f t="shared" si="0"/>
        <v>0</v>
      </c>
      <c r="Q25" s="572"/>
      <c r="R25" s="573">
        <v>1</v>
      </c>
      <c r="S25" s="573"/>
      <c r="T25" s="95">
        <f t="shared" si="4"/>
        <v>0</v>
      </c>
      <c r="U25" s="475">
        <f t="shared" si="5"/>
        <v>0</v>
      </c>
    </row>
    <row r="26" spans="1:21" x14ac:dyDescent="0.25">
      <c r="A26" s="520" t="s">
        <v>85</v>
      </c>
      <c r="B26" s="520"/>
      <c r="C26" s="143">
        <v>43.47</v>
      </c>
      <c r="D26" s="143">
        <v>44.23</v>
      </c>
      <c r="E26" s="116">
        <f t="shared" si="1"/>
        <v>87.699999999999989</v>
      </c>
      <c r="F26" s="558">
        <f>'1461'!F26:G26</f>
        <v>1.208</v>
      </c>
      <c r="G26" s="558"/>
      <c r="H26" s="80">
        <f t="shared" si="2"/>
        <v>105.94159999999999</v>
      </c>
      <c r="I26" s="101">
        <f t="shared" si="3"/>
        <v>568578.62</v>
      </c>
      <c r="N26" s="571" t="s">
        <v>85</v>
      </c>
      <c r="O26" s="571"/>
      <c r="P26" s="572">
        <f t="shared" si="0"/>
        <v>0</v>
      </c>
      <c r="Q26" s="572"/>
      <c r="R26" s="573">
        <v>1</v>
      </c>
      <c r="S26" s="573"/>
      <c r="T26" s="95">
        <f t="shared" si="4"/>
        <v>0</v>
      </c>
      <c r="U26" s="475">
        <f t="shared" si="5"/>
        <v>0</v>
      </c>
    </row>
    <row r="27" spans="1:21" x14ac:dyDescent="0.25">
      <c r="A27" s="520" t="s">
        <v>86</v>
      </c>
      <c r="B27" s="520"/>
      <c r="C27" s="143">
        <v>16.23</v>
      </c>
      <c r="D27" s="143">
        <v>15.4</v>
      </c>
      <c r="E27" s="116">
        <f t="shared" si="1"/>
        <v>31.630000000000003</v>
      </c>
      <c r="F27" s="558">
        <f>'1461'!F27:G27</f>
        <v>1.208</v>
      </c>
      <c r="G27" s="558"/>
      <c r="H27" s="80">
        <f t="shared" si="2"/>
        <v>38.209000000000003</v>
      </c>
      <c r="I27" s="101">
        <f t="shared" si="3"/>
        <v>205064.11</v>
      </c>
      <c r="N27" s="571" t="s">
        <v>86</v>
      </c>
      <c r="O27" s="571"/>
      <c r="P27" s="572">
        <f t="shared" si="0"/>
        <v>0</v>
      </c>
      <c r="Q27" s="572"/>
      <c r="R27" s="573">
        <v>1</v>
      </c>
      <c r="S27" s="573"/>
      <c r="T27" s="95">
        <f t="shared" si="4"/>
        <v>0</v>
      </c>
      <c r="U27" s="475">
        <f t="shared" si="5"/>
        <v>0</v>
      </c>
    </row>
    <row r="28" spans="1:21" x14ac:dyDescent="0.25">
      <c r="A28" s="520" t="s">
        <v>87</v>
      </c>
      <c r="B28" s="520"/>
      <c r="C28" s="143">
        <v>0</v>
      </c>
      <c r="D28" s="143">
        <v>0</v>
      </c>
      <c r="E28" s="116">
        <f t="shared" si="1"/>
        <v>0</v>
      </c>
      <c r="F28" s="558">
        <f>'1461'!F28:G28</f>
        <v>1.208</v>
      </c>
      <c r="G28" s="558"/>
      <c r="H28" s="80">
        <f t="shared" si="2"/>
        <v>0</v>
      </c>
      <c r="I28" s="101">
        <f t="shared" si="3"/>
        <v>0</v>
      </c>
      <c r="N28" s="571" t="s">
        <v>87</v>
      </c>
      <c r="O28" s="571"/>
      <c r="P28" s="572">
        <f t="shared" si="0"/>
        <v>0</v>
      </c>
      <c r="Q28" s="572"/>
      <c r="R28" s="573">
        <v>1</v>
      </c>
      <c r="S28" s="573"/>
      <c r="T28" s="95">
        <f t="shared" si="4"/>
        <v>0</v>
      </c>
      <c r="U28" s="475">
        <f t="shared" si="5"/>
        <v>0</v>
      </c>
    </row>
    <row r="29" spans="1:21" x14ac:dyDescent="0.25">
      <c r="A29" s="520" t="s">
        <v>88</v>
      </c>
      <c r="B29" s="520"/>
      <c r="C29" s="110">
        <v>0</v>
      </c>
      <c r="D29" s="110">
        <v>0</v>
      </c>
      <c r="E29" s="154">
        <f t="shared" si="1"/>
        <v>0</v>
      </c>
      <c r="F29" s="558">
        <f>'1461'!F29:G29</f>
        <v>1.0720000000000001</v>
      </c>
      <c r="G29" s="558"/>
      <c r="H29" s="93">
        <f t="shared" si="2"/>
        <v>0</v>
      </c>
      <c r="I29" s="94">
        <f t="shared" si="3"/>
        <v>0</v>
      </c>
      <c r="N29" s="588" t="s">
        <v>88</v>
      </c>
      <c r="O29" s="588"/>
      <c r="P29" s="572">
        <f t="shared" si="0"/>
        <v>0</v>
      </c>
      <c r="Q29" s="572"/>
      <c r="R29" s="589">
        <v>1</v>
      </c>
      <c r="S29" s="589"/>
      <c r="T29" s="95">
        <f t="shared" si="4"/>
        <v>0</v>
      </c>
      <c r="U29" s="475">
        <f t="shared" si="5"/>
        <v>0</v>
      </c>
    </row>
    <row r="30" spans="1:21" x14ac:dyDescent="0.25">
      <c r="A30" s="523" t="s">
        <v>5</v>
      </c>
      <c r="B30" s="523"/>
      <c r="C30" s="94">
        <f>SUM(C14:C29)</f>
        <v>297.71000000000004</v>
      </c>
      <c r="D30" s="94">
        <f>SUM(D14:D29)</f>
        <v>294.28999999999996</v>
      </c>
      <c r="E30" s="94">
        <f>SUM(E14:E29)</f>
        <v>592</v>
      </c>
      <c r="F30" s="539"/>
      <c r="G30" s="539"/>
      <c r="H30" s="99">
        <f>SUM(H14:H29)</f>
        <v>657.0806</v>
      </c>
      <c r="I30" s="94">
        <f>SUM(I14:I29)</f>
        <v>3526489.85</v>
      </c>
      <c r="N30" s="590" t="s">
        <v>5</v>
      </c>
      <c r="O30" s="590"/>
      <c r="P30" s="591">
        <f>SUM(P14:P29)</f>
        <v>0</v>
      </c>
      <c r="Q30" s="591"/>
      <c r="R30" s="592"/>
      <c r="S30" s="592"/>
      <c r="T30" s="100">
        <f>SUM(T14:T29)</f>
        <v>0</v>
      </c>
      <c r="U30" s="475">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65" t="s">
        <v>26</v>
      </c>
      <c r="O35" s="565"/>
      <c r="P35" s="565"/>
      <c r="Q35" s="565"/>
      <c r="R35" s="565"/>
      <c r="S35" s="565"/>
      <c r="T35" s="565"/>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40" t="s">
        <v>50</v>
      </c>
      <c r="B37" s="540"/>
      <c r="C37" s="90" t="s">
        <v>2</v>
      </c>
      <c r="D37" s="90" t="s">
        <v>2</v>
      </c>
      <c r="E37" s="90" t="s">
        <v>2</v>
      </c>
      <c r="F37" s="630"/>
      <c r="G37" s="630"/>
      <c r="H37" s="630"/>
      <c r="I37" s="31" t="s">
        <v>394</v>
      </c>
      <c r="N37" s="583" t="s">
        <v>50</v>
      </c>
      <c r="O37" s="583"/>
      <c r="P37" s="587" t="s">
        <v>19</v>
      </c>
      <c r="Q37" s="587"/>
      <c r="R37" s="587"/>
      <c r="S37" s="587"/>
      <c r="T37" s="587"/>
      <c r="U37" s="19" t="str">
        <f>I37</f>
        <v>(WFTE x BSA x CWF x SDF)</v>
      </c>
    </row>
    <row r="38" spans="1:21" hidden="1" x14ac:dyDescent="0.25">
      <c r="A38" s="541" t="s">
        <v>45</v>
      </c>
      <c r="B38" s="541"/>
      <c r="C38" s="147">
        <v>0</v>
      </c>
      <c r="D38" s="147">
        <v>0</v>
      </c>
      <c r="E38" s="187">
        <f t="shared" ref="E38:E43" si="6">IF(D$44=0,C38*2,C38+D38)</f>
        <v>0</v>
      </c>
      <c r="F38" s="148"/>
      <c r="G38" s="148"/>
      <c r="H38" s="148"/>
      <c r="I38" s="111">
        <f>ROUND(ROUND(ROUND(E38*$C$8,4)*($H$8),2)*(MAX($H$9,1)),2)</f>
        <v>0</v>
      </c>
      <c r="N38" s="577" t="s">
        <v>45</v>
      </c>
      <c r="O38" s="577"/>
      <c r="P38" s="586">
        <f t="shared" ref="P38:P43" si="7">IF($H$130=1,E38,0)</f>
        <v>0</v>
      </c>
      <c r="Q38" s="586"/>
      <c r="R38" s="586"/>
      <c r="S38" s="586"/>
      <c r="T38" s="586"/>
      <c r="U38" s="98">
        <f>ROUND(ROUND(ROUND(P38*$C$8,4)*($H$8),2)*(MAX($H$9,1)),2)</f>
        <v>0</v>
      </c>
    </row>
    <row r="39" spans="1:21" hidden="1" x14ac:dyDescent="0.25">
      <c r="A39" s="520" t="s">
        <v>46</v>
      </c>
      <c r="B39" s="520"/>
      <c r="C39" s="150">
        <v>0</v>
      </c>
      <c r="D39" s="150">
        <v>0</v>
      </c>
      <c r="E39" s="116">
        <f t="shared" si="6"/>
        <v>0</v>
      </c>
      <c r="F39" s="151"/>
      <c r="G39" s="151"/>
      <c r="H39" s="151"/>
      <c r="I39" s="101">
        <f t="shared" ref="I39:I43" si="8">ROUND(ROUND(ROUND(E39*$C$8,4)*($H$8),2)*(MAX($H$9,1)),2)</f>
        <v>0</v>
      </c>
      <c r="N39" s="571" t="s">
        <v>46</v>
      </c>
      <c r="O39" s="571"/>
      <c r="P39" s="586">
        <f t="shared" si="7"/>
        <v>0</v>
      </c>
      <c r="Q39" s="586"/>
      <c r="R39" s="586"/>
      <c r="S39" s="586"/>
      <c r="T39" s="586"/>
      <c r="U39" s="98">
        <f t="shared" ref="U39:U43" si="9">ROUND(ROUND(ROUND(P39*$C$8,4)*($H$8),2)*(MAX($H$9,1)),2)</f>
        <v>0</v>
      </c>
    </row>
    <row r="40" spans="1:21" hidden="1" x14ac:dyDescent="0.25">
      <c r="A40" s="527" t="s">
        <v>47</v>
      </c>
      <c r="B40" s="527"/>
      <c r="C40" s="150">
        <v>0</v>
      </c>
      <c r="D40" s="150">
        <v>0</v>
      </c>
      <c r="E40" s="116">
        <f t="shared" si="6"/>
        <v>0</v>
      </c>
      <c r="F40" s="151"/>
      <c r="G40" s="151"/>
      <c r="H40" s="151"/>
      <c r="I40" s="101">
        <f t="shared" si="8"/>
        <v>0</v>
      </c>
      <c r="N40" s="593" t="s">
        <v>47</v>
      </c>
      <c r="O40" s="593"/>
      <c r="P40" s="586">
        <f t="shared" si="7"/>
        <v>0</v>
      </c>
      <c r="Q40" s="586"/>
      <c r="R40" s="586"/>
      <c r="S40" s="586"/>
      <c r="T40" s="586"/>
      <c r="U40" s="98">
        <f t="shared" si="9"/>
        <v>0</v>
      </c>
    </row>
    <row r="41" spans="1:21" hidden="1" x14ac:dyDescent="0.25">
      <c r="A41" s="520" t="s">
        <v>48</v>
      </c>
      <c r="B41" s="520"/>
      <c r="C41" s="150">
        <v>0</v>
      </c>
      <c r="D41" s="150">
        <v>0</v>
      </c>
      <c r="E41" s="116">
        <f t="shared" si="6"/>
        <v>0</v>
      </c>
      <c r="F41" s="151"/>
      <c r="G41" s="151"/>
      <c r="H41" s="151"/>
      <c r="I41" s="101">
        <f t="shared" si="8"/>
        <v>0</v>
      </c>
      <c r="N41" s="571" t="s">
        <v>48</v>
      </c>
      <c r="O41" s="571"/>
      <c r="P41" s="586">
        <f t="shared" si="7"/>
        <v>0</v>
      </c>
      <c r="Q41" s="586"/>
      <c r="R41" s="586"/>
      <c r="S41" s="586"/>
      <c r="T41" s="586"/>
      <c r="U41" s="98">
        <f t="shared" si="9"/>
        <v>0</v>
      </c>
    </row>
    <row r="42" spans="1:21" hidden="1" x14ac:dyDescent="0.25">
      <c r="A42" s="520" t="s">
        <v>49</v>
      </c>
      <c r="B42" s="520"/>
      <c r="C42" s="150">
        <v>0</v>
      </c>
      <c r="D42" s="150">
        <v>0</v>
      </c>
      <c r="E42" s="116">
        <f t="shared" si="6"/>
        <v>0</v>
      </c>
      <c r="F42" s="151"/>
      <c r="G42" s="151"/>
      <c r="H42" s="151"/>
      <c r="I42" s="101">
        <f t="shared" si="8"/>
        <v>0</v>
      </c>
      <c r="N42" s="571" t="s">
        <v>49</v>
      </c>
      <c r="O42" s="571"/>
      <c r="P42" s="586">
        <f t="shared" si="7"/>
        <v>0</v>
      </c>
      <c r="Q42" s="586"/>
      <c r="R42" s="586"/>
      <c r="S42" s="586"/>
      <c r="T42" s="586"/>
      <c r="U42" s="98">
        <f t="shared" si="9"/>
        <v>0</v>
      </c>
    </row>
    <row r="43" spans="1:21" hidden="1" x14ac:dyDescent="0.25">
      <c r="A43" s="520" t="s">
        <v>41</v>
      </c>
      <c r="B43" s="520"/>
      <c r="C43" s="149">
        <v>0</v>
      </c>
      <c r="D43" s="149">
        <v>0</v>
      </c>
      <c r="E43" s="154">
        <f t="shared" si="6"/>
        <v>0</v>
      </c>
      <c r="F43" s="151"/>
      <c r="G43" s="151"/>
      <c r="H43" s="151"/>
      <c r="I43" s="94">
        <f t="shared" si="8"/>
        <v>0</v>
      </c>
      <c r="N43" s="588" t="s">
        <v>41</v>
      </c>
      <c r="O43" s="588"/>
      <c r="P43" s="586">
        <f t="shared" si="7"/>
        <v>0</v>
      </c>
      <c r="Q43" s="586"/>
      <c r="R43" s="586"/>
      <c r="S43" s="586"/>
      <c r="T43" s="586"/>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6" t="s">
        <v>43</v>
      </c>
      <c r="O44" s="616"/>
      <c r="P44" s="616"/>
      <c r="Q44" s="616"/>
      <c r="R44" s="33">
        <f>SUM(P38:R43)</f>
        <v>0</v>
      </c>
      <c r="S44" s="592" t="s">
        <v>51</v>
      </c>
      <c r="T44" s="59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657.0806</v>
      </c>
      <c r="F46" s="34"/>
      <c r="G46" s="106"/>
      <c r="H46" s="107" t="s">
        <v>98</v>
      </c>
      <c r="I46" s="94">
        <f>SUM(I44,I30)</f>
        <v>3526489.85</v>
      </c>
      <c r="N46" s="616" t="s">
        <v>44</v>
      </c>
      <c r="O46" s="616"/>
      <c r="P46" s="616"/>
      <c r="Q46" s="616"/>
      <c r="R46" s="35">
        <f>R44+T30</f>
        <v>0</v>
      </c>
      <c r="S46" s="592" t="s">
        <v>42</v>
      </c>
      <c r="T46" s="59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395</v>
      </c>
      <c r="B48" s="26"/>
      <c r="C48" s="26"/>
      <c r="D48" s="26"/>
      <c r="E48" s="26"/>
      <c r="F48" s="34"/>
      <c r="G48" s="27"/>
      <c r="H48" s="27"/>
      <c r="I48" s="101"/>
      <c r="N48" s="385" t="s">
        <v>395</v>
      </c>
      <c r="O48" s="28"/>
      <c r="P48" s="28"/>
      <c r="Q48" s="28"/>
      <c r="R48" s="35"/>
      <c r="S48" s="30"/>
      <c r="T48" s="30"/>
      <c r="U48" s="404"/>
    </row>
    <row r="49" spans="1:22" s="393" customFormat="1" ht="9" customHeight="1" x14ac:dyDescent="0.2">
      <c r="A49" s="483" t="s">
        <v>396</v>
      </c>
      <c r="F49" s="394"/>
      <c r="G49" s="395"/>
      <c r="H49" s="395"/>
      <c r="I49" s="396"/>
      <c r="N49" s="405" t="s">
        <v>396</v>
      </c>
      <c r="O49" s="397"/>
      <c r="P49" s="397"/>
      <c r="Q49" s="397"/>
      <c r="R49" s="398"/>
      <c r="S49" s="399"/>
      <c r="T49" s="399"/>
      <c r="U49" s="406"/>
    </row>
    <row r="50" spans="1:22" s="393" customFormat="1" ht="11.25" customHeight="1" x14ac:dyDescent="0.2">
      <c r="A50" s="485" t="s">
        <v>397</v>
      </c>
      <c r="F50" s="394"/>
      <c r="G50" s="395"/>
      <c r="H50" s="395"/>
      <c r="I50" s="396"/>
      <c r="N50" s="407" t="s">
        <v>397</v>
      </c>
      <c r="O50" s="397"/>
      <c r="P50" s="397"/>
      <c r="Q50" s="397"/>
      <c r="R50" s="398"/>
      <c r="S50" s="399"/>
      <c r="T50" s="399"/>
      <c r="U50" s="406"/>
    </row>
    <row r="51" spans="1:22" x14ac:dyDescent="0.25">
      <c r="A51" s="391"/>
      <c r="B51" s="401" t="s">
        <v>398</v>
      </c>
      <c r="C51" s="26"/>
      <c r="D51" s="26"/>
      <c r="E51" s="43" t="s">
        <v>399</v>
      </c>
      <c r="F51" s="402">
        <f>I46</f>
        <v>3526489.85</v>
      </c>
      <c r="G51" s="109" t="s">
        <v>6</v>
      </c>
      <c r="H51" s="403">
        <v>4.5199999999999997E-2</v>
      </c>
      <c r="I51" s="101">
        <f>ROUND(F51*H51,2)</f>
        <v>159397.34</v>
      </c>
      <c r="N51" s="408"/>
      <c r="O51" s="409" t="s">
        <v>398</v>
      </c>
      <c r="P51" s="28"/>
      <c r="Q51" s="44" t="s">
        <v>399</v>
      </c>
      <c r="R51" s="410">
        <f>U30</f>
        <v>0</v>
      </c>
      <c r="S51" s="411" t="s">
        <v>6</v>
      </c>
      <c r="T51" s="412">
        <v>4.5199999999999997E-2</v>
      </c>
      <c r="U51" s="404">
        <f>ROUND(R51*T51,2)</f>
        <v>0</v>
      </c>
    </row>
    <row r="52" spans="1:22" x14ac:dyDescent="0.25">
      <c r="A52" s="26"/>
      <c r="B52" s="81" t="s">
        <v>400</v>
      </c>
      <c r="C52" s="26"/>
      <c r="D52" s="26"/>
      <c r="E52" s="43" t="s">
        <v>399</v>
      </c>
      <c r="F52" s="402">
        <f>I46</f>
        <v>3526489.85</v>
      </c>
      <c r="G52" s="109" t="s">
        <v>6</v>
      </c>
      <c r="H52" s="403">
        <v>1.41E-2</v>
      </c>
      <c r="I52" s="101">
        <f>ROUND(F52*H52,2)</f>
        <v>49723.51</v>
      </c>
      <c r="N52" s="28"/>
      <c r="O52" s="385" t="s">
        <v>400</v>
      </c>
      <c r="P52" s="28"/>
      <c r="Q52" s="44" t="s">
        <v>399</v>
      </c>
      <c r="R52" s="410">
        <f>U30</f>
        <v>0</v>
      </c>
      <c r="S52" s="411" t="s">
        <v>6</v>
      </c>
      <c r="T52" s="412">
        <v>1.41E-2</v>
      </c>
      <c r="U52" s="413">
        <f>ROUND(R52*T52,2)</f>
        <v>0</v>
      </c>
    </row>
    <row r="53" spans="1:22" x14ac:dyDescent="0.25">
      <c r="A53" s="26"/>
      <c r="B53" s="81" t="s">
        <v>401</v>
      </c>
      <c r="C53" s="26"/>
      <c r="D53" s="26"/>
      <c r="E53" s="43"/>
      <c r="F53" s="402"/>
      <c r="G53" s="109"/>
      <c r="H53" s="403"/>
      <c r="I53" s="97">
        <f>SUM(I51:I52)</f>
        <v>209120.85</v>
      </c>
      <c r="N53" s="28"/>
      <c r="O53" s="385" t="s">
        <v>401</v>
      </c>
      <c r="P53" s="28"/>
      <c r="Q53" s="44"/>
      <c r="R53" s="410"/>
      <c r="S53" s="411"/>
      <c r="T53" s="412"/>
      <c r="U53" s="404">
        <f>SUM(U51:U52)</f>
        <v>0</v>
      </c>
    </row>
    <row r="54" spans="1:22" x14ac:dyDescent="0.25">
      <c r="C54" s="3" t="str">
        <f>'1461'!C54</f>
        <v/>
      </c>
      <c r="D54" s="3" t="str">
        <f>'1461'!D54</f>
        <v/>
      </c>
      <c r="G54" s="42"/>
      <c r="H54" s="114"/>
      <c r="I54" s="114"/>
      <c r="N54" s="448"/>
      <c r="O54" s="51"/>
      <c r="P54" s="51" t="str">
        <f>'1461'!P54</f>
        <v/>
      </c>
      <c r="Q54" s="51" t="str">
        <f>'1461'!Q54</f>
        <v/>
      </c>
      <c r="R54" s="51"/>
      <c r="S54" s="51"/>
      <c r="T54" s="464"/>
      <c r="U54" s="465"/>
      <c r="V54" s="114"/>
    </row>
    <row r="55" spans="1:22" x14ac:dyDescent="0.25">
      <c r="A55" s="447"/>
      <c r="B55" s="447"/>
      <c r="C55" s="88" t="str">
        <f>'1461'!C55</f>
        <v>Oct 2022</v>
      </c>
      <c r="D55" s="334" t="str">
        <f>'1461'!D55</f>
        <v>Feb 2023</v>
      </c>
      <c r="E55" s="89" t="s">
        <v>8</v>
      </c>
      <c r="F55" s="46" t="s">
        <v>440</v>
      </c>
      <c r="G55" s="109" t="s">
        <v>441</v>
      </c>
      <c r="H55" s="456" t="s">
        <v>442</v>
      </c>
      <c r="I55" s="101"/>
      <c r="N55" s="450"/>
      <c r="O55" s="450"/>
      <c r="P55" s="466"/>
      <c r="Q55" s="467"/>
      <c r="R55" s="468"/>
      <c r="S55" s="470" t="s">
        <v>441</v>
      </c>
      <c r="T55" s="471" t="s">
        <v>442</v>
      </c>
      <c r="U55" s="469"/>
      <c r="V55" s="426"/>
    </row>
    <row r="56" spans="1:22" x14ac:dyDescent="0.25">
      <c r="A56" s="36" t="s">
        <v>443</v>
      </c>
      <c r="B56" s="36"/>
      <c r="C56" s="325" t="str">
        <f>'1461'!C56</f>
        <v>FTE</v>
      </c>
      <c r="D56" s="325" t="str">
        <f>'1461'!D56</f>
        <v>FTE</v>
      </c>
      <c r="E56" s="90" t="s">
        <v>2</v>
      </c>
      <c r="F56" s="441" t="s">
        <v>444</v>
      </c>
      <c r="G56" s="443" t="s">
        <v>444</v>
      </c>
      <c r="H56" s="457" t="s">
        <v>445</v>
      </c>
      <c r="I56" s="36"/>
      <c r="N56" s="461" t="s">
        <v>443</v>
      </c>
      <c r="O56" s="461"/>
      <c r="P56" s="623" t="s">
        <v>2</v>
      </c>
      <c r="Q56" s="623"/>
      <c r="R56" s="461" t="s">
        <v>449</v>
      </c>
      <c r="S56" s="452" t="s">
        <v>444</v>
      </c>
      <c r="T56" s="472" t="s">
        <v>445</v>
      </c>
      <c r="U56" s="461"/>
      <c r="V56" s="460"/>
    </row>
    <row r="57" spans="1:22" x14ac:dyDescent="0.25">
      <c r="A57" s="535" t="s">
        <v>447</v>
      </c>
      <c r="B57" s="535"/>
      <c r="C57" s="143">
        <v>18.5</v>
      </c>
      <c r="D57" s="143">
        <v>20.5</v>
      </c>
      <c r="E57" s="116">
        <f t="shared" ref="E57:E65" si="10">IF(D$72=0,C57*2,C57+D57)</f>
        <v>39</v>
      </c>
      <c r="F57" s="445" t="s">
        <v>439</v>
      </c>
      <c r="G57" s="445">
        <v>251</v>
      </c>
      <c r="H57" s="459">
        <f>'1461'!H57</f>
        <v>1047</v>
      </c>
      <c r="I57" s="101">
        <f>ROUND(E57*H57,2)</f>
        <v>40833</v>
      </c>
      <c r="N57" s="621" t="s">
        <v>447</v>
      </c>
      <c r="O57" s="621"/>
      <c r="P57" s="624"/>
      <c r="Q57" s="624"/>
      <c r="R57" s="451" t="s">
        <v>439</v>
      </c>
      <c r="S57" s="451">
        <v>251</v>
      </c>
      <c r="T57" s="462">
        <f>H57</f>
        <v>1047</v>
      </c>
      <c r="U57" s="476">
        <f>ROUND(P57*T57,2)</f>
        <v>0</v>
      </c>
      <c r="V57" s="426"/>
    </row>
    <row r="58" spans="1:22" x14ac:dyDescent="0.25">
      <c r="A58" s="536"/>
      <c r="B58" s="536"/>
      <c r="C58" s="143">
        <v>5</v>
      </c>
      <c r="D58" s="143">
        <v>4.5</v>
      </c>
      <c r="E58" s="116">
        <f t="shared" si="10"/>
        <v>9.5</v>
      </c>
      <c r="F58" s="445" t="s">
        <v>439</v>
      </c>
      <c r="G58" s="445">
        <v>252</v>
      </c>
      <c r="H58" s="459">
        <f>'1461'!H58</f>
        <v>3380</v>
      </c>
      <c r="I58" s="101">
        <f t="shared" ref="I58:I65" si="11">ROUND(E58*H58,2)</f>
        <v>32110</v>
      </c>
      <c r="N58" s="622"/>
      <c r="O58" s="622"/>
      <c r="P58" s="625"/>
      <c r="Q58" s="625"/>
      <c r="R58" s="451" t="s">
        <v>439</v>
      </c>
      <c r="S58" s="451">
        <v>252</v>
      </c>
      <c r="T58" s="462">
        <f t="shared" ref="T58:T65" si="12">H58</f>
        <v>3380</v>
      </c>
      <c r="U58" s="476">
        <f t="shared" ref="U58:U65" si="13">ROUND(P58*T58,2)</f>
        <v>0</v>
      </c>
      <c r="V58" s="426"/>
    </row>
    <row r="59" spans="1:22" x14ac:dyDescent="0.25">
      <c r="A59" s="536"/>
      <c r="B59" s="536"/>
      <c r="C59" s="143">
        <v>0.5</v>
      </c>
      <c r="D59" s="143">
        <v>0.5</v>
      </c>
      <c r="E59" s="116">
        <f t="shared" si="10"/>
        <v>1</v>
      </c>
      <c r="F59" s="445" t="s">
        <v>439</v>
      </c>
      <c r="G59" s="445">
        <v>253</v>
      </c>
      <c r="H59" s="459">
        <f>'1461'!H59</f>
        <v>6896</v>
      </c>
      <c r="I59" s="101">
        <f t="shared" si="11"/>
        <v>6896</v>
      </c>
      <c r="N59" s="622"/>
      <c r="O59" s="622"/>
      <c r="P59" s="625"/>
      <c r="Q59" s="625"/>
      <c r="R59" s="451" t="s">
        <v>439</v>
      </c>
      <c r="S59" s="451">
        <v>253</v>
      </c>
      <c r="T59" s="462">
        <f t="shared" si="12"/>
        <v>6896</v>
      </c>
      <c r="U59" s="476">
        <f t="shared" si="13"/>
        <v>0</v>
      </c>
      <c r="V59" s="426"/>
    </row>
    <row r="60" spans="1:22" x14ac:dyDescent="0.25">
      <c r="A60" s="536"/>
      <c r="B60" s="536"/>
      <c r="C60" s="143">
        <v>13.5</v>
      </c>
      <c r="D60" s="143">
        <v>14.08</v>
      </c>
      <c r="E60" s="116">
        <f t="shared" si="10"/>
        <v>27.58</v>
      </c>
      <c r="F60" s="446" t="s">
        <v>13</v>
      </c>
      <c r="G60" s="445">
        <v>251</v>
      </c>
      <c r="H60" s="459">
        <f>'1461'!H60</f>
        <v>1173</v>
      </c>
      <c r="I60" s="101">
        <f t="shared" si="11"/>
        <v>32351.34</v>
      </c>
      <c r="N60" s="622"/>
      <c r="O60" s="622"/>
      <c r="P60" s="625"/>
      <c r="Q60" s="625"/>
      <c r="R60" s="40" t="s">
        <v>13</v>
      </c>
      <c r="S60" s="451">
        <v>251</v>
      </c>
      <c r="T60" s="462">
        <f t="shared" si="12"/>
        <v>1173</v>
      </c>
      <c r="U60" s="476">
        <f t="shared" si="13"/>
        <v>0</v>
      </c>
      <c r="V60" s="426"/>
    </row>
    <row r="61" spans="1:22" x14ac:dyDescent="0.25">
      <c r="A61" s="536"/>
      <c r="B61" s="536"/>
      <c r="C61" s="143">
        <v>0.5</v>
      </c>
      <c r="D61" s="143">
        <v>0.4</v>
      </c>
      <c r="E61" s="116">
        <f t="shared" si="10"/>
        <v>0.9</v>
      </c>
      <c r="F61" s="446" t="s">
        <v>13</v>
      </c>
      <c r="G61" s="445">
        <v>252</v>
      </c>
      <c r="H61" s="459">
        <f>'1461'!H61</f>
        <v>3506</v>
      </c>
      <c r="I61" s="101">
        <f t="shared" si="11"/>
        <v>3155.4</v>
      </c>
      <c r="N61" s="622"/>
      <c r="O61" s="622"/>
      <c r="P61" s="625"/>
      <c r="Q61" s="625"/>
      <c r="R61" s="40" t="s">
        <v>13</v>
      </c>
      <c r="S61" s="451">
        <v>252</v>
      </c>
      <c r="T61" s="462">
        <f t="shared" si="12"/>
        <v>3506</v>
      </c>
      <c r="U61" s="476">
        <f t="shared" si="13"/>
        <v>0</v>
      </c>
      <c r="V61" s="426"/>
    </row>
    <row r="62" spans="1:22" x14ac:dyDescent="0.25">
      <c r="A62" s="536"/>
      <c r="B62" s="536"/>
      <c r="C62" s="143">
        <v>0</v>
      </c>
      <c r="D62" s="143">
        <v>0</v>
      </c>
      <c r="E62" s="116">
        <f t="shared" si="10"/>
        <v>0</v>
      </c>
      <c r="F62" s="446" t="s">
        <v>13</v>
      </c>
      <c r="G62" s="445">
        <v>253</v>
      </c>
      <c r="H62" s="459">
        <f>'1461'!H62</f>
        <v>7023</v>
      </c>
      <c r="I62" s="101">
        <f t="shared" si="11"/>
        <v>0</v>
      </c>
      <c r="N62" s="622"/>
      <c r="O62" s="622"/>
      <c r="P62" s="625"/>
      <c r="Q62" s="625"/>
      <c r="R62" s="40" t="s">
        <v>13</v>
      </c>
      <c r="S62" s="451">
        <v>253</v>
      </c>
      <c r="T62" s="462">
        <f t="shared" si="12"/>
        <v>7023</v>
      </c>
      <c r="U62" s="476">
        <f t="shared" si="13"/>
        <v>0</v>
      </c>
      <c r="V62" s="426"/>
    </row>
    <row r="63" spans="1:22" x14ac:dyDescent="0.25">
      <c r="A63" s="536"/>
      <c r="B63" s="536"/>
      <c r="C63" s="143">
        <v>0</v>
      </c>
      <c r="D63" s="143">
        <v>0</v>
      </c>
      <c r="E63" s="116">
        <f t="shared" si="10"/>
        <v>0</v>
      </c>
      <c r="F63" s="446" t="s">
        <v>14</v>
      </c>
      <c r="G63" s="445">
        <v>251</v>
      </c>
      <c r="H63" s="459">
        <f>'1461'!H63</f>
        <v>835</v>
      </c>
      <c r="I63" s="101">
        <f t="shared" si="11"/>
        <v>0</v>
      </c>
      <c r="N63" s="622"/>
      <c r="O63" s="622"/>
      <c r="P63" s="625"/>
      <c r="Q63" s="625"/>
      <c r="R63" s="40" t="s">
        <v>14</v>
      </c>
      <c r="S63" s="451">
        <v>251</v>
      </c>
      <c r="T63" s="462">
        <f t="shared" si="12"/>
        <v>835</v>
      </c>
      <c r="U63" s="476">
        <f t="shared" si="13"/>
        <v>0</v>
      </c>
      <c r="V63" s="426"/>
    </row>
    <row r="64" spans="1:22" x14ac:dyDescent="0.25">
      <c r="A64" s="536"/>
      <c r="B64" s="536"/>
      <c r="C64" s="143">
        <v>0</v>
      </c>
      <c r="D64" s="143">
        <v>0</v>
      </c>
      <c r="E64" s="116">
        <f t="shared" si="10"/>
        <v>0</v>
      </c>
      <c r="F64" s="446" t="s">
        <v>14</v>
      </c>
      <c r="G64" s="445">
        <v>252</v>
      </c>
      <c r="H64" s="459">
        <f>'1461'!H64</f>
        <v>3168</v>
      </c>
      <c r="I64" s="101">
        <f t="shared" si="11"/>
        <v>0</v>
      </c>
      <c r="N64" s="622"/>
      <c r="O64" s="622"/>
      <c r="P64" s="625"/>
      <c r="Q64" s="625"/>
      <c r="R64" s="40" t="s">
        <v>14</v>
      </c>
      <c r="S64" s="451">
        <v>252</v>
      </c>
      <c r="T64" s="462">
        <f t="shared" si="12"/>
        <v>3168</v>
      </c>
      <c r="U64" s="476">
        <f t="shared" si="13"/>
        <v>0</v>
      </c>
      <c r="V64" s="426"/>
    </row>
    <row r="65" spans="1:22" ht="16.5" thickBot="1" x14ac:dyDescent="0.3">
      <c r="A65" s="536"/>
      <c r="B65" s="536"/>
      <c r="C65" s="143">
        <v>0</v>
      </c>
      <c r="D65" s="143">
        <v>0</v>
      </c>
      <c r="E65" s="116">
        <f t="shared" si="10"/>
        <v>0</v>
      </c>
      <c r="F65" s="446" t="s">
        <v>14</v>
      </c>
      <c r="G65" s="445">
        <v>253</v>
      </c>
      <c r="H65" s="459">
        <f>'1461'!H65</f>
        <v>6685</v>
      </c>
      <c r="I65" s="101">
        <f t="shared" si="11"/>
        <v>0</v>
      </c>
      <c r="N65" s="622"/>
      <c r="O65" s="622"/>
      <c r="P65" s="626"/>
      <c r="Q65" s="626"/>
      <c r="R65" s="40" t="s">
        <v>14</v>
      </c>
      <c r="S65" s="451">
        <v>253</v>
      </c>
      <c r="T65" s="462">
        <f t="shared" si="12"/>
        <v>6685</v>
      </c>
      <c r="U65" s="477">
        <f t="shared" si="13"/>
        <v>0</v>
      </c>
      <c r="V65" s="426"/>
    </row>
    <row r="66" spans="1:22" ht="16.5" thickBot="1" x14ac:dyDescent="0.3">
      <c r="A66" s="442"/>
      <c r="C66" s="97">
        <f>SUM(C57:C65)</f>
        <v>38</v>
      </c>
      <c r="D66" s="97">
        <f>SUM(D57:D65)</f>
        <v>39.979999999999997</v>
      </c>
      <c r="E66" s="97">
        <f>SUM(E57:E65)</f>
        <v>77.98</v>
      </c>
      <c r="F66" s="523" t="s">
        <v>448</v>
      </c>
      <c r="G66" s="523"/>
      <c r="H66" s="523"/>
      <c r="I66" s="97">
        <f>SUM(I57:I65)</f>
        <v>115345.73999999999</v>
      </c>
      <c r="N66" s="448"/>
      <c r="O66" s="51"/>
      <c r="P66" s="627">
        <f>SUM(P57:P65)</f>
        <v>0</v>
      </c>
      <c r="Q66" s="627"/>
      <c r="R66" s="616" t="s">
        <v>448</v>
      </c>
      <c r="S66" s="616"/>
      <c r="T66" s="616"/>
      <c r="U66" s="478">
        <f>SUM(U57:U65)</f>
        <v>0</v>
      </c>
      <c r="V66" s="426"/>
    </row>
    <row r="67" spans="1:22" x14ac:dyDescent="0.25">
      <c r="A67" s="442"/>
      <c r="C67" s="101"/>
      <c r="D67" s="101"/>
      <c r="E67" s="101"/>
      <c r="F67" s="447"/>
      <c r="G67" s="447"/>
      <c r="H67" s="447"/>
      <c r="I67" s="101"/>
      <c r="N67" s="448"/>
      <c r="O67" s="448"/>
      <c r="P67" s="448"/>
      <c r="Q67" s="448"/>
      <c r="R67" s="448"/>
      <c r="S67" s="448"/>
      <c r="T67" s="449"/>
      <c r="U67" s="449"/>
    </row>
    <row r="68" spans="1:22" x14ac:dyDescent="0.25">
      <c r="A68" s="444" t="s">
        <v>450</v>
      </c>
      <c r="N68" s="455" t="s">
        <v>458</v>
      </c>
      <c r="O68" s="51"/>
      <c r="P68" s="51"/>
      <c r="Q68" s="51"/>
      <c r="R68" s="51"/>
      <c r="S68" s="51"/>
      <c r="T68" s="51"/>
      <c r="U68" s="51"/>
    </row>
    <row r="69" spans="1:22" x14ac:dyDescent="0.25">
      <c r="A69" s="519" t="s">
        <v>402</v>
      </c>
      <c r="B69" s="520"/>
      <c r="C69" s="112">
        <f>E30</f>
        <v>592</v>
      </c>
      <c r="D69" s="533" t="s">
        <v>413</v>
      </c>
      <c r="E69" s="533"/>
      <c r="F69" s="533"/>
      <c r="G69" s="533"/>
      <c r="H69" s="301">
        <f>'1461'!H69</f>
        <v>203305.63</v>
      </c>
      <c r="I69" s="113"/>
      <c r="N69" s="594" t="s">
        <v>406</v>
      </c>
      <c r="O69" s="571"/>
      <c r="P69" s="41">
        <f>P30</f>
        <v>0</v>
      </c>
      <c r="Q69" s="599" t="s">
        <v>408</v>
      </c>
      <c r="R69" s="600"/>
      <c r="S69" s="600"/>
      <c r="T69" s="598">
        <f>H69</f>
        <v>203305.63</v>
      </c>
      <c r="U69" s="598"/>
    </row>
    <row r="70" spans="1:22" x14ac:dyDescent="0.25">
      <c r="B70" s="69"/>
      <c r="G70" s="42" t="s">
        <v>12</v>
      </c>
      <c r="H70" s="114">
        <f>ROUND(C69/H69,6)</f>
        <v>2.9120000000000001E-3</v>
      </c>
      <c r="I70" s="115"/>
      <c r="N70" s="571"/>
      <c r="O70" s="571"/>
      <c r="P70" s="571"/>
      <c r="Q70" s="571"/>
      <c r="R70" s="571"/>
      <c r="S70" s="571"/>
      <c r="T70" s="601">
        <f>ROUND(P69/T69,6)</f>
        <v>0</v>
      </c>
      <c r="U70" s="601"/>
    </row>
    <row r="71" spans="1:22" x14ac:dyDescent="0.25">
      <c r="A71" s="444" t="s">
        <v>451</v>
      </c>
      <c r="N71" s="455" t="s">
        <v>459</v>
      </c>
      <c r="O71" s="51"/>
      <c r="P71" s="51"/>
      <c r="Q71" s="51"/>
      <c r="R71" s="51"/>
      <c r="S71" s="51"/>
      <c r="T71" s="51"/>
      <c r="U71" s="51"/>
    </row>
    <row r="72" spans="1:22" x14ac:dyDescent="0.25">
      <c r="A72" s="519" t="s">
        <v>403</v>
      </c>
      <c r="B72" s="520"/>
      <c r="C72" s="112">
        <f>H30</f>
        <v>657.0806</v>
      </c>
      <c r="D72" s="533" t="s">
        <v>414</v>
      </c>
      <c r="E72" s="533"/>
      <c r="F72" s="533"/>
      <c r="G72" s="533"/>
      <c r="H72" s="302">
        <f>'1461'!H72</f>
        <v>227540.36</v>
      </c>
      <c r="I72" s="116"/>
      <c r="N72" s="594" t="s">
        <v>407</v>
      </c>
      <c r="O72" s="571"/>
      <c r="P72" s="41">
        <f>T30</f>
        <v>0</v>
      </c>
      <c r="Q72" s="599" t="s">
        <v>409</v>
      </c>
      <c r="R72" s="600"/>
      <c r="S72" s="600"/>
      <c r="T72" s="598">
        <f>H72</f>
        <v>227540.36</v>
      </c>
      <c r="U72" s="598"/>
    </row>
    <row r="73" spans="1:22" x14ac:dyDescent="0.25">
      <c r="G73" s="42" t="s">
        <v>12</v>
      </c>
      <c r="H73" s="114">
        <f>ROUND(C72/H72,6)</f>
        <v>2.8879999999999999E-3</v>
      </c>
      <c r="I73" s="114"/>
      <c r="N73" s="571"/>
      <c r="O73" s="571"/>
      <c r="P73" s="571"/>
      <c r="Q73" s="571"/>
      <c r="R73" s="571"/>
      <c r="S73" s="571"/>
      <c r="T73" s="601">
        <f>ROUND(P72/T72,6)</f>
        <v>0</v>
      </c>
      <c r="U73" s="601"/>
    </row>
    <row r="74" spans="1:22" x14ac:dyDescent="0.25">
      <c r="A74" s="419" t="s">
        <v>452</v>
      </c>
      <c r="B74" s="416"/>
      <c r="C74" s="416"/>
      <c r="D74" s="416"/>
      <c r="E74" s="416"/>
      <c r="F74" s="416"/>
      <c r="G74" s="416"/>
      <c r="H74" s="416"/>
      <c r="I74" s="416"/>
      <c r="N74" s="418" t="s">
        <v>460</v>
      </c>
      <c r="O74" s="417"/>
      <c r="P74" s="417"/>
      <c r="Q74" s="417"/>
      <c r="R74" s="417"/>
      <c r="S74" s="417"/>
      <c r="T74" s="417"/>
      <c r="U74" s="417"/>
      <c r="V74" s="416"/>
    </row>
    <row r="75" spans="1:22" x14ac:dyDescent="0.25">
      <c r="A75" s="519" t="s">
        <v>404</v>
      </c>
      <c r="B75" s="520"/>
      <c r="C75" s="112">
        <f>E30</f>
        <v>592</v>
      </c>
      <c r="D75" s="532" t="s">
        <v>415</v>
      </c>
      <c r="E75" s="532"/>
      <c r="F75" s="532"/>
      <c r="G75" s="532"/>
      <c r="H75" s="301">
        <f>'1461'!H75</f>
        <v>186907.73</v>
      </c>
      <c r="I75" s="113"/>
      <c r="N75" s="594" t="s">
        <v>405</v>
      </c>
      <c r="O75" s="571"/>
      <c r="P75" s="41">
        <f>P30</f>
        <v>0</v>
      </c>
      <c r="Q75" s="604" t="s">
        <v>410</v>
      </c>
      <c r="R75" s="605"/>
      <c r="S75" s="605"/>
      <c r="T75" s="598">
        <f>H75</f>
        <v>186907.73</v>
      </c>
      <c r="U75" s="598"/>
    </row>
    <row r="76" spans="1:22" x14ac:dyDescent="0.25">
      <c r="B76" s="69"/>
      <c r="G76" s="42" t="s">
        <v>12</v>
      </c>
      <c r="H76" s="114">
        <f>ROUND(C75/H75,6)</f>
        <v>3.1670000000000001E-3</v>
      </c>
      <c r="I76" s="115"/>
      <c r="N76" s="571"/>
      <c r="O76" s="571"/>
      <c r="P76" s="571"/>
      <c r="Q76" s="571"/>
      <c r="R76" s="571"/>
      <c r="S76" s="571"/>
      <c r="T76" s="601">
        <f>ROUND(P75/T75,6)</f>
        <v>0</v>
      </c>
      <c r="U76" s="601"/>
    </row>
    <row r="77" spans="1:22" x14ac:dyDescent="0.25">
      <c r="A77" s="419" t="s">
        <v>453</v>
      </c>
      <c r="B77" s="416"/>
      <c r="C77" s="416"/>
      <c r="D77" s="416"/>
      <c r="E77" s="416"/>
      <c r="F77" s="416"/>
      <c r="G77" s="416"/>
      <c r="H77" s="416"/>
      <c r="I77" s="416"/>
      <c r="N77" s="418" t="s">
        <v>461</v>
      </c>
      <c r="O77" s="417"/>
      <c r="P77" s="417"/>
      <c r="Q77" s="417"/>
      <c r="R77" s="417"/>
      <c r="S77" s="417"/>
      <c r="T77" s="417"/>
      <c r="U77" s="417"/>
      <c r="V77" s="416"/>
    </row>
    <row r="78" spans="1:22" x14ac:dyDescent="0.25">
      <c r="A78" s="519" t="s">
        <v>404</v>
      </c>
      <c r="B78" s="520"/>
      <c r="C78" s="112">
        <f>E30</f>
        <v>592</v>
      </c>
      <c r="D78" s="528" t="s">
        <v>416</v>
      </c>
      <c r="E78" s="528"/>
      <c r="F78" s="528"/>
      <c r="G78" s="528"/>
      <c r="H78" s="301">
        <f>'1461'!H78</f>
        <v>203080.55</v>
      </c>
      <c r="I78" s="113"/>
      <c r="N78" s="594" t="s">
        <v>405</v>
      </c>
      <c r="O78" s="571"/>
      <c r="P78" s="41">
        <f>P30</f>
        <v>0</v>
      </c>
      <c r="Q78" s="602" t="s">
        <v>411</v>
      </c>
      <c r="R78" s="603"/>
      <c r="S78" s="603"/>
      <c r="T78" s="598">
        <f>H78</f>
        <v>203080.55</v>
      </c>
      <c r="U78" s="598"/>
    </row>
    <row r="79" spans="1:22" x14ac:dyDescent="0.25">
      <c r="B79" s="69"/>
      <c r="G79" s="42" t="s">
        <v>12</v>
      </c>
      <c r="H79" s="114">
        <f>ROUND(C78/H78,6)</f>
        <v>2.9150000000000001E-3</v>
      </c>
      <c r="I79" s="115"/>
      <c r="N79" s="571"/>
      <c r="O79" s="571"/>
      <c r="P79" s="571"/>
      <c r="Q79" s="571"/>
      <c r="R79" s="571"/>
      <c r="S79" s="571"/>
      <c r="T79" s="601">
        <f>ROUND(P78/T78,6)</f>
        <v>0</v>
      </c>
      <c r="U79" s="601"/>
    </row>
    <row r="80" spans="1:22" x14ac:dyDescent="0.25">
      <c r="A80" s="419" t="s">
        <v>454</v>
      </c>
      <c r="B80" s="416"/>
      <c r="C80" s="416"/>
      <c r="D80" s="416"/>
      <c r="E80" s="416"/>
      <c r="F80" s="416"/>
      <c r="G80" s="416"/>
      <c r="H80" s="416"/>
      <c r="I80" s="416"/>
      <c r="N80" s="418" t="s">
        <v>462</v>
      </c>
      <c r="O80" s="417"/>
      <c r="P80" s="417"/>
      <c r="Q80" s="417"/>
      <c r="R80" s="417"/>
      <c r="S80" s="417"/>
      <c r="T80" s="417"/>
      <c r="U80" s="417"/>
      <c r="V80" s="416"/>
    </row>
    <row r="81" spans="1:21" x14ac:dyDescent="0.25">
      <c r="A81" s="519" t="s">
        <v>412</v>
      </c>
      <c r="B81" s="520"/>
      <c r="C81" s="112">
        <f>E30</f>
        <v>592</v>
      </c>
      <c r="D81" s="532" t="s">
        <v>417</v>
      </c>
      <c r="E81" s="532"/>
      <c r="F81" s="532"/>
      <c r="G81" s="532"/>
      <c r="H81" s="301">
        <f>'1461'!H81</f>
        <v>186682.65</v>
      </c>
      <c r="I81" s="113"/>
      <c r="N81" s="594" t="s">
        <v>418</v>
      </c>
      <c r="O81" s="571"/>
      <c r="P81" s="41">
        <f>P30</f>
        <v>0</v>
      </c>
      <c r="Q81" s="604" t="s">
        <v>419</v>
      </c>
      <c r="R81" s="605"/>
      <c r="S81" s="605"/>
      <c r="T81" s="598">
        <f>H81</f>
        <v>186682.65</v>
      </c>
      <c r="U81" s="598"/>
    </row>
    <row r="82" spans="1:21" x14ac:dyDescent="0.25">
      <c r="B82" s="69"/>
      <c r="G82" s="42" t="s">
        <v>12</v>
      </c>
      <c r="H82" s="114">
        <f>ROUND(C81/H81,6)</f>
        <v>3.1710000000000002E-3</v>
      </c>
      <c r="I82" s="115"/>
      <c r="N82" s="571"/>
      <c r="O82" s="571"/>
      <c r="P82" s="571"/>
      <c r="Q82" s="571"/>
      <c r="R82" s="571"/>
      <c r="S82" s="571"/>
      <c r="T82" s="601">
        <f>ROUND(P81/T81,6)</f>
        <v>0</v>
      </c>
      <c r="U82" s="601"/>
    </row>
    <row r="83" spans="1:21" x14ac:dyDescent="0.25">
      <c r="A83" s="442"/>
      <c r="G83" s="42"/>
      <c r="H83" s="114"/>
      <c r="I83" s="114"/>
      <c r="N83" s="448"/>
      <c r="O83" s="448"/>
      <c r="P83" s="448"/>
      <c r="Q83" s="448"/>
      <c r="R83" s="448"/>
      <c r="S83" s="448"/>
      <c r="T83" s="449"/>
      <c r="U83" s="449"/>
    </row>
    <row r="84" spans="1:21" x14ac:dyDescent="0.25">
      <c r="A84" s="442"/>
      <c r="G84" s="42"/>
      <c r="H84" s="114"/>
      <c r="I84" s="114"/>
      <c r="N84" s="448"/>
      <c r="O84" s="448"/>
      <c r="P84" s="448"/>
      <c r="Q84" s="448"/>
      <c r="R84" s="448"/>
      <c r="S84" s="448"/>
      <c r="T84" s="449"/>
      <c r="U84" s="449"/>
    </row>
    <row r="85" spans="1:21" x14ac:dyDescent="0.25">
      <c r="A85" s="444" t="s">
        <v>455</v>
      </c>
      <c r="D85" s="69"/>
      <c r="E85" s="43" t="s">
        <v>294</v>
      </c>
      <c r="F85" s="303">
        <f>'1461'!F85</f>
        <v>44665536</v>
      </c>
      <c r="G85" s="37" t="s">
        <v>6</v>
      </c>
      <c r="H85" s="424">
        <f>H79</f>
        <v>2.9150000000000001E-3</v>
      </c>
      <c r="I85" s="101">
        <f>ROUND(F85*H85,2)</f>
        <v>130200.04</v>
      </c>
      <c r="N85" s="455" t="s">
        <v>455</v>
      </c>
      <c r="O85" s="51"/>
      <c r="P85" s="51"/>
      <c r="Q85" s="44"/>
      <c r="R85" s="421">
        <f>F85</f>
        <v>44665536</v>
      </c>
      <c r="S85" s="38" t="s">
        <v>6</v>
      </c>
      <c r="T85" s="423">
        <f>T79</f>
        <v>0</v>
      </c>
      <c r="U85" s="475">
        <f>ROUND(R85*T85,2)</f>
        <v>0</v>
      </c>
    </row>
    <row r="86" spans="1:21" x14ac:dyDescent="0.25">
      <c r="A86" s="401"/>
      <c r="D86" s="69"/>
      <c r="E86" s="43"/>
      <c r="F86" s="117"/>
      <c r="G86" s="37"/>
      <c r="H86" s="424"/>
      <c r="I86" s="101"/>
      <c r="N86" s="51"/>
      <c r="O86" s="51"/>
      <c r="P86" s="51"/>
      <c r="Q86" s="44"/>
      <c r="R86" s="422"/>
      <c r="S86" s="38"/>
      <c r="T86" s="423"/>
      <c r="U86" s="479"/>
    </row>
    <row r="87" spans="1:21" x14ac:dyDescent="0.25">
      <c r="A87" s="534" t="s">
        <v>71</v>
      </c>
      <c r="B87" s="520"/>
      <c r="C87" s="520"/>
      <c r="D87" s="69"/>
      <c r="E87" s="43"/>
      <c r="F87" s="117"/>
      <c r="G87" s="37"/>
      <c r="H87" s="424"/>
      <c r="I87" s="101"/>
      <c r="N87" s="594" t="s">
        <v>463</v>
      </c>
      <c r="O87" s="571"/>
      <c r="P87" s="571"/>
      <c r="Q87" s="51"/>
      <c r="R87" s="422"/>
      <c r="S87" s="51"/>
      <c r="T87" s="38"/>
      <c r="U87" s="480"/>
    </row>
    <row r="88" spans="1:21" x14ac:dyDescent="0.25">
      <c r="A88" s="534" t="s">
        <v>99</v>
      </c>
      <c r="B88" s="520"/>
      <c r="C88" s="520"/>
      <c r="D88" s="69"/>
      <c r="E88" s="43" t="s">
        <v>3</v>
      </c>
      <c r="F88" s="303">
        <f>'1461'!F88</f>
        <v>0</v>
      </c>
      <c r="G88" s="37" t="s">
        <v>6</v>
      </c>
      <c r="H88" s="424">
        <f>H70</f>
        <v>2.9120000000000001E-3</v>
      </c>
      <c r="I88" s="101">
        <f>ROUND(F88*H88,2)</f>
        <v>0</v>
      </c>
      <c r="N88" s="606" t="s">
        <v>99</v>
      </c>
      <c r="O88" s="571"/>
      <c r="P88" s="571"/>
      <c r="Q88" s="44"/>
      <c r="R88" s="421">
        <f>F88</f>
        <v>0</v>
      </c>
      <c r="S88" s="38" t="s">
        <v>6</v>
      </c>
      <c r="T88" s="423">
        <f>T70</f>
        <v>0</v>
      </c>
      <c r="U88" s="475">
        <f>ROUND(R88*T88,2)</f>
        <v>0</v>
      </c>
    </row>
    <row r="89" spans="1:21" x14ac:dyDescent="0.25">
      <c r="A89" s="433"/>
      <c r="B89" s="69"/>
      <c r="C89" s="69"/>
      <c r="D89" s="69"/>
      <c r="E89" s="43"/>
      <c r="F89" s="117"/>
      <c r="G89" s="37"/>
      <c r="H89" s="424"/>
      <c r="I89" s="101"/>
      <c r="N89" s="436"/>
      <c r="O89" s="45"/>
      <c r="P89" s="45"/>
      <c r="Q89" s="44"/>
      <c r="R89" s="421"/>
      <c r="S89" s="38"/>
      <c r="T89" s="423"/>
      <c r="U89" s="475"/>
    </row>
    <row r="90" spans="1:21" x14ac:dyDescent="0.25">
      <c r="A90" s="453" t="s">
        <v>456</v>
      </c>
      <c r="D90" s="69"/>
      <c r="E90" s="43" t="s">
        <v>420</v>
      </c>
      <c r="F90" s="303">
        <f>'1461'!F90</f>
        <v>16167052</v>
      </c>
      <c r="G90" s="37" t="s">
        <v>6</v>
      </c>
      <c r="H90" s="424">
        <f>H82</f>
        <v>3.1710000000000002E-3</v>
      </c>
      <c r="I90" s="101">
        <f>ROUND(F90*H90,2)</f>
        <v>51265.72</v>
      </c>
      <c r="N90" s="455" t="s">
        <v>456</v>
      </c>
      <c r="O90" s="51"/>
      <c r="P90" s="51"/>
      <c r="Q90" s="44"/>
      <c r="R90" s="421">
        <f>F90</f>
        <v>16167052</v>
      </c>
      <c r="S90" s="38" t="s">
        <v>6</v>
      </c>
      <c r="T90" s="423">
        <f>T82</f>
        <v>0</v>
      </c>
      <c r="U90" s="475">
        <f>ROUND(R90*T90,2)</f>
        <v>0</v>
      </c>
    </row>
    <row r="91" spans="1:21" x14ac:dyDescent="0.25">
      <c r="A91" s="401"/>
      <c r="D91" s="69"/>
      <c r="E91" s="43"/>
      <c r="F91" s="117"/>
      <c r="G91" s="37"/>
      <c r="H91" s="424"/>
      <c r="I91" s="101"/>
      <c r="N91" s="409"/>
      <c r="O91" s="51"/>
      <c r="P91" s="51"/>
      <c r="Q91" s="44"/>
      <c r="R91" s="421"/>
      <c r="S91" s="38"/>
      <c r="T91" s="423"/>
      <c r="U91" s="475"/>
    </row>
    <row r="92" spans="1:21" x14ac:dyDescent="0.25">
      <c r="A92" s="453" t="s">
        <v>457</v>
      </c>
      <c r="D92" s="69"/>
      <c r="E92" s="43" t="s">
        <v>3</v>
      </c>
      <c r="F92" s="303">
        <f>'1461'!F92</f>
        <v>10040099</v>
      </c>
      <c r="G92" s="37" t="s">
        <v>6</v>
      </c>
      <c r="H92" s="424">
        <f>H76</f>
        <v>3.1670000000000001E-3</v>
      </c>
      <c r="I92" s="101">
        <f t="shared" ref="I92:I96" si="14">ROUND(F92*H92,2)</f>
        <v>31796.99</v>
      </c>
      <c r="N92" s="455" t="s">
        <v>457</v>
      </c>
      <c r="O92" s="51"/>
      <c r="P92" s="51"/>
      <c r="Q92" s="44"/>
      <c r="R92" s="421">
        <f t="shared" ref="R92:R96" si="15">F92</f>
        <v>10040099</v>
      </c>
      <c r="S92" s="38" t="s">
        <v>6</v>
      </c>
      <c r="T92" s="423">
        <f>T76</f>
        <v>0</v>
      </c>
      <c r="U92" s="475">
        <f>ROUND(R92*T92,2)</f>
        <v>0</v>
      </c>
    </row>
    <row r="93" spans="1:21" x14ac:dyDescent="0.25">
      <c r="A93" s="81"/>
      <c r="D93" s="69"/>
      <c r="E93" s="43"/>
      <c r="F93" s="117"/>
      <c r="G93" s="37"/>
      <c r="H93" s="424"/>
      <c r="I93" s="101"/>
      <c r="N93" s="385"/>
      <c r="O93" s="51"/>
      <c r="P93" s="51"/>
      <c r="Q93" s="44"/>
      <c r="R93" s="422"/>
      <c r="S93" s="38"/>
      <c r="T93" s="423"/>
      <c r="U93" s="479"/>
    </row>
    <row r="94" spans="1:21" x14ac:dyDescent="0.25">
      <c r="A94" s="519" t="s">
        <v>421</v>
      </c>
      <c r="B94" s="520"/>
      <c r="C94" s="520"/>
      <c r="D94" s="69"/>
      <c r="E94" s="43" t="s">
        <v>4</v>
      </c>
      <c r="F94" s="303">
        <f>'1461'!F94</f>
        <v>238997674</v>
      </c>
      <c r="G94" s="37" t="s">
        <v>6</v>
      </c>
      <c r="H94" s="424">
        <f>H73</f>
        <v>2.8879999999999999E-3</v>
      </c>
      <c r="I94" s="101">
        <f t="shared" si="14"/>
        <v>690225.28</v>
      </c>
      <c r="N94" s="571" t="s">
        <v>421</v>
      </c>
      <c r="O94" s="571"/>
      <c r="P94" s="571"/>
      <c r="Q94" s="44"/>
      <c r="R94" s="421">
        <f t="shared" si="15"/>
        <v>238997674</v>
      </c>
      <c r="S94" s="38" t="s">
        <v>6</v>
      </c>
      <c r="T94" s="423">
        <f>T73</f>
        <v>0</v>
      </c>
      <c r="U94" s="475">
        <f>ROUND(R94*T94,2)</f>
        <v>0</v>
      </c>
    </row>
    <row r="95" spans="1:21" x14ac:dyDescent="0.25">
      <c r="A95" s="81"/>
      <c r="B95" s="69"/>
      <c r="C95" s="69"/>
      <c r="D95" s="69"/>
      <c r="E95" s="43"/>
      <c r="F95" s="117"/>
      <c r="G95" s="37"/>
      <c r="H95" s="424"/>
      <c r="I95" s="101"/>
      <c r="N95" s="45"/>
      <c r="O95" s="45"/>
      <c r="P95" s="45"/>
      <c r="Q95" s="44"/>
      <c r="R95" s="421"/>
      <c r="S95" s="38"/>
      <c r="T95" s="423"/>
      <c r="U95" s="475"/>
    </row>
    <row r="96" spans="1:21" x14ac:dyDescent="0.25">
      <c r="A96" s="519" t="s">
        <v>422</v>
      </c>
      <c r="B96" s="520"/>
      <c r="C96" s="520"/>
      <c r="D96" s="69"/>
      <c r="E96" s="43" t="s">
        <v>4</v>
      </c>
      <c r="F96" s="303">
        <f>'1461'!F96</f>
        <v>-1600047</v>
      </c>
      <c r="G96" s="37" t="s">
        <v>6</v>
      </c>
      <c r="H96" s="424">
        <f>H73</f>
        <v>2.8879999999999999E-3</v>
      </c>
      <c r="I96" s="101">
        <f t="shared" si="14"/>
        <v>-4620.9399999999996</v>
      </c>
      <c r="N96" s="594" t="s">
        <v>422</v>
      </c>
      <c r="O96" s="571"/>
      <c r="P96" s="571"/>
      <c r="Q96" s="44"/>
      <c r="R96" s="421">
        <f t="shared" si="15"/>
        <v>-1600047</v>
      </c>
      <c r="S96" s="38" t="s">
        <v>6</v>
      </c>
      <c r="T96" s="423">
        <f>T73</f>
        <v>0</v>
      </c>
      <c r="U96" s="475">
        <f>ROUND(R96*T96,2)</f>
        <v>0</v>
      </c>
    </row>
    <row r="97" spans="1:21" x14ac:dyDescent="0.25">
      <c r="A97" s="81"/>
      <c r="B97" s="69"/>
      <c r="C97" s="69"/>
      <c r="D97" s="69"/>
      <c r="E97" s="43"/>
      <c r="F97" s="117"/>
      <c r="G97" s="37"/>
      <c r="H97" s="424"/>
      <c r="I97" s="101"/>
      <c r="N97" s="385"/>
      <c r="O97" s="45"/>
      <c r="P97" s="45"/>
      <c r="Q97" s="44"/>
      <c r="R97" s="422"/>
      <c r="S97" s="38"/>
      <c r="T97" s="423"/>
      <c r="U97" s="103"/>
    </row>
    <row r="98" spans="1:21" x14ac:dyDescent="0.25">
      <c r="A98" s="401" t="s">
        <v>423</v>
      </c>
      <c r="N98" s="409" t="s">
        <v>423</v>
      </c>
      <c r="O98" s="51"/>
      <c r="P98" s="51"/>
      <c r="Q98" s="51"/>
      <c r="R98" s="51"/>
      <c r="S98" s="51"/>
      <c r="T98" s="51"/>
      <c r="U98" s="51"/>
    </row>
    <row r="99" spans="1:21" x14ac:dyDescent="0.25">
      <c r="B99" s="69"/>
      <c r="C99" s="529" t="s">
        <v>60</v>
      </c>
      <c r="D99" s="529"/>
      <c r="E99" s="69"/>
      <c r="F99" s="39" t="s">
        <v>28</v>
      </c>
      <c r="G99" s="69"/>
      <c r="H99" s="69"/>
      <c r="I99" s="69"/>
      <c r="N99" s="45"/>
      <c r="O99" s="45"/>
      <c r="P99" s="45"/>
      <c r="Q99" s="45"/>
      <c r="R99" s="45"/>
      <c r="S99" s="45"/>
      <c r="T99" s="45"/>
      <c r="U99" s="45"/>
    </row>
    <row r="100" spans="1:21" x14ac:dyDescent="0.25">
      <c r="A100" s="3"/>
      <c r="B100" s="118"/>
      <c r="C100" s="530" t="s">
        <v>101</v>
      </c>
      <c r="D100" s="530"/>
      <c r="E100" s="425" t="s">
        <v>425</v>
      </c>
      <c r="F100" s="120" t="s">
        <v>106</v>
      </c>
      <c r="G100" s="121"/>
      <c r="H100" s="121"/>
      <c r="I100" s="121"/>
      <c r="N100" s="595" t="s">
        <v>35</v>
      </c>
      <c r="O100" s="595"/>
      <c r="P100" s="628" t="s">
        <v>427</v>
      </c>
      <c r="Q100" s="597"/>
      <c r="R100" s="598" t="s">
        <v>31</v>
      </c>
      <c r="S100" s="598"/>
      <c r="T100" s="598"/>
      <c r="U100" s="598"/>
    </row>
    <row r="101" spans="1:21" x14ac:dyDescent="0.25">
      <c r="A101" s="26"/>
      <c r="B101" s="52" t="s">
        <v>105</v>
      </c>
      <c r="C101" s="518">
        <f>H14+H15+H20+H23+H26</f>
        <v>476.20159999999998</v>
      </c>
      <c r="D101" s="518"/>
      <c r="E101" s="46">
        <f>H8</f>
        <v>1.0442</v>
      </c>
      <c r="F101" s="304">
        <f>'1461'!F101</f>
        <v>947.59</v>
      </c>
      <c r="G101" s="39" t="s">
        <v>12</v>
      </c>
      <c r="H101" s="101">
        <f>ROUND(C101*E101*F101,2)</f>
        <v>471188.85</v>
      </c>
      <c r="I101" s="104"/>
      <c r="N101" s="28" t="s">
        <v>17</v>
      </c>
      <c r="O101" s="47">
        <f>T14+T15+T20+T23+T26</f>
        <v>0</v>
      </c>
      <c r="P101" s="609">
        <f>T8</f>
        <v>1.0442</v>
      </c>
      <c r="Q101" s="609"/>
      <c r="R101" s="48">
        <f>F101</f>
        <v>947.59</v>
      </c>
      <c r="S101" s="40" t="s">
        <v>12</v>
      </c>
      <c r="T101" s="481">
        <f>ROUND(O101*P101*R101,2)</f>
        <v>0</v>
      </c>
      <c r="U101" s="102"/>
    </row>
    <row r="102" spans="1:21" x14ac:dyDescent="0.25">
      <c r="A102" s="49"/>
      <c r="B102" s="49" t="s">
        <v>104</v>
      </c>
      <c r="C102" s="518">
        <f>H16+H17+H21+H24+H27</f>
        <v>180.87899999999999</v>
      </c>
      <c r="D102" s="518"/>
      <c r="E102" s="46">
        <f>H8</f>
        <v>1.0442</v>
      </c>
      <c r="F102" s="304">
        <f>'1461'!F102</f>
        <v>904.74</v>
      </c>
      <c r="G102" s="39" t="s">
        <v>12</v>
      </c>
      <c r="H102" s="101">
        <f>ROUND(C102*E102*F102,2)</f>
        <v>170881.73</v>
      </c>
      <c r="N102" s="50" t="s">
        <v>13</v>
      </c>
      <c r="O102" s="47">
        <f>T16+T17+T21+T24+T27</f>
        <v>0</v>
      </c>
      <c r="P102" s="609">
        <f>T8</f>
        <v>1.0442</v>
      </c>
      <c r="Q102" s="609"/>
      <c r="R102" s="48">
        <f>F102</f>
        <v>904.74</v>
      </c>
      <c r="S102" s="40" t="s">
        <v>12</v>
      </c>
      <c r="T102" s="481">
        <f>ROUND(O102*P102*R102,2)</f>
        <v>0</v>
      </c>
      <c r="U102" s="51"/>
    </row>
    <row r="103" spans="1:21" ht="16.5" thickBot="1" x14ac:dyDescent="0.3">
      <c r="A103" s="52"/>
      <c r="B103" s="52" t="s">
        <v>103</v>
      </c>
      <c r="C103" s="518">
        <f>H18+H19+H22+H25+H28+H29</f>
        <v>0</v>
      </c>
      <c r="D103" s="518"/>
      <c r="E103" s="46">
        <f>H8</f>
        <v>1.0442</v>
      </c>
      <c r="F103" s="304">
        <f>'1461'!F103</f>
        <v>906.93</v>
      </c>
      <c r="G103" s="39" t="s">
        <v>12</v>
      </c>
      <c r="H103" s="94">
        <f>ROUND(C103*E103*F103,2)</f>
        <v>0</v>
      </c>
      <c r="N103" s="53" t="s">
        <v>14</v>
      </c>
      <c r="O103" s="54">
        <f>T18+T19+T22+T25+T28+T29</f>
        <v>0</v>
      </c>
      <c r="P103" s="609">
        <f>T8</f>
        <v>1.0442</v>
      </c>
      <c r="Q103" s="609"/>
      <c r="R103" s="48">
        <f>F103</f>
        <v>906.93</v>
      </c>
      <c r="S103" s="40" t="s">
        <v>12</v>
      </c>
      <c r="T103" s="481">
        <f>ROUND(O103*P103*R103,2)</f>
        <v>0</v>
      </c>
      <c r="U103" s="51"/>
    </row>
    <row r="104" spans="1:21" ht="16.5" thickBot="1" x14ac:dyDescent="0.3">
      <c r="A104" s="55"/>
      <c r="B104" s="122" t="s">
        <v>102</v>
      </c>
      <c r="C104" s="531">
        <f>SUM(C101:C103)</f>
        <v>657.0806</v>
      </c>
      <c r="D104" s="531"/>
      <c r="E104" s="123"/>
      <c r="F104" s="123"/>
      <c r="G104" s="123"/>
      <c r="H104" s="124" t="s">
        <v>100</v>
      </c>
      <c r="I104" s="101">
        <f>IF(A1=75,0,H103+H102+H101)</f>
        <v>642070.57999999996</v>
      </c>
      <c r="N104" s="56" t="s">
        <v>89</v>
      </c>
      <c r="O104" s="57">
        <f>SUM(O101:O103)</f>
        <v>0</v>
      </c>
      <c r="P104" s="610" t="s">
        <v>16</v>
      </c>
      <c r="Q104" s="611"/>
      <c r="R104" s="611"/>
      <c r="S104" s="611"/>
      <c r="T104" s="611"/>
      <c r="U104" s="475">
        <f>IF(N1=75,0,T103+T102+T101)</f>
        <v>0</v>
      </c>
    </row>
    <row r="105" spans="1:21" ht="16.5" thickTop="1" x14ac:dyDescent="0.25">
      <c r="A105" s="556" t="s">
        <v>65</v>
      </c>
      <c r="B105" s="556"/>
      <c r="C105" s="556"/>
      <c r="D105" s="556"/>
      <c r="E105" s="556"/>
      <c r="F105" s="556"/>
      <c r="G105" s="556"/>
      <c r="H105" s="556"/>
      <c r="I105" s="556"/>
      <c r="N105" s="612" t="s">
        <v>65</v>
      </c>
      <c r="O105" s="612"/>
      <c r="P105" s="612"/>
      <c r="Q105" s="612"/>
      <c r="R105" s="612"/>
      <c r="S105" s="612"/>
      <c r="T105" s="612"/>
      <c r="U105" s="612"/>
    </row>
    <row r="106" spans="1:21" x14ac:dyDescent="0.25">
      <c r="A106" s="434"/>
      <c r="B106" s="434"/>
      <c r="C106" s="434"/>
      <c r="D106" s="434"/>
      <c r="E106" s="434"/>
      <c r="F106" s="434"/>
      <c r="G106" s="434"/>
      <c r="H106" s="434"/>
      <c r="I106" s="434"/>
      <c r="N106" s="435"/>
      <c r="O106" s="435"/>
      <c r="P106" s="435"/>
      <c r="Q106" s="435"/>
      <c r="R106" s="435"/>
      <c r="S106" s="435"/>
      <c r="T106" s="435"/>
      <c r="U106" s="435"/>
    </row>
    <row r="107" spans="1:21" x14ac:dyDescent="0.25">
      <c r="A107" s="81" t="s">
        <v>428</v>
      </c>
      <c r="C107" s="43"/>
      <c r="D107" s="69"/>
      <c r="E107" s="43" t="s">
        <v>32</v>
      </c>
      <c r="F107" s="557"/>
      <c r="G107" s="557"/>
      <c r="H107" s="557"/>
      <c r="I107" s="557"/>
      <c r="N107" s="594" t="s">
        <v>428</v>
      </c>
      <c r="O107" s="571"/>
      <c r="P107" s="571"/>
      <c r="Q107" s="613"/>
      <c r="R107" s="613"/>
      <c r="S107" s="613"/>
      <c r="T107" s="613"/>
      <c r="U107" s="103"/>
    </row>
    <row r="108" spans="1:21" x14ac:dyDescent="0.25">
      <c r="B108" s="69"/>
      <c r="C108" s="88" t="s">
        <v>359</v>
      </c>
      <c r="D108" s="334" t="s">
        <v>360</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32" t="s">
        <v>379</v>
      </c>
      <c r="B110" s="553"/>
      <c r="C110" s="143">
        <v>196</v>
      </c>
      <c r="D110" s="143">
        <v>193</v>
      </c>
      <c r="E110" s="116">
        <f>(C110+D110)/2</f>
        <v>194.5</v>
      </c>
      <c r="F110" s="126" t="s">
        <v>30</v>
      </c>
      <c r="G110" s="305">
        <f>'1461'!G110</f>
        <v>565</v>
      </c>
      <c r="I110" s="101">
        <f>ROUND(G110*E110,2)</f>
        <v>109892.5</v>
      </c>
      <c r="N110" s="620" t="s">
        <v>52</v>
      </c>
      <c r="O110" s="620"/>
      <c r="P110" s="608">
        <f>IF(H130=1,E110,0)</f>
        <v>0</v>
      </c>
      <c r="Q110" s="608"/>
      <c r="R110" s="608"/>
      <c r="S110" s="83" t="s">
        <v>30</v>
      </c>
      <c r="T110" s="58">
        <f>G110</f>
        <v>565</v>
      </c>
      <c r="U110" s="475">
        <f>ROUND(T110*P110,2)</f>
        <v>0</v>
      </c>
    </row>
    <row r="111" spans="1:21" x14ac:dyDescent="0.25">
      <c r="A111" s="532" t="s">
        <v>380</v>
      </c>
      <c r="B111" s="553"/>
      <c r="C111" s="143">
        <v>1</v>
      </c>
      <c r="D111" s="143">
        <v>0</v>
      </c>
      <c r="E111" s="116">
        <f>(C111+D111)/2</f>
        <v>0.5</v>
      </c>
      <c r="F111" s="126" t="s">
        <v>30</v>
      </c>
      <c r="G111" s="305">
        <f>'1461'!G111</f>
        <v>1762</v>
      </c>
      <c r="I111" s="101">
        <f>ROUND(G111*E111,2)</f>
        <v>881</v>
      </c>
      <c r="N111" s="620" t="s">
        <v>64</v>
      </c>
      <c r="O111" s="620"/>
      <c r="P111" s="586"/>
      <c r="Q111" s="586"/>
      <c r="R111" s="586"/>
      <c r="S111" s="83" t="s">
        <v>30</v>
      </c>
      <c r="T111" s="58">
        <f>G111</f>
        <v>1762</v>
      </c>
      <c r="U111" s="475">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19" t="s">
        <v>429</v>
      </c>
      <c r="B114" s="520"/>
      <c r="C114" s="520"/>
      <c r="D114" s="69"/>
      <c r="E114" s="39" t="s">
        <v>295</v>
      </c>
      <c r="F114" s="529"/>
      <c r="G114" s="529"/>
      <c r="H114" s="529"/>
      <c r="I114" s="529"/>
      <c r="N114" s="594" t="s">
        <v>430</v>
      </c>
      <c r="O114" s="571"/>
      <c r="P114" s="571"/>
      <c r="Q114" s="571"/>
      <c r="R114" s="571"/>
      <c r="S114" s="571"/>
      <c r="T114" s="571"/>
      <c r="U114" s="571"/>
    </row>
    <row r="115" spans="1:21" hidden="1" x14ac:dyDescent="0.25">
      <c r="B115" s="69"/>
      <c r="C115" s="530" t="s">
        <v>66</v>
      </c>
      <c r="D115" s="530"/>
      <c r="E115" s="530"/>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33" t="s">
        <v>109</v>
      </c>
      <c r="G116" s="529"/>
      <c r="H116" s="37" t="s">
        <v>29</v>
      </c>
      <c r="I116" s="37"/>
      <c r="N116" s="45"/>
      <c r="O116" s="45"/>
      <c r="P116" s="45"/>
      <c r="Q116" s="45"/>
      <c r="R116" s="45"/>
      <c r="S116" s="45"/>
      <c r="T116" s="45"/>
      <c r="U116" s="45"/>
    </row>
    <row r="117" spans="1:21" hidden="1" x14ac:dyDescent="0.25">
      <c r="A117" s="530" t="s">
        <v>69</v>
      </c>
      <c r="B117" s="530"/>
      <c r="C117" s="90" t="s">
        <v>2</v>
      </c>
      <c r="D117" s="90" t="s">
        <v>2</v>
      </c>
      <c r="E117" s="59" t="s">
        <v>2</v>
      </c>
      <c r="F117" s="530" t="s">
        <v>28</v>
      </c>
      <c r="G117" s="530"/>
      <c r="H117" s="59" t="s">
        <v>28</v>
      </c>
      <c r="I117" s="59" t="s">
        <v>8</v>
      </c>
      <c r="N117" s="607" t="s">
        <v>53</v>
      </c>
      <c r="O117" s="607"/>
      <c r="P117" s="608" t="s">
        <v>66</v>
      </c>
      <c r="Q117" s="608"/>
      <c r="R117" s="607" t="s">
        <v>54</v>
      </c>
      <c r="S117" s="607"/>
      <c r="T117" s="60" t="s">
        <v>55</v>
      </c>
      <c r="U117" s="60" t="s">
        <v>8</v>
      </c>
    </row>
    <row r="118" spans="1:21" hidden="1" x14ac:dyDescent="0.25">
      <c r="A118" s="554" t="s">
        <v>56</v>
      </c>
      <c r="B118" s="554"/>
      <c r="C118" s="141">
        <v>0</v>
      </c>
      <c r="D118" s="141">
        <v>0</v>
      </c>
      <c r="E118" s="187">
        <f>IF(D30=0,C118*2,C118+D118)</f>
        <v>0</v>
      </c>
      <c r="F118" s="555">
        <v>0</v>
      </c>
      <c r="G118" s="555"/>
      <c r="H118" s="224">
        <f>IF(C118=0,0,125)</f>
        <v>0</v>
      </c>
      <c r="I118" s="101">
        <f>ROUND((H118+F118)*E118,2)</f>
        <v>0</v>
      </c>
      <c r="N118" s="571" t="s">
        <v>56</v>
      </c>
      <c r="O118" s="571"/>
      <c r="P118" s="586">
        <f>IF(H$130=1,C118,0)</f>
        <v>0</v>
      </c>
      <c r="Q118" s="586"/>
      <c r="R118" s="618">
        <f>F118</f>
        <v>0</v>
      </c>
      <c r="S118" s="618"/>
      <c r="T118" s="62">
        <f>H118</f>
        <v>0</v>
      </c>
      <c r="U118" s="96">
        <f>ROUND((T118+R118)*P118,0)</f>
        <v>0</v>
      </c>
    </row>
    <row r="119" spans="1:21" hidden="1" x14ac:dyDescent="0.25">
      <c r="A119" s="524" t="s">
        <v>57</v>
      </c>
      <c r="B119" s="524"/>
      <c r="C119" s="143">
        <v>0</v>
      </c>
      <c r="D119" s="143">
        <v>0</v>
      </c>
      <c r="E119" s="116">
        <f>IF(D31=0,C119*2,C119+D119)</f>
        <v>0</v>
      </c>
      <c r="F119" s="525">
        <f>ROUND(F118/2,2)</f>
        <v>0</v>
      </c>
      <c r="G119" s="525"/>
      <c r="H119" s="224">
        <f>IF(C119=0,0,62.5)</f>
        <v>0</v>
      </c>
      <c r="I119" s="101">
        <f>ROUND((H119+F119)*E119,2)</f>
        <v>0</v>
      </c>
      <c r="N119" s="571" t="s">
        <v>57</v>
      </c>
      <c r="O119" s="571"/>
      <c r="P119" s="586">
        <f>IF(H$130=1,C119,0)</f>
        <v>0</v>
      </c>
      <c r="Q119" s="586"/>
      <c r="R119" s="619">
        <f>ROUND(R118/2,2)</f>
        <v>0</v>
      </c>
      <c r="S119" s="619"/>
      <c r="T119" s="62">
        <f>H119</f>
        <v>0</v>
      </c>
      <c r="U119" s="96">
        <f>ROUND((T119+R119)*P119,0)</f>
        <v>0</v>
      </c>
    </row>
    <row r="120" spans="1:21" ht="16.5" hidden="1" thickBot="1" x14ac:dyDescent="0.3">
      <c r="A120" s="524" t="s">
        <v>58</v>
      </c>
      <c r="B120" s="524"/>
      <c r="C120" s="143">
        <v>0</v>
      </c>
      <c r="D120" s="143">
        <v>0</v>
      </c>
      <c r="E120" s="116">
        <f>IF(D32=0,C120*2,C120+D120)</f>
        <v>0</v>
      </c>
      <c r="F120" s="526"/>
      <c r="G120" s="526"/>
      <c r="H120" s="225">
        <f>IF(H118&gt;0,436,0)</f>
        <v>0</v>
      </c>
      <c r="I120" s="101">
        <f>ROUND(H120*E120,2)</f>
        <v>0</v>
      </c>
      <c r="N120" s="588" t="s">
        <v>58</v>
      </c>
      <c r="O120" s="588"/>
      <c r="P120" s="586">
        <f>IF(H$130=1,C120,0)</f>
        <v>0</v>
      </c>
      <c r="Q120" s="586"/>
      <c r="R120" s="607"/>
      <c r="S120" s="607"/>
      <c r="T120" s="64">
        <f>H120</f>
        <v>0</v>
      </c>
      <c r="U120" s="103">
        <f>ROUND(T120*P120,0)</f>
        <v>0</v>
      </c>
    </row>
    <row r="121" spans="1:21" ht="16.5" hidden="1" thickBot="1" x14ac:dyDescent="0.3">
      <c r="A121" s="529" t="s">
        <v>8</v>
      </c>
      <c r="B121" s="529"/>
      <c r="C121" s="65"/>
      <c r="D121" s="65"/>
      <c r="E121" s="65"/>
      <c r="F121" s="65"/>
      <c r="G121" s="65"/>
      <c r="H121" s="65"/>
      <c r="I121" s="97">
        <f>SUM(I118:I120)</f>
        <v>0</v>
      </c>
      <c r="N121" s="565" t="s">
        <v>8</v>
      </c>
      <c r="O121" s="565"/>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19" t="s">
        <v>431</v>
      </c>
      <c r="B123" s="520"/>
      <c r="C123" s="520"/>
      <c r="D123" s="69"/>
      <c r="E123" s="68" t="s">
        <v>34</v>
      </c>
      <c r="F123" s="522"/>
      <c r="G123" s="522"/>
      <c r="H123" s="522"/>
      <c r="I123" s="154">
        <v>0</v>
      </c>
      <c r="N123" s="594" t="s">
        <v>431</v>
      </c>
      <c r="O123" s="571"/>
      <c r="P123" s="571"/>
      <c r="Q123" s="307"/>
      <c r="R123" s="307"/>
      <c r="S123" s="307"/>
      <c r="T123" s="307"/>
      <c r="U123" s="475">
        <f>IF($H$130=1,I123,0)</f>
        <v>0</v>
      </c>
    </row>
    <row r="124" spans="1:21" x14ac:dyDescent="0.25">
      <c r="B124" s="69"/>
      <c r="C124" s="69"/>
      <c r="D124" s="69"/>
      <c r="E124" s="68"/>
      <c r="F124" s="68"/>
      <c r="G124" s="68"/>
      <c r="H124" s="68"/>
      <c r="I124" s="116"/>
      <c r="N124" s="455"/>
      <c r="O124" s="454"/>
      <c r="P124" s="454"/>
      <c r="Q124" s="307"/>
      <c r="R124" s="307"/>
      <c r="S124" s="307"/>
      <c r="T124" s="307"/>
      <c r="U124" s="479"/>
    </row>
    <row r="125" spans="1:21" ht="16.5" thickBot="1" x14ac:dyDescent="0.3">
      <c r="A125" s="523" t="s">
        <v>8</v>
      </c>
      <c r="B125" s="523"/>
      <c r="C125" s="523"/>
      <c r="D125" s="523"/>
      <c r="E125" s="523"/>
      <c r="F125" s="523"/>
      <c r="G125" s="523"/>
      <c r="H125" s="523"/>
      <c r="I125" s="94">
        <f>SUM(I46,I66,I85,I88,I90,I92,I94,I96,I104,I110,I111,I121,I123)</f>
        <v>5293546.76</v>
      </c>
      <c r="N125" s="455"/>
      <c r="O125" s="454"/>
      <c r="P125" s="454"/>
      <c r="Q125" s="307"/>
      <c r="R125" s="307"/>
      <c r="S125" s="307"/>
      <c r="T125" s="307"/>
      <c r="U125" s="482">
        <f>SUM(U30,U85,U88,U90,U92,U94,U96,U104,U110,U111,U121,U123)</f>
        <v>0</v>
      </c>
    </row>
    <row r="126" spans="1:21" ht="16.5" thickTop="1" x14ac:dyDescent="0.25">
      <c r="A126" s="26"/>
      <c r="B126" s="26"/>
      <c r="C126" s="26"/>
      <c r="D126" s="26"/>
      <c r="E126" s="26"/>
      <c r="F126" s="26"/>
      <c r="G126" s="26"/>
      <c r="H126" s="26"/>
      <c r="I126" s="101"/>
      <c r="N126" s="455"/>
      <c r="O126" s="454"/>
      <c r="P126" s="454"/>
      <c r="Q126" s="307"/>
      <c r="R126" s="307"/>
      <c r="S126" s="307"/>
      <c r="T126" s="307"/>
      <c r="U126" s="103"/>
    </row>
    <row r="127" spans="1:21" ht="16.5" thickBot="1" x14ac:dyDescent="0.3">
      <c r="A127" s="81" t="s">
        <v>433</v>
      </c>
      <c r="B127" s="26"/>
      <c r="C127" s="26"/>
      <c r="D127" s="26"/>
      <c r="E127" s="26"/>
      <c r="F127" s="26"/>
      <c r="G127" s="26"/>
      <c r="H127" s="26"/>
      <c r="I127" s="101">
        <f>I125-I53</f>
        <v>5084425.91</v>
      </c>
      <c r="N127" s="616" t="s">
        <v>33</v>
      </c>
      <c r="O127" s="616"/>
      <c r="P127" s="616"/>
      <c r="Q127" s="616"/>
      <c r="R127" s="616"/>
      <c r="S127" s="616"/>
      <c r="T127" s="616"/>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19" t="s">
        <v>434</v>
      </c>
      <c r="B129" s="520"/>
      <c r="C129" s="520"/>
      <c r="D129" s="520"/>
      <c r="E129" s="520"/>
      <c r="F129" s="520"/>
      <c r="G129" s="520"/>
      <c r="H129" s="81" t="s">
        <v>326</v>
      </c>
      <c r="I129" s="134"/>
      <c r="N129" s="28"/>
      <c r="O129" s="28"/>
      <c r="P129" s="28"/>
      <c r="Q129" s="28"/>
      <c r="R129" s="28"/>
      <c r="S129" s="28"/>
      <c r="T129" s="28"/>
      <c r="U129" s="138"/>
    </row>
    <row r="130" spans="1:21" x14ac:dyDescent="0.25">
      <c r="A130" s="520" t="s">
        <v>70</v>
      </c>
      <c r="B130" s="520"/>
      <c r="C130" s="520"/>
      <c r="D130" s="520"/>
      <c r="E130" s="520"/>
      <c r="F130" s="520"/>
      <c r="G130" s="520"/>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5084425.91</v>
      </c>
      <c r="I132" s="94">
        <f>ROUND(IF(E30=0,0,IF(E30&gt;250,-(((250/E30)*H132)*IF(G132="H",0.02,0.05)),IF(G132="H",-0.02*H132,-0.05*H132))),2)</f>
        <v>-107356.97</v>
      </c>
      <c r="N132" s="617"/>
      <c r="O132" s="617"/>
      <c r="P132" s="617"/>
      <c r="Q132" s="617"/>
      <c r="R132" s="617"/>
      <c r="S132" s="617"/>
      <c r="T132" s="617"/>
      <c r="U132" s="617"/>
    </row>
    <row r="133" spans="1:21" x14ac:dyDescent="0.25">
      <c r="B133" s="69"/>
      <c r="C133" s="69"/>
      <c r="D133" s="69"/>
      <c r="E133" s="69"/>
      <c r="F133" s="69"/>
      <c r="G133" s="69"/>
      <c r="H133" s="65"/>
      <c r="I133" s="101"/>
      <c r="N133" s="614" t="s">
        <v>7</v>
      </c>
      <c r="O133" s="614"/>
      <c r="P133" s="614"/>
      <c r="Q133" s="614"/>
      <c r="R133" s="614"/>
      <c r="S133" s="614"/>
      <c r="T133" s="614"/>
      <c r="U133" s="614"/>
    </row>
    <row r="134" spans="1:21" x14ac:dyDescent="0.25">
      <c r="A134" s="310" t="s">
        <v>74</v>
      </c>
      <c r="B134" s="311"/>
      <c r="C134" s="311"/>
      <c r="D134" s="311"/>
      <c r="E134" s="311"/>
      <c r="F134" s="311"/>
      <c r="G134" s="311"/>
      <c r="H134" s="312"/>
      <c r="I134" s="313">
        <f>I125+I132</f>
        <v>5186189.79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v>-881958.48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4304231.3100000005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10</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430423.13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146864.32550000001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8"/>
      <c r="C149" s="388"/>
      <c r="D149" s="388"/>
      <c r="E149" s="388"/>
      <c r="F149" s="388"/>
      <c r="G149" s="388"/>
      <c r="H149" s="388"/>
      <c r="I149" s="388"/>
      <c r="J149" s="77"/>
      <c r="K149" s="76"/>
      <c r="L149" s="76"/>
      <c r="M149" s="76"/>
      <c r="N149" s="73"/>
      <c r="O149" s="73"/>
      <c r="P149" s="73"/>
      <c r="Q149" s="73"/>
      <c r="R149" s="73"/>
      <c r="S149" s="73"/>
      <c r="T149" s="73"/>
      <c r="U149" s="73"/>
    </row>
    <row r="150" spans="1:21" ht="15.75" customHeight="1" x14ac:dyDescent="0.25">
      <c r="A150" s="352" t="s">
        <v>370</v>
      </c>
      <c r="B150" s="388"/>
      <c r="C150" s="388"/>
      <c r="D150" s="388"/>
      <c r="E150" s="388"/>
      <c r="F150" s="388"/>
      <c r="G150" s="388"/>
      <c r="H150" s="388"/>
      <c r="I150" s="388"/>
      <c r="J150" s="77"/>
      <c r="K150" s="76"/>
      <c r="L150" s="76"/>
      <c r="M150" s="76"/>
      <c r="N150" s="73"/>
      <c r="O150" s="73"/>
      <c r="P150" s="73"/>
      <c r="Q150" s="73"/>
      <c r="R150" s="73"/>
      <c r="S150" s="73"/>
      <c r="T150" s="73"/>
      <c r="U150" s="73"/>
    </row>
    <row r="151" spans="1:21" x14ac:dyDescent="0.25">
      <c r="A151" s="321" t="s">
        <v>371</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372</v>
      </c>
      <c r="B152" s="252"/>
      <c r="C152" s="252"/>
      <c r="D152" s="252"/>
      <c r="E152" s="252"/>
      <c r="F152" s="252"/>
      <c r="G152" s="252"/>
      <c r="H152" s="252"/>
      <c r="I152" s="252"/>
      <c r="N152" s="615"/>
      <c r="O152" s="615"/>
      <c r="P152" s="615"/>
      <c r="Q152" s="615"/>
      <c r="R152" s="615"/>
      <c r="S152" s="615"/>
      <c r="T152" s="615"/>
      <c r="U152" s="615"/>
    </row>
    <row r="153" spans="1:21" s="76" customFormat="1" x14ac:dyDescent="0.2">
      <c r="A153" s="321" t="s">
        <v>373</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374</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375</v>
      </c>
      <c r="B155" s="252"/>
      <c r="C155" s="252"/>
      <c r="D155" s="252"/>
      <c r="E155" s="252"/>
      <c r="F155" s="252"/>
      <c r="G155" s="252"/>
      <c r="H155" s="252"/>
      <c r="I155" s="252"/>
      <c r="N155" s="78"/>
    </row>
    <row r="156" spans="1:21" s="76" customFormat="1" x14ac:dyDescent="0.2">
      <c r="A156" s="321" t="s">
        <v>377</v>
      </c>
      <c r="B156" s="252"/>
      <c r="C156" s="252"/>
      <c r="D156" s="252"/>
      <c r="E156" s="252"/>
      <c r="F156" s="252"/>
      <c r="G156" s="252"/>
      <c r="H156" s="252"/>
      <c r="I156" s="252"/>
      <c r="N156" s="78"/>
    </row>
    <row r="157" spans="1:21" s="76" customFormat="1" x14ac:dyDescent="0.2">
      <c r="A157" s="387" t="s">
        <v>376</v>
      </c>
      <c r="B157" s="252"/>
      <c r="C157" s="252"/>
      <c r="D157" s="252"/>
      <c r="E157" s="252"/>
      <c r="F157" s="252"/>
      <c r="G157" s="252"/>
      <c r="H157" s="252"/>
      <c r="I157" s="252"/>
      <c r="N157" s="78"/>
    </row>
    <row r="158" spans="1:21" s="76" customFormat="1" x14ac:dyDescent="0.2">
      <c r="A158" s="321" t="s">
        <v>378</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381</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383</v>
      </c>
      <c r="B162" s="294"/>
      <c r="C162" s="294"/>
      <c r="D162" s="294"/>
      <c r="E162" s="294"/>
      <c r="F162" s="294"/>
      <c r="G162" s="294"/>
      <c r="H162" s="294"/>
      <c r="I162" s="294"/>
      <c r="N162" s="78"/>
    </row>
    <row r="163" spans="1:21" s="76" customFormat="1" ht="15.75" customHeight="1" x14ac:dyDescent="0.2">
      <c r="A163" s="352" t="s">
        <v>382</v>
      </c>
      <c r="B163" s="294"/>
      <c r="C163" s="294"/>
      <c r="D163" s="294"/>
      <c r="E163" s="294"/>
      <c r="F163" s="294"/>
      <c r="G163" s="294"/>
      <c r="H163" s="294"/>
      <c r="I163" s="294"/>
      <c r="N163" s="78"/>
    </row>
    <row r="164" spans="1:21" s="76" customFormat="1" ht="15.75" customHeight="1" x14ac:dyDescent="0.2">
      <c r="A164" s="321" t="s">
        <v>384</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386</v>
      </c>
      <c r="B166" s="344"/>
      <c r="C166" s="344"/>
      <c r="D166" s="344"/>
      <c r="E166" s="344"/>
      <c r="F166" s="344"/>
      <c r="G166" s="344"/>
      <c r="H166" s="344"/>
      <c r="I166" s="344"/>
      <c r="N166" s="78"/>
    </row>
    <row r="167" spans="1:21" s="76" customFormat="1" ht="15.75" customHeight="1" x14ac:dyDescent="0.2">
      <c r="A167" s="352" t="s">
        <v>385</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387</v>
      </c>
      <c r="B172" s="294"/>
      <c r="C172" s="294"/>
      <c r="D172" s="294"/>
      <c r="E172" s="294"/>
      <c r="F172" s="294"/>
      <c r="G172" s="294"/>
      <c r="H172" s="294"/>
      <c r="I172" s="294"/>
      <c r="J172" s="3"/>
      <c r="K172" s="3"/>
      <c r="L172" s="3"/>
      <c r="M172" s="3"/>
      <c r="N172" s="78"/>
    </row>
    <row r="173" spans="1:21" s="76" customFormat="1" ht="15.75" customHeight="1" x14ac:dyDescent="0.2">
      <c r="A173" s="362" t="s">
        <v>388</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C101:D101"/>
    <mergeCell ref="P101:Q101"/>
    <mergeCell ref="C102:D102"/>
    <mergeCell ref="P102:Q102"/>
    <mergeCell ref="C103:D103"/>
    <mergeCell ref="P103:Q103"/>
    <mergeCell ref="C104:D104"/>
    <mergeCell ref="P104:T104"/>
    <mergeCell ref="A105:I105"/>
    <mergeCell ref="N105:U105"/>
    <mergeCell ref="F107:I107"/>
    <mergeCell ref="N107:P107"/>
    <mergeCell ref="Q107:T107"/>
    <mergeCell ref="R117:S117"/>
    <mergeCell ref="A110:B110"/>
    <mergeCell ref="N110:O110"/>
    <mergeCell ref="P110:R110"/>
    <mergeCell ref="A111:B111"/>
    <mergeCell ref="N111:O111"/>
    <mergeCell ref="P111:R111"/>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Local Admin</cp:lastModifiedBy>
  <cp:lastPrinted>2023-09-06T17:10:13Z</cp:lastPrinted>
  <dcterms:created xsi:type="dcterms:W3CDTF">1998-02-12T20:21:54Z</dcterms:created>
  <dcterms:modified xsi:type="dcterms:W3CDTF">2023-09-08T19:22:53Z</dcterms:modified>
</cp:coreProperties>
</file>