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4-02 Pmt\"/>
    </mc:Choice>
  </mc:AlternateContent>
  <xr:revisionPtr revIDLastSave="0" documentId="13_ncr:1_{50C4E91F-904B-480C-81D7-3CC0673E2EAA}" xr6:coauthVersionLast="47" xr6:coauthVersionMax="47" xr10:uidLastSave="{00000000-0000-0000-0000-000000000000}"/>
  <bookViews>
    <workbookView xWindow="28680" yWindow="-120" windowWidth="29040" windowHeight="15840" xr2:uid="{00000000-000D-0000-FFFF-FFFF00000000}"/>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Payment'!$A$5:$G$523</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50" l="1"/>
  <c r="E61" i="50"/>
  <c r="E60" i="50"/>
  <c r="E63" i="17"/>
  <c r="J19" i="17" s="1"/>
  <c r="E65" i="16"/>
  <c r="E65" i="7"/>
  <c r="E110" i="67" l="1"/>
  <c r="E111" i="56"/>
  <c r="E110" i="56"/>
  <c r="E111" i="48"/>
  <c r="E110" i="38"/>
  <c r="E111" i="34"/>
  <c r="E110" i="34"/>
  <c r="E110" i="16"/>
  <c r="I136" i="30"/>
  <c r="I136" i="78"/>
  <c r="E111" i="78"/>
  <c r="E110" i="78"/>
  <c r="I136" i="77"/>
  <c r="E111" i="77"/>
  <c r="E110" i="77"/>
  <c r="I136" i="68"/>
  <c r="E111" i="71"/>
  <c r="E110" i="71"/>
  <c r="I136" i="71"/>
  <c r="I136" i="70"/>
  <c r="E111" i="70"/>
  <c r="E110" i="70"/>
  <c r="I136" i="69"/>
  <c r="E110" i="69"/>
  <c r="I136" i="67"/>
  <c r="I136" i="66"/>
  <c r="E111" i="66"/>
  <c r="E110" i="66"/>
  <c r="I136" i="58"/>
  <c r="E110" i="58"/>
  <c r="I136" i="57"/>
  <c r="E111" i="57"/>
  <c r="E110" i="57"/>
  <c r="I136" i="56"/>
  <c r="I136" i="55"/>
  <c r="E111" i="55"/>
  <c r="E110" i="55"/>
  <c r="I136" i="76"/>
  <c r="E110" i="76"/>
  <c r="I136" i="75"/>
  <c r="E110" i="75"/>
  <c r="I136" i="52"/>
  <c r="E110" i="52"/>
  <c r="I136" i="51"/>
  <c r="E110" i="51"/>
  <c r="I136" i="50"/>
  <c r="E110" i="50"/>
  <c r="I136" i="48"/>
  <c r="E110" i="48"/>
  <c r="I136" i="47"/>
  <c r="E110" i="47"/>
  <c r="I136" i="45"/>
  <c r="E110" i="45"/>
  <c r="I136" i="44"/>
  <c r="I136" i="43"/>
  <c r="E110" i="43"/>
  <c r="I136" i="42"/>
  <c r="E110" i="42"/>
  <c r="I136" i="40"/>
  <c r="E110" i="40"/>
  <c r="I136" i="39"/>
  <c r="E110" i="39"/>
  <c r="I136" i="38"/>
  <c r="I136" i="37"/>
  <c r="I136" i="36"/>
  <c r="E110" i="36"/>
  <c r="I136" i="23"/>
  <c r="E110" i="23"/>
  <c r="E110" i="35"/>
  <c r="I136" i="35"/>
  <c r="I136" i="34"/>
  <c r="E110" i="33"/>
  <c r="I136" i="33"/>
  <c r="I136" i="32"/>
  <c r="E110" i="32"/>
  <c r="I136" i="31"/>
  <c r="E110" i="31"/>
  <c r="I136" i="22"/>
  <c r="E110" i="28"/>
  <c r="I136" i="28"/>
  <c r="E110" i="27"/>
  <c r="I136" i="27"/>
  <c r="E111" i="22"/>
  <c r="E111" i="24"/>
  <c r="E110" i="24"/>
  <c r="E111" i="25"/>
  <c r="E110" i="25"/>
  <c r="E111" i="21"/>
  <c r="E110" i="21"/>
  <c r="E110" i="20"/>
  <c r="E110" i="18"/>
  <c r="E110" i="17"/>
  <c r="E110" i="22"/>
  <c r="E110" i="26"/>
  <c r="I136" i="26"/>
  <c r="I136" i="24"/>
  <c r="I136" i="25"/>
  <c r="I136" i="21"/>
  <c r="I136" i="20"/>
  <c r="I136" i="18"/>
  <c r="I136" i="17"/>
  <c r="I136" i="16"/>
  <c r="I136" i="7"/>
  <c r="E110" i="7"/>
  <c r="D66" i="24" l="1"/>
  <c r="E65" i="24" s="1"/>
  <c r="E63" i="24" l="1"/>
  <c r="E58" i="24"/>
  <c r="E59" i="24"/>
  <c r="E60" i="24"/>
  <c r="E57" i="24"/>
  <c r="E61" i="24"/>
  <c r="E62" i="24"/>
  <c r="E64" i="24"/>
  <c r="F451" i="64" l="1"/>
  <c r="C30" i="68"/>
  <c r="I137" i="60" l="1"/>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D27" i="64" l="1"/>
  <c r="F459" i="64" s="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I59" i="16" s="1"/>
  <c r="E58" i="16"/>
  <c r="E57" i="16"/>
  <c r="D66" i="17"/>
  <c r="C66" i="17"/>
  <c r="E62" i="17"/>
  <c r="E61" i="17"/>
  <c r="E60" i="17"/>
  <c r="E59" i="17"/>
  <c r="I59" i="17" s="1"/>
  <c r="E58" i="17"/>
  <c r="I58" i="17" s="1"/>
  <c r="E57" i="17"/>
  <c r="D66" i="18"/>
  <c r="E59" i="18" s="1"/>
  <c r="C66" i="18"/>
  <c r="E65" i="18"/>
  <c r="I65" i="18" s="1"/>
  <c r="E64" i="18"/>
  <c r="I64" i="18" s="1"/>
  <c r="E63" i="18"/>
  <c r="E62" i="18"/>
  <c r="E61" i="18"/>
  <c r="E60" i="18"/>
  <c r="E58" i="18"/>
  <c r="E57" i="18"/>
  <c r="D66" i="20"/>
  <c r="C66" i="20"/>
  <c r="E65" i="20"/>
  <c r="I65" i="20" s="1"/>
  <c r="E64" i="20"/>
  <c r="E63" i="20"/>
  <c r="E62" i="20"/>
  <c r="E61" i="20"/>
  <c r="I61" i="20" s="1"/>
  <c r="E60" i="20"/>
  <c r="E59" i="20"/>
  <c r="E58" i="20"/>
  <c r="E57" i="20"/>
  <c r="I57" i="20" s="1"/>
  <c r="D66" i="21"/>
  <c r="C66" i="21"/>
  <c r="E65" i="21"/>
  <c r="E64" i="21"/>
  <c r="E63" i="21"/>
  <c r="E62" i="21"/>
  <c r="D66" i="25"/>
  <c r="C66" i="25"/>
  <c r="C66" i="24"/>
  <c r="I61" i="24"/>
  <c r="I60" i="24"/>
  <c r="I58" i="24"/>
  <c r="D66" i="22"/>
  <c r="C66" i="22"/>
  <c r="D66" i="26"/>
  <c r="C66" i="26"/>
  <c r="D66" i="27"/>
  <c r="C66" i="27"/>
  <c r="D66" i="28"/>
  <c r="C66" i="28"/>
  <c r="D66" i="3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C66" i="75"/>
  <c r="D66" i="76"/>
  <c r="C66" i="76"/>
  <c r="D66" i="55"/>
  <c r="C66" i="55"/>
  <c r="D66" i="56"/>
  <c r="C66" i="56"/>
  <c r="D66" i="57"/>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58" i="43" l="1"/>
  <c r="E57" i="43"/>
  <c r="E65" i="43"/>
  <c r="E60" i="43"/>
  <c r="E64" i="43"/>
  <c r="I64" i="43" s="1"/>
  <c r="E63" i="43"/>
  <c r="E62" i="43"/>
  <c r="E61" i="43"/>
  <c r="I61" i="43" s="1"/>
  <c r="E59" i="43"/>
  <c r="E64" i="7"/>
  <c r="I64" i="7" s="1"/>
  <c r="E63" i="7"/>
  <c r="E66" i="7" s="1"/>
  <c r="E62" i="23"/>
  <c r="E59" i="23"/>
  <c r="I59" i="23" s="1"/>
  <c r="E61" i="23"/>
  <c r="I61" i="23" s="1"/>
  <c r="E60" i="23"/>
  <c r="E58" i="23"/>
  <c r="E57" i="23"/>
  <c r="I57" i="23" s="1"/>
  <c r="E64" i="23"/>
  <c r="E65" i="23"/>
  <c r="I65" i="23" s="1"/>
  <c r="E63" i="23"/>
  <c r="E62" i="28"/>
  <c r="E59" i="28"/>
  <c r="E61" i="28"/>
  <c r="I61" i="28" s="1"/>
  <c r="E60" i="28"/>
  <c r="I60" i="28" s="1"/>
  <c r="E58" i="28"/>
  <c r="E57" i="28"/>
  <c r="E64" i="28"/>
  <c r="E65" i="28"/>
  <c r="E63" i="28"/>
  <c r="E65" i="22"/>
  <c r="E64" i="22"/>
  <c r="E58" i="22"/>
  <c r="E63" i="22"/>
  <c r="E62" i="22"/>
  <c r="E61" i="22"/>
  <c r="I61" i="22" s="1"/>
  <c r="E60" i="22"/>
  <c r="E59" i="22"/>
  <c r="E57" i="22"/>
  <c r="E62" i="77"/>
  <c r="E61" i="77"/>
  <c r="I61" i="77" s="1"/>
  <c r="E59" i="77"/>
  <c r="E60" i="77"/>
  <c r="E58" i="77"/>
  <c r="E57" i="77"/>
  <c r="E64" i="77"/>
  <c r="I64" i="77" s="1"/>
  <c r="E65" i="77"/>
  <c r="E63" i="77"/>
  <c r="I63" i="77" s="1"/>
  <c r="E63" i="70"/>
  <c r="E65" i="70"/>
  <c r="E64" i="70"/>
  <c r="E62" i="70"/>
  <c r="E61" i="70"/>
  <c r="I61" i="70" s="1"/>
  <c r="E60" i="70"/>
  <c r="E59" i="70"/>
  <c r="E58" i="70"/>
  <c r="I58" i="70" s="1"/>
  <c r="E57" i="70"/>
  <c r="I57" i="70" s="1"/>
  <c r="E58" i="57"/>
  <c r="I58" i="57" s="1"/>
  <c r="E57" i="57"/>
  <c r="E60" i="57"/>
  <c r="E65" i="57"/>
  <c r="E64" i="57"/>
  <c r="I64" i="57" s="1"/>
  <c r="E63" i="57"/>
  <c r="E62" i="57"/>
  <c r="E61" i="57"/>
  <c r="E59" i="57"/>
  <c r="E65" i="51"/>
  <c r="E64" i="51"/>
  <c r="E63" i="51"/>
  <c r="I63" i="51" s="1"/>
  <c r="E62" i="51"/>
  <c r="E61" i="51"/>
  <c r="I61" i="51" s="1"/>
  <c r="E60" i="51"/>
  <c r="E59" i="51"/>
  <c r="E58" i="51"/>
  <c r="E57" i="51"/>
  <c r="E64" i="33"/>
  <c r="E63" i="33"/>
  <c r="E62" i="33"/>
  <c r="E61" i="33"/>
  <c r="I61" i="33" s="1"/>
  <c r="E60" i="33"/>
  <c r="I60" i="33" s="1"/>
  <c r="E58" i="33"/>
  <c r="I58" i="33" s="1"/>
  <c r="E59" i="33"/>
  <c r="E57" i="33"/>
  <c r="E65" i="33"/>
  <c r="E59" i="21"/>
  <c r="I59" i="21" s="1"/>
  <c r="E58" i="21"/>
  <c r="E57" i="21"/>
  <c r="E61" i="21"/>
  <c r="E60" i="21"/>
  <c r="E62" i="76"/>
  <c r="E61" i="76"/>
  <c r="E60" i="76"/>
  <c r="E58" i="76"/>
  <c r="I58" i="76" s="1"/>
  <c r="E57" i="76"/>
  <c r="I57" i="76" s="1"/>
  <c r="E64" i="76"/>
  <c r="I64" i="76" s="1"/>
  <c r="E65" i="76"/>
  <c r="E63" i="76"/>
  <c r="I63" i="76" s="1"/>
  <c r="E59" i="76"/>
  <c r="E62" i="45"/>
  <c r="E61" i="45"/>
  <c r="I61" i="45" s="1"/>
  <c r="E60" i="45"/>
  <c r="I60" i="45" s="1"/>
  <c r="E58" i="45"/>
  <c r="E57" i="45"/>
  <c r="E64" i="45"/>
  <c r="E65" i="45"/>
  <c r="I65" i="45" s="1"/>
  <c r="E63" i="45"/>
  <c r="E59" i="45"/>
  <c r="E65" i="42"/>
  <c r="E64" i="42"/>
  <c r="E66" i="42" s="1"/>
  <c r="E63" i="42"/>
  <c r="E62" i="42"/>
  <c r="E61" i="42"/>
  <c r="E60" i="42"/>
  <c r="E58" i="42"/>
  <c r="E59" i="42"/>
  <c r="E57" i="42"/>
  <c r="I57" i="42" s="1"/>
  <c r="E61" i="66"/>
  <c r="I61" i="66" s="1"/>
  <c r="E60" i="66"/>
  <c r="I60" i="66" s="1"/>
  <c r="E59" i="66"/>
  <c r="E57" i="66"/>
  <c r="E65" i="66"/>
  <c r="I65" i="66" s="1"/>
  <c r="E64" i="66"/>
  <c r="E63" i="66"/>
  <c r="E62" i="66"/>
  <c r="E58" i="66"/>
  <c r="E65" i="37"/>
  <c r="I65" i="37" s="1"/>
  <c r="E64" i="37"/>
  <c r="E62" i="37"/>
  <c r="E61" i="37"/>
  <c r="I61" i="37" s="1"/>
  <c r="E60" i="37"/>
  <c r="I60" i="37" s="1"/>
  <c r="E59" i="37"/>
  <c r="E58" i="37"/>
  <c r="E57" i="37"/>
  <c r="E63" i="37"/>
  <c r="E57" i="48"/>
  <c r="I57" i="48" s="1"/>
  <c r="E65" i="48"/>
  <c r="I65" i="48" s="1"/>
  <c r="E64" i="48"/>
  <c r="E63" i="48"/>
  <c r="E62" i="48"/>
  <c r="E58" i="48"/>
  <c r="E61" i="48"/>
  <c r="E60" i="48"/>
  <c r="I60" i="48" s="1"/>
  <c r="E59" i="48"/>
  <c r="I59" i="48" s="1"/>
  <c r="E61" i="27"/>
  <c r="I61" i="27" s="1"/>
  <c r="E60" i="27"/>
  <c r="I60" i="27" s="1"/>
  <c r="E59" i="27"/>
  <c r="E58" i="27"/>
  <c r="E57" i="27"/>
  <c r="E65" i="27"/>
  <c r="E64" i="27"/>
  <c r="E63" i="27"/>
  <c r="E62" i="27"/>
  <c r="I62" i="27" s="1"/>
  <c r="E60" i="68"/>
  <c r="I60" i="68" s="1"/>
  <c r="E57" i="68"/>
  <c r="I57" i="68" s="1"/>
  <c r="E59" i="68"/>
  <c r="I59" i="68" s="1"/>
  <c r="E58" i="68"/>
  <c r="I58" i="68" s="1"/>
  <c r="E62" i="68"/>
  <c r="E65" i="68"/>
  <c r="I65" i="68" s="1"/>
  <c r="E64" i="68"/>
  <c r="E63" i="68"/>
  <c r="E61" i="68"/>
  <c r="E65" i="69"/>
  <c r="I65" i="69" s="1"/>
  <c r="E64" i="69"/>
  <c r="E62" i="69"/>
  <c r="E63" i="69"/>
  <c r="E61" i="69"/>
  <c r="E60" i="69"/>
  <c r="I60" i="69" s="1"/>
  <c r="E59" i="69"/>
  <c r="E58" i="69"/>
  <c r="E57" i="69"/>
  <c r="I57" i="69" s="1"/>
  <c r="E64" i="56"/>
  <c r="E65" i="56"/>
  <c r="I65" i="56" s="1"/>
  <c r="E63" i="56"/>
  <c r="E62" i="56"/>
  <c r="E61" i="56"/>
  <c r="I61" i="56" s="1"/>
  <c r="E60" i="56"/>
  <c r="I60" i="56" s="1"/>
  <c r="E59" i="56"/>
  <c r="I59" i="56" s="1"/>
  <c r="E58" i="56"/>
  <c r="E57" i="56"/>
  <c r="I57" i="56" s="1"/>
  <c r="E60" i="75"/>
  <c r="E57" i="75"/>
  <c r="I57" i="75" s="1"/>
  <c r="E59" i="75"/>
  <c r="I59" i="75" s="1"/>
  <c r="E58" i="75"/>
  <c r="E62" i="75"/>
  <c r="E65" i="75"/>
  <c r="E64" i="75"/>
  <c r="E63" i="75"/>
  <c r="E61" i="75"/>
  <c r="I61" i="75" s="1"/>
  <c r="E65" i="40"/>
  <c r="I65" i="40" s="1"/>
  <c r="E64" i="40"/>
  <c r="E63" i="40"/>
  <c r="E62" i="40"/>
  <c r="E61" i="40"/>
  <c r="E66" i="40" s="1"/>
  <c r="E60" i="40"/>
  <c r="I60" i="40" s="1"/>
  <c r="E59" i="40"/>
  <c r="E58" i="40"/>
  <c r="E57" i="40"/>
  <c r="E60" i="35"/>
  <c r="I60" i="35" s="1"/>
  <c r="E59" i="35"/>
  <c r="E58" i="35"/>
  <c r="E57" i="35"/>
  <c r="I57" i="35" s="1"/>
  <c r="E62" i="35"/>
  <c r="E65" i="35"/>
  <c r="I65" i="35" s="1"/>
  <c r="E64" i="35"/>
  <c r="E63" i="35"/>
  <c r="I63" i="35" s="1"/>
  <c r="E61" i="35"/>
  <c r="E65" i="30"/>
  <c r="I65" i="30" s="1"/>
  <c r="E64" i="30"/>
  <c r="I64" i="30" s="1"/>
  <c r="E63" i="30"/>
  <c r="I63" i="30" s="1"/>
  <c r="E62" i="30"/>
  <c r="E61" i="30"/>
  <c r="E57" i="30"/>
  <c r="I57" i="30" s="1"/>
  <c r="E60" i="30"/>
  <c r="I60" i="30" s="1"/>
  <c r="E59" i="30"/>
  <c r="I59" i="30" s="1"/>
  <c r="E58" i="30"/>
  <c r="I58" i="30" s="1"/>
  <c r="E64" i="36"/>
  <c r="I64" i="36" s="1"/>
  <c r="E63" i="36"/>
  <c r="I63" i="36" s="1"/>
  <c r="E61" i="36"/>
  <c r="E62" i="36"/>
  <c r="E60" i="36"/>
  <c r="E59" i="36"/>
  <c r="E58" i="36"/>
  <c r="E57" i="36"/>
  <c r="E65" i="36"/>
  <c r="E65" i="32"/>
  <c r="I65" i="32" s="1"/>
  <c r="E63" i="32"/>
  <c r="I63" i="32" s="1"/>
  <c r="E64" i="32"/>
  <c r="E62" i="32"/>
  <c r="E61" i="32"/>
  <c r="I61" i="32" s="1"/>
  <c r="E60" i="32"/>
  <c r="I60" i="32" s="1"/>
  <c r="E59" i="32"/>
  <c r="I59" i="32" s="1"/>
  <c r="E58" i="32"/>
  <c r="I58" i="32" s="1"/>
  <c r="E57" i="32"/>
  <c r="E65" i="25"/>
  <c r="I65" i="25" s="1"/>
  <c r="E62" i="25"/>
  <c r="E64" i="25"/>
  <c r="E63" i="25"/>
  <c r="E61" i="25"/>
  <c r="E60" i="25"/>
  <c r="E59" i="25"/>
  <c r="E58" i="25"/>
  <c r="E66" i="25" s="1"/>
  <c r="E57" i="25"/>
  <c r="E60" i="44"/>
  <c r="I60" i="44" s="1"/>
  <c r="E59" i="44"/>
  <c r="I59" i="44" s="1"/>
  <c r="E57" i="44"/>
  <c r="E58" i="44"/>
  <c r="E65" i="44"/>
  <c r="I65" i="44" s="1"/>
  <c r="E64" i="44"/>
  <c r="I64" i="44" s="1"/>
  <c r="E63" i="44"/>
  <c r="E62" i="44"/>
  <c r="E61" i="44"/>
  <c r="I61" i="44" s="1"/>
  <c r="E58" i="52"/>
  <c r="I58" i="52" s="1"/>
  <c r="E57" i="52"/>
  <c r="E66" i="52" s="1"/>
  <c r="E65" i="52"/>
  <c r="I65" i="52" s="1"/>
  <c r="E64" i="52"/>
  <c r="E63" i="52"/>
  <c r="E62" i="52"/>
  <c r="E60" i="52"/>
  <c r="E61" i="52"/>
  <c r="E59" i="52"/>
  <c r="E65" i="47"/>
  <c r="E62" i="47"/>
  <c r="E64" i="47"/>
  <c r="I64" i="47" s="1"/>
  <c r="E63" i="47"/>
  <c r="E61" i="47"/>
  <c r="I61" i="47" s="1"/>
  <c r="E60" i="47"/>
  <c r="E59" i="47"/>
  <c r="E58" i="47"/>
  <c r="E57" i="47"/>
  <c r="E65" i="39"/>
  <c r="E63" i="39"/>
  <c r="E62" i="39"/>
  <c r="E61" i="39"/>
  <c r="I61" i="39" s="1"/>
  <c r="E60" i="39"/>
  <c r="I60" i="39" s="1"/>
  <c r="E59" i="39"/>
  <c r="E58" i="39"/>
  <c r="I58" i="39" s="1"/>
  <c r="E57" i="39"/>
  <c r="E66" i="39" s="1"/>
  <c r="E64" i="39"/>
  <c r="I64" i="39" s="1"/>
  <c r="E58" i="34"/>
  <c r="E57" i="34"/>
  <c r="E65" i="34"/>
  <c r="E60" i="34"/>
  <c r="E64" i="34"/>
  <c r="I64" i="34" s="1"/>
  <c r="E63" i="34"/>
  <c r="I63" i="34" s="1"/>
  <c r="E62" i="34"/>
  <c r="I62" i="34" s="1"/>
  <c r="E61" i="34"/>
  <c r="E59" i="34"/>
  <c r="E64" i="31"/>
  <c r="I64" i="31" s="1"/>
  <c r="E61" i="31"/>
  <c r="E63" i="31"/>
  <c r="E62" i="31"/>
  <c r="E60" i="31"/>
  <c r="E59" i="31"/>
  <c r="E58" i="31"/>
  <c r="E57" i="31"/>
  <c r="E65" i="31"/>
  <c r="E58" i="26"/>
  <c r="E57" i="26"/>
  <c r="E65" i="26"/>
  <c r="I65" i="26" s="1"/>
  <c r="E64" i="26"/>
  <c r="E63" i="26"/>
  <c r="I63" i="26" s="1"/>
  <c r="E62" i="26"/>
  <c r="E61" i="26"/>
  <c r="E60" i="26"/>
  <c r="E59" i="26"/>
  <c r="E65" i="78"/>
  <c r="E64" i="78"/>
  <c r="E63" i="78"/>
  <c r="I63" i="78" s="1"/>
  <c r="E61" i="78"/>
  <c r="E60" i="78"/>
  <c r="E59" i="78"/>
  <c r="E58" i="78"/>
  <c r="E57" i="78"/>
  <c r="E62" i="78"/>
  <c r="E57" i="71"/>
  <c r="E65" i="71"/>
  <c r="E64" i="71"/>
  <c r="I64" i="71" s="1"/>
  <c r="E63" i="71"/>
  <c r="I63" i="71" s="1"/>
  <c r="E62" i="71"/>
  <c r="I62" i="71" s="1"/>
  <c r="E61" i="71"/>
  <c r="E60" i="71"/>
  <c r="E59" i="71"/>
  <c r="I59" i="71" s="1"/>
  <c r="E58" i="71"/>
  <c r="E63" i="67"/>
  <c r="I63" i="67" s="1"/>
  <c r="E60" i="67"/>
  <c r="E62" i="67"/>
  <c r="E61" i="67"/>
  <c r="I61" i="67" s="1"/>
  <c r="E59" i="67"/>
  <c r="E58" i="67"/>
  <c r="E57" i="67"/>
  <c r="E65" i="67"/>
  <c r="E64" i="67"/>
  <c r="I64" i="67" s="1"/>
  <c r="E59" i="58"/>
  <c r="I59" i="58" s="1"/>
  <c r="E58" i="58"/>
  <c r="I58" i="58" s="1"/>
  <c r="E57" i="58"/>
  <c r="E65" i="58"/>
  <c r="I65" i="58" s="1"/>
  <c r="E64" i="58"/>
  <c r="I64" i="58" s="1"/>
  <c r="E63" i="58"/>
  <c r="I63" i="58" s="1"/>
  <c r="E62" i="58"/>
  <c r="E61" i="58"/>
  <c r="E60" i="58"/>
  <c r="I60" i="58" s="1"/>
  <c r="E65" i="55"/>
  <c r="I65" i="55" s="1"/>
  <c r="E64" i="55"/>
  <c r="E62" i="55"/>
  <c r="E63" i="55"/>
  <c r="E61" i="55"/>
  <c r="I61" i="55" s="1"/>
  <c r="E60" i="55"/>
  <c r="I60" i="55" s="1"/>
  <c r="E59" i="55"/>
  <c r="I59" i="55" s="1"/>
  <c r="E58" i="55"/>
  <c r="I58" i="55" s="1"/>
  <c r="E57" i="55"/>
  <c r="E60" i="38"/>
  <c r="E57" i="38"/>
  <c r="E62" i="38"/>
  <c r="E59" i="38"/>
  <c r="E58" i="38"/>
  <c r="E65" i="38"/>
  <c r="E64" i="38"/>
  <c r="I64" i="38" s="1"/>
  <c r="E63" i="38"/>
  <c r="I63" i="38" s="1"/>
  <c r="E61" i="38"/>
  <c r="I61" i="38" s="1"/>
  <c r="E65" i="17"/>
  <c r="I65" i="17" s="1"/>
  <c r="E64" i="17"/>
  <c r="I64" i="17" s="1"/>
  <c r="E64" i="16"/>
  <c r="I64" i="16" s="1"/>
  <c r="E63" i="16"/>
  <c r="I62" i="51"/>
  <c r="I62" i="36"/>
  <c r="I63" i="68"/>
  <c r="I59" i="28"/>
  <c r="I63" i="24"/>
  <c r="I62" i="78"/>
  <c r="I62" i="76"/>
  <c r="I57" i="45"/>
  <c r="I58" i="44"/>
  <c r="I62" i="39"/>
  <c r="I58" i="16"/>
  <c r="I64" i="75"/>
  <c r="I59" i="66"/>
  <c r="I63" i="55"/>
  <c r="I59" i="45"/>
  <c r="I63" i="40"/>
  <c r="I58" i="35"/>
  <c r="I62" i="31"/>
  <c r="I58" i="20"/>
  <c r="I57" i="47"/>
  <c r="I60" i="7"/>
  <c r="I64" i="52"/>
  <c r="I60" i="42"/>
  <c r="I64" i="37"/>
  <c r="I59" i="31"/>
  <c r="I63" i="22"/>
  <c r="U57" i="38"/>
  <c r="U66" i="38" s="1"/>
  <c r="U57" i="22"/>
  <c r="U66" i="22" s="1"/>
  <c r="I62" i="7"/>
  <c r="E64" i="60"/>
  <c r="I65" i="77"/>
  <c r="I61" i="57"/>
  <c r="I65" i="38"/>
  <c r="I59" i="69"/>
  <c r="I58" i="23"/>
  <c r="I59" i="35"/>
  <c r="I65" i="7"/>
  <c r="I61" i="7"/>
  <c r="I59" i="52"/>
  <c r="I63" i="47"/>
  <c r="I62" i="35"/>
  <c r="I63" i="18"/>
  <c r="I57" i="7"/>
  <c r="I60" i="77"/>
  <c r="I64" i="69"/>
  <c r="I60" i="38"/>
  <c r="I58" i="7"/>
  <c r="E60" i="60"/>
  <c r="U57" i="27"/>
  <c r="U66" i="27" s="1"/>
  <c r="I59" i="7"/>
  <c r="I65" i="70"/>
  <c r="I61" i="76"/>
  <c r="I65" i="50"/>
  <c r="I64" i="22"/>
  <c r="U66" i="37"/>
  <c r="U66" i="24"/>
  <c r="I57" i="71"/>
  <c r="I60" i="67"/>
  <c r="I64" i="56"/>
  <c r="I57" i="51"/>
  <c r="I64" i="42"/>
  <c r="I64" i="27"/>
  <c r="I62" i="32"/>
  <c r="I64" i="28"/>
  <c r="I58" i="21"/>
  <c r="I60" i="18"/>
  <c r="I63" i="16"/>
  <c r="I64" i="66"/>
  <c r="I64" i="45"/>
  <c r="I64" i="33"/>
  <c r="I57" i="26"/>
  <c r="I58" i="22"/>
  <c r="I61" i="21"/>
  <c r="I65" i="16"/>
  <c r="I60" i="78"/>
  <c r="I64" i="70"/>
  <c r="I60" i="76"/>
  <c r="I64" i="23"/>
  <c r="I60" i="26"/>
  <c r="I64" i="21"/>
  <c r="I59" i="67"/>
  <c r="I63" i="56"/>
  <c r="I57" i="50"/>
  <c r="I59" i="47"/>
  <c r="I63" i="42"/>
  <c r="I59" i="34"/>
  <c r="I63" i="28"/>
  <c r="I59" i="18"/>
  <c r="U66" i="35"/>
  <c r="U66" i="20"/>
  <c r="I63" i="66"/>
  <c r="I59" i="51"/>
  <c r="I63" i="45"/>
  <c r="I59" i="36"/>
  <c r="I61" i="34"/>
  <c r="I63" i="33"/>
  <c r="I59" i="25"/>
  <c r="I60" i="21"/>
  <c r="I63" i="17"/>
  <c r="I57" i="55"/>
  <c r="I57" i="40"/>
  <c r="U66" i="32"/>
  <c r="U66" i="16"/>
  <c r="I59" i="78"/>
  <c r="I63" i="70"/>
  <c r="I59" i="76"/>
  <c r="I63" i="50"/>
  <c r="I59" i="39"/>
  <c r="I65" i="33"/>
  <c r="I61" i="25"/>
  <c r="I63" i="23"/>
  <c r="I64" i="35"/>
  <c r="I59" i="26"/>
  <c r="I60" i="22"/>
  <c r="I63" i="21"/>
  <c r="I64" i="20"/>
  <c r="I59" i="57"/>
  <c r="I63" i="75"/>
  <c r="I59" i="43"/>
  <c r="I61" i="26"/>
  <c r="I65" i="21"/>
  <c r="I62" i="56"/>
  <c r="I58" i="47"/>
  <c r="I58" i="34"/>
  <c r="I62" i="28"/>
  <c r="I58" i="18"/>
  <c r="U66" i="71"/>
  <c r="U66" i="51"/>
  <c r="U66" i="36"/>
  <c r="U66" i="25"/>
  <c r="U66" i="23"/>
  <c r="U66" i="21"/>
  <c r="I58" i="51"/>
  <c r="I57" i="38"/>
  <c r="I62" i="33"/>
  <c r="U66" i="47"/>
  <c r="U66" i="34"/>
  <c r="U66" i="18"/>
  <c r="I57" i="22"/>
  <c r="U66" i="33"/>
  <c r="U66" i="17"/>
  <c r="I58" i="78"/>
  <c r="I62" i="70"/>
  <c r="I58" i="26"/>
  <c r="I62" i="21"/>
  <c r="U66" i="57"/>
  <c r="U66" i="43"/>
  <c r="U66" i="31"/>
  <c r="U66" i="28"/>
  <c r="I62" i="77"/>
  <c r="I62" i="75"/>
  <c r="I58" i="43"/>
  <c r="I62" i="38"/>
  <c r="I58" i="31"/>
  <c r="U66" i="39"/>
  <c r="U66" i="26"/>
  <c r="I62" i="55"/>
  <c r="I58" i="45"/>
  <c r="U66" i="77"/>
  <c r="U66" i="75"/>
  <c r="U66" i="68"/>
  <c r="U66" i="52"/>
  <c r="U66" i="70"/>
  <c r="U66" i="50"/>
  <c r="U66" i="69"/>
  <c r="U66" i="48"/>
  <c r="U66" i="67"/>
  <c r="I58" i="77"/>
  <c r="I62" i="69"/>
  <c r="I62" i="48"/>
  <c r="U66" i="66"/>
  <c r="U66" i="45"/>
  <c r="U66" i="58"/>
  <c r="U66" i="44"/>
  <c r="I62" i="68"/>
  <c r="I58" i="56"/>
  <c r="I62" i="52"/>
  <c r="I57" i="43"/>
  <c r="I58" i="42"/>
  <c r="U66" i="56"/>
  <c r="U66" i="42"/>
  <c r="U66" i="30"/>
  <c r="U66" i="55"/>
  <c r="U66" i="40"/>
  <c r="U66" i="78"/>
  <c r="U66" i="76"/>
  <c r="I57" i="24"/>
  <c r="I65" i="36"/>
  <c r="I65" i="78"/>
  <c r="I61" i="58"/>
  <c r="I65" i="76"/>
  <c r="I65" i="39"/>
  <c r="I61" i="69"/>
  <c r="I65" i="57"/>
  <c r="I61" i="48"/>
  <c r="I65" i="43"/>
  <c r="I61" i="35"/>
  <c r="I65" i="31"/>
  <c r="I61" i="68"/>
  <c r="I65" i="67"/>
  <c r="I61" i="52"/>
  <c r="I65" i="47"/>
  <c r="I65" i="34"/>
  <c r="I57" i="58"/>
  <c r="I57" i="44"/>
  <c r="I61" i="30"/>
  <c r="I65" i="71"/>
  <c r="I65" i="51"/>
  <c r="I60" i="47"/>
  <c r="I59" i="20"/>
  <c r="I63" i="43"/>
  <c r="I65" i="42"/>
  <c r="I59" i="40"/>
  <c r="I63" i="25"/>
  <c r="I64" i="50"/>
  <c r="I60" i="34"/>
  <c r="I62" i="58"/>
  <c r="I58" i="50"/>
  <c r="I62" i="44"/>
  <c r="E66" i="71"/>
  <c r="I63" i="57"/>
  <c r="E66" i="51"/>
  <c r="I62" i="37"/>
  <c r="I57" i="36"/>
  <c r="I57" i="31"/>
  <c r="I63" i="31"/>
  <c r="E66" i="31"/>
  <c r="I58" i="28"/>
  <c r="I59" i="27"/>
  <c r="I65" i="27"/>
  <c r="I62" i="24"/>
  <c r="I57" i="25"/>
  <c r="I61" i="17"/>
  <c r="E66" i="16"/>
  <c r="I62" i="16"/>
  <c r="I59" i="70"/>
  <c r="I58" i="69"/>
  <c r="I65" i="75"/>
  <c r="I64" i="51"/>
  <c r="I63" i="48"/>
  <c r="I62" i="47"/>
  <c r="I62" i="45"/>
  <c r="I62" i="43"/>
  <c r="I61" i="42"/>
  <c r="I58" i="38"/>
  <c r="I58" i="37"/>
  <c r="I65" i="28"/>
  <c r="I64" i="26"/>
  <c r="I64" i="24"/>
  <c r="I62" i="20"/>
  <c r="I61" i="18"/>
  <c r="I62" i="30"/>
  <c r="I61" i="78"/>
  <c r="I61" i="71"/>
  <c r="I60" i="70"/>
  <c r="I58" i="67"/>
  <c r="I58" i="66"/>
  <c r="I64" i="48"/>
  <c r="I63" i="44"/>
  <c r="I62" i="42"/>
  <c r="I59" i="38"/>
  <c r="I59" i="37"/>
  <c r="I58" i="36"/>
  <c r="I65" i="22"/>
  <c r="I65" i="24"/>
  <c r="I64" i="25"/>
  <c r="I63" i="20"/>
  <c r="I62" i="18"/>
  <c r="I62" i="17"/>
  <c r="I64" i="78"/>
  <c r="I64" i="68"/>
  <c r="I58" i="75"/>
  <c r="I62" i="40"/>
  <c r="I61" i="36"/>
  <c r="I60" i="23"/>
  <c r="I59" i="33"/>
  <c r="I58" i="27"/>
  <c r="I63" i="69"/>
  <c r="I62" i="67"/>
  <c r="I62" i="66"/>
  <c r="I62" i="57"/>
  <c r="I60" i="75"/>
  <c r="I60" i="52"/>
  <c r="I58" i="48"/>
  <c r="I64" i="40"/>
  <c r="I63" i="39"/>
  <c r="I63" i="37"/>
  <c r="I62" i="23"/>
  <c r="I61" i="31"/>
  <c r="I59" i="22"/>
  <c r="I59" i="24"/>
  <c r="I59" i="77"/>
  <c r="I58" i="71"/>
  <c r="I64" i="55"/>
  <c r="I63" i="52"/>
  <c r="I62" i="50"/>
  <c r="I59" i="42"/>
  <c r="I58" i="40"/>
  <c r="I64" i="32"/>
  <c r="I63" i="27"/>
  <c r="I62" i="26"/>
  <c r="I62" i="22"/>
  <c r="I62" i="25"/>
  <c r="I60" i="20"/>
  <c r="I60" i="17"/>
  <c r="I60" i="16"/>
  <c r="I57" i="18"/>
  <c r="I57" i="16"/>
  <c r="I57" i="78"/>
  <c r="I57" i="77"/>
  <c r="I57" i="17"/>
  <c r="I57" i="34"/>
  <c r="I57" i="33"/>
  <c r="I57" i="32"/>
  <c r="I57" i="67"/>
  <c r="I57" i="27"/>
  <c r="E66" i="58"/>
  <c r="E66" i="37"/>
  <c r="E66" i="24"/>
  <c r="I57" i="28"/>
  <c r="I57" i="21"/>
  <c r="I61" i="16"/>
  <c r="E66" i="45"/>
  <c r="E66" i="33"/>
  <c r="E66" i="22"/>
  <c r="E66" i="67"/>
  <c r="E66" i="34"/>
  <c r="E66" i="18"/>
  <c r="E66" i="78"/>
  <c r="E66" i="55"/>
  <c r="E66" i="35"/>
  <c r="E66" i="27"/>
  <c r="E66" i="20"/>
  <c r="E66" i="30"/>
  <c r="E66" i="56"/>
  <c r="E66" i="50"/>
  <c r="I60" i="71"/>
  <c r="I60" i="57"/>
  <c r="I60" i="51"/>
  <c r="I60" i="43"/>
  <c r="I60" i="36"/>
  <c r="I60" i="31"/>
  <c r="I60" i="25"/>
  <c r="E66" i="23" l="1"/>
  <c r="E66" i="28"/>
  <c r="E66" i="77"/>
  <c r="E66" i="68"/>
  <c r="E66" i="70"/>
  <c r="E66" i="69"/>
  <c r="E66" i="66"/>
  <c r="I57" i="66"/>
  <c r="E66" i="57"/>
  <c r="I57" i="57"/>
  <c r="E66" i="76"/>
  <c r="E66" i="75"/>
  <c r="E59" i="60"/>
  <c r="I57" i="52"/>
  <c r="E66" i="48"/>
  <c r="E66" i="47"/>
  <c r="E66" i="44"/>
  <c r="E66" i="43"/>
  <c r="I61" i="40"/>
  <c r="I66" i="40" s="1"/>
  <c r="I57" i="39"/>
  <c r="I57" i="37"/>
  <c r="E66" i="36"/>
  <c r="E66" i="32"/>
  <c r="E66" i="26"/>
  <c r="I58" i="25"/>
  <c r="E66" i="21"/>
  <c r="E61" i="60"/>
  <c r="E66" i="60"/>
  <c r="I63" i="7"/>
  <c r="E63" i="60"/>
  <c r="E65" i="60"/>
  <c r="E66" i="38"/>
  <c r="E62" i="60"/>
  <c r="E66" i="17"/>
  <c r="E67" i="60"/>
  <c r="I66" i="7"/>
  <c r="I64" i="60"/>
  <c r="I62" i="60"/>
  <c r="I61" i="60"/>
  <c r="I66" i="60"/>
  <c r="I65" i="60"/>
  <c r="I60" i="60"/>
  <c r="I63" i="60"/>
  <c r="I67" i="60"/>
  <c r="I59" i="60"/>
  <c r="I66" i="35"/>
  <c r="I66" i="30"/>
  <c r="I66" i="47"/>
  <c r="I66" i="68"/>
  <c r="I66" i="45"/>
  <c r="I66" i="18"/>
  <c r="I66" i="21"/>
  <c r="I66" i="78"/>
  <c r="I66" i="51"/>
  <c r="I66" i="56"/>
  <c r="I66" i="43"/>
  <c r="I66" i="50"/>
  <c r="I66" i="20"/>
  <c r="I66" i="24"/>
  <c r="I66" i="52"/>
  <c r="I66" i="44"/>
  <c r="I66" i="48"/>
  <c r="I66" i="70"/>
  <c r="I66" i="17"/>
  <c r="I66" i="58"/>
  <c r="I66" i="69"/>
  <c r="I66" i="23"/>
  <c r="I66" i="33"/>
  <c r="I66" i="42"/>
  <c r="I66" i="34"/>
  <c r="I66" i="38"/>
  <c r="I66" i="71"/>
  <c r="I66" i="66"/>
  <c r="I66" i="55"/>
  <c r="I66" i="76"/>
  <c r="I66" i="75"/>
  <c r="I66" i="39"/>
  <c r="I66" i="37"/>
  <c r="I66" i="31"/>
  <c r="I66" i="27"/>
  <c r="I66" i="26"/>
  <c r="I66" i="22"/>
  <c r="I66" i="25"/>
  <c r="I66" i="16"/>
  <c r="I66" i="36"/>
  <c r="I66" i="77"/>
  <c r="I66" i="57"/>
  <c r="I66" i="28"/>
  <c r="I66" i="32"/>
  <c r="I66" i="67"/>
  <c r="E68" i="60" l="1"/>
  <c r="I68" i="60"/>
  <c r="D117" i="60" l="1"/>
  <c r="C117" i="60"/>
  <c r="G112" i="60"/>
  <c r="G111" i="60"/>
  <c r="H54" i="60"/>
  <c r="H53" i="60"/>
  <c r="D12" i="60"/>
  <c r="D58" i="60" s="1"/>
  <c r="C12" i="60"/>
  <c r="C58" i="60" s="1"/>
  <c r="D11" i="60"/>
  <c r="C11" i="60"/>
  <c r="D37" i="60" l="1"/>
  <c r="D57" i="60"/>
  <c r="C37" i="60"/>
  <c r="C57" i="60"/>
  <c r="I141" i="60" l="1"/>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6"/>
  <c r="E111" i="27"/>
  <c r="E111" i="28"/>
  <c r="E111" i="31"/>
  <c r="E111" i="32"/>
  <c r="E111" i="33"/>
  <c r="E111" i="35"/>
  <c r="E111" i="23"/>
  <c r="E111" i="36"/>
  <c r="E111" i="37"/>
  <c r="E111" i="38"/>
  <c r="E111" i="39"/>
  <c r="E111" i="40"/>
  <c r="E111" i="42"/>
  <c r="E111" i="43"/>
  <c r="E111" i="44"/>
  <c r="E111" i="45"/>
  <c r="E111" i="47"/>
  <c r="E111" i="50"/>
  <c r="E111" i="51"/>
  <c r="E111" i="52"/>
  <c r="E111" i="75"/>
  <c r="E111" i="76"/>
  <c r="E111" i="58"/>
  <c r="E111" i="67"/>
  <c r="E111" i="69"/>
  <c r="E111" i="68"/>
  <c r="E111" i="30"/>
  <c r="E110" i="37"/>
  <c r="E110" i="44"/>
  <c r="E110" i="6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18" i="22" l="1"/>
  <c r="E22" i="22"/>
  <c r="E19" i="22"/>
  <c r="E101" i="32"/>
  <c r="E102" i="32"/>
  <c r="P103" i="32"/>
  <c r="E16" i="18"/>
  <c r="H16" i="18" s="1"/>
  <c r="I16" i="18" s="1"/>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H25" i="28" s="1"/>
  <c r="I25" i="28" s="1"/>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I118" i="58" s="1"/>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H26" i="39" s="1"/>
  <c r="I26" i="39" s="1"/>
  <c r="E118" i="39"/>
  <c r="I118" i="39" s="1"/>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I118" i="37" s="1"/>
  <c r="E25" i="52"/>
  <c r="H25" i="52" s="1"/>
  <c r="I25" i="52" s="1"/>
  <c r="E118" i="52"/>
  <c r="I118" i="52" s="1"/>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J19" i="7" s="1"/>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E102" i="51"/>
  <c r="I111" i="34"/>
  <c r="T8" i="68"/>
  <c r="P102" i="68" s="1"/>
  <c r="T111" i="26"/>
  <c r="U111" i="26"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H19" i="35" l="1"/>
  <c r="I19" i="35" s="1"/>
  <c r="G469" i="64"/>
  <c r="F480" i="64"/>
  <c r="I120"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1" i="56" s="1"/>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P102" i="21"/>
  <c r="I44" i="76"/>
  <c r="I44" i="36"/>
  <c r="P103" i="38"/>
  <c r="P101" i="38"/>
  <c r="P102" i="38"/>
  <c r="I44" i="33"/>
  <c r="I44" i="34"/>
  <c r="I44" i="20"/>
  <c r="P102" i="69"/>
  <c r="P103" i="69"/>
  <c r="P101" i="69"/>
  <c r="P102" i="36"/>
  <c r="P101" i="36"/>
  <c r="P103" i="36"/>
  <c r="P101" i="75"/>
  <c r="P102" i="75"/>
  <c r="P103" i="75"/>
  <c r="I44" i="47"/>
  <c r="I44" i="23"/>
  <c r="I44" i="39"/>
  <c r="P103" i="22"/>
  <c r="P102" i="22"/>
  <c r="I44" i="43"/>
  <c r="I44" i="27"/>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14" i="31"/>
  <c r="I14" i="31" s="1"/>
  <c r="E30" i="31"/>
  <c r="H21" i="18"/>
  <c r="I21" i="18" s="1"/>
  <c r="E21" i="60"/>
  <c r="E27" i="60"/>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P102" i="39"/>
  <c r="P101" i="39"/>
  <c r="P103"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H17" i="67"/>
  <c r="I17" i="67" s="1"/>
  <c r="I44" i="57"/>
  <c r="E44" i="55"/>
  <c r="E44" i="51"/>
  <c r="H16" i="44"/>
  <c r="I16" i="44" s="1"/>
  <c r="E30" i="44"/>
  <c r="E44" i="47"/>
  <c r="E30" i="43"/>
  <c r="I121" i="40"/>
  <c r="E44" i="42"/>
  <c r="H19" i="23"/>
  <c r="I19" i="23" s="1"/>
  <c r="H17" i="38"/>
  <c r="I17" i="38" s="1"/>
  <c r="H17" i="26"/>
  <c r="I17" i="26" s="1"/>
  <c r="E30" i="26"/>
  <c r="H14" i="26"/>
  <c r="I14" i="26" s="1"/>
  <c r="E30" i="27"/>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C102" i="52" l="1"/>
  <c r="H102" i="52" s="1"/>
  <c r="C103" i="42"/>
  <c r="H103" i="42" s="1"/>
  <c r="C103" i="33"/>
  <c r="H103" i="33" s="1"/>
  <c r="C103" i="51"/>
  <c r="H103" i="51" s="1"/>
  <c r="C102" i="16"/>
  <c r="H102" i="16" s="1"/>
  <c r="C103" i="55"/>
  <c r="H103" i="55" s="1"/>
  <c r="C101" i="33"/>
  <c r="H30" i="33"/>
  <c r="E46" i="33" s="1"/>
  <c r="C102" i="34"/>
  <c r="H102" i="34" s="1"/>
  <c r="C103" i="7"/>
  <c r="H103" i="7" s="1"/>
  <c r="C103" i="68"/>
  <c r="H103" i="68" s="1"/>
  <c r="I30" i="33"/>
  <c r="I46" i="33" s="1"/>
  <c r="C102" i="33"/>
  <c r="H102" i="33" s="1"/>
  <c r="C101" i="69"/>
  <c r="H101" i="69" s="1"/>
  <c r="H130" i="7"/>
  <c r="C102" i="27"/>
  <c r="H102" i="27" s="1"/>
  <c r="C103" i="75"/>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72" i="43" s="1"/>
  <c r="C101" i="71"/>
  <c r="H101" i="71" s="1"/>
  <c r="C101" i="76"/>
  <c r="H101" i="76" s="1"/>
  <c r="H30" i="56"/>
  <c r="C72" i="56" s="1"/>
  <c r="H22" i="60"/>
  <c r="H19" i="60"/>
  <c r="I17" i="7"/>
  <c r="H17" i="60"/>
  <c r="I16" i="7"/>
  <c r="H16" i="60"/>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I29" i="17"/>
  <c r="I29" i="60" s="1"/>
  <c r="I20" i="60"/>
  <c r="C101" i="52"/>
  <c r="H101" i="52" s="1"/>
  <c r="I14" i="52"/>
  <c r="I30" i="52" s="1"/>
  <c r="I28" i="60"/>
  <c r="I23" i="16"/>
  <c r="I25" i="16"/>
  <c r="I25" i="60" s="1"/>
  <c r="I40" i="60"/>
  <c r="C103" i="70"/>
  <c r="H103" i="70" s="1"/>
  <c r="C69" i="34"/>
  <c r="H70" i="34" s="1"/>
  <c r="H88" i="34" s="1"/>
  <c r="I88" i="34" s="1"/>
  <c r="I30" i="76"/>
  <c r="I30" i="71"/>
  <c r="I27" i="60"/>
  <c r="I42" i="60"/>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C102" i="24"/>
  <c r="H102" i="24" s="1"/>
  <c r="I30" i="40"/>
  <c r="C103" i="24"/>
  <c r="H103" i="24" s="1"/>
  <c r="C103" i="31"/>
  <c r="H103" i="31" s="1"/>
  <c r="C102" i="22"/>
  <c r="H102" i="22" s="1"/>
  <c r="C102" i="28"/>
  <c r="H102" i="28" s="1"/>
  <c r="I21" i="60"/>
  <c r="C102" i="45"/>
  <c r="H102" i="45" s="1"/>
  <c r="C69" i="35"/>
  <c r="H70" i="35" s="1"/>
  <c r="H30" i="58"/>
  <c r="I30" i="58"/>
  <c r="C101" i="58"/>
  <c r="C69" i="40"/>
  <c r="H70" i="40" s="1"/>
  <c r="I30" i="68"/>
  <c r="C101" i="68"/>
  <c r="H30" i="68"/>
  <c r="I39" i="60"/>
  <c r="I18" i="60"/>
  <c r="H101" i="33"/>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E46" i="43" l="1"/>
  <c r="C104" i="33"/>
  <c r="I104" i="33"/>
  <c r="C72" i="33"/>
  <c r="I104" i="34"/>
  <c r="U123" i="7"/>
  <c r="C80" i="60"/>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T14" i="34" s="1"/>
  <c r="U14" i="34" s="1"/>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I53"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F52" i="69"/>
  <c r="I52" i="69" s="1"/>
  <c r="F51" i="31"/>
  <c r="I51" i="31" s="1"/>
  <c r="F52" i="34"/>
  <c r="I52" i="34" s="1"/>
  <c r="F51" i="58"/>
  <c r="I51" i="58" s="1"/>
  <c r="F51" i="47"/>
  <c r="I51" i="47" s="1"/>
  <c r="O102" i="34"/>
  <c r="T102" i="34" s="1"/>
  <c r="C105" i="60"/>
  <c r="F51" i="78"/>
  <c r="I51"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77" l="1"/>
  <c r="I53" i="52"/>
  <c r="I53" i="45"/>
  <c r="I53" i="78"/>
  <c r="I53" i="48"/>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23" l="1"/>
  <c r="I125" i="67"/>
  <c r="I125" i="58"/>
  <c r="I125" i="50"/>
  <c r="I127" i="50" s="1"/>
  <c r="H132" i="50" s="1"/>
  <c r="I125" i="48"/>
  <c r="I127" i="48" s="1"/>
  <c r="H132" i="48" s="1"/>
  <c r="I125" i="7"/>
  <c r="I125" i="70"/>
  <c r="I125" i="26"/>
  <c r="I125" i="69"/>
  <c r="I125" i="47"/>
  <c r="I127" i="47" s="1"/>
  <c r="H132" i="47" s="1"/>
  <c r="I132" i="47" s="1"/>
  <c r="I125" i="66"/>
  <c r="I125" i="30"/>
  <c r="I125" i="77"/>
  <c r="I127" i="77" s="1"/>
  <c r="H132" i="77" s="1"/>
  <c r="I125" i="34"/>
  <c r="I125" i="27"/>
  <c r="I127" i="27" s="1"/>
  <c r="H132" i="27" s="1"/>
  <c r="I125" i="44"/>
  <c r="I127" i="44" s="1"/>
  <c r="H132" i="44" s="1"/>
  <c r="I125" i="28"/>
  <c r="I53" i="70"/>
  <c r="I53" i="67"/>
  <c r="I125" i="20"/>
  <c r="I125" i="55"/>
  <c r="I127" i="55" s="1"/>
  <c r="H132" i="55" s="1"/>
  <c r="I132" i="55" s="1"/>
  <c r="I125" i="25"/>
  <c r="I125" i="21"/>
  <c r="I125" i="78"/>
  <c r="I53" i="16"/>
  <c r="O104" i="52"/>
  <c r="T101" i="52"/>
  <c r="U104" i="52" s="1"/>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R46" i="28"/>
  <c r="T73" i="28" s="1"/>
  <c r="T94" i="28" s="1"/>
  <c r="U94" i="28" s="1"/>
  <c r="R46" i="52"/>
  <c r="I127" i="58"/>
  <c r="H132" i="58" s="1"/>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I127" i="66" l="1"/>
  <c r="H132" i="66" s="1"/>
  <c r="I127" i="28"/>
  <c r="H132" i="28" s="1"/>
  <c r="I132" i="28" s="1"/>
  <c r="T96" i="28"/>
  <c r="U96" i="28" s="1"/>
  <c r="U125" i="28" s="1"/>
  <c r="I132" i="45"/>
  <c r="I144" i="45" s="1"/>
  <c r="I132" i="75"/>
  <c r="I144" i="75" s="1"/>
  <c r="I132" i="66"/>
  <c r="I132" i="39"/>
  <c r="I144" i="39" s="1"/>
  <c r="I132" i="42"/>
  <c r="I144" i="42" s="1"/>
  <c r="I132" i="44"/>
  <c r="I132" i="77"/>
  <c r="I134" i="77" s="1"/>
  <c r="I138" i="77" s="1"/>
  <c r="I142"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E151" i="64"/>
  <c r="G151" i="64" s="1"/>
  <c r="I134" i="47"/>
  <c r="I138" i="47" s="1"/>
  <c r="I142" i="47" s="1"/>
  <c r="I144" i="47"/>
  <c r="I134" i="55"/>
  <c r="I138" i="55" s="1"/>
  <c r="I142" i="55" s="1"/>
  <c r="I134" i="56"/>
  <c r="I138" i="56" s="1"/>
  <c r="I142" i="56" s="1"/>
  <c r="I144" i="56"/>
  <c r="I144" i="55"/>
  <c r="I134" i="32"/>
  <c r="I138" i="32" s="1"/>
  <c r="I142" i="32" s="1"/>
  <c r="I144" i="32"/>
  <c r="I134" i="76" l="1"/>
  <c r="I138" i="76" s="1"/>
  <c r="I142" i="76" s="1"/>
  <c r="E323" i="64" s="1"/>
  <c r="G323" i="64" s="1"/>
  <c r="I134" i="75"/>
  <c r="I138" i="75" s="1"/>
  <c r="I142" i="75" s="1"/>
  <c r="E313" i="64" s="1"/>
  <c r="G313" i="64" s="1"/>
  <c r="I134" i="27"/>
  <c r="I138" i="27" s="1"/>
  <c r="I142" i="27" s="1"/>
  <c r="E114" i="64" s="1"/>
  <c r="G114" i="64" s="1"/>
  <c r="I134" i="42"/>
  <c r="I138" i="42" s="1"/>
  <c r="I142" i="42" s="1"/>
  <c r="E232" i="64" s="1"/>
  <c r="G232" i="64" s="1"/>
  <c r="I134" i="39"/>
  <c r="I138" i="39" s="1"/>
  <c r="I142" i="39" s="1"/>
  <c r="E213" i="64" s="1"/>
  <c r="G213" i="64"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33" i="64"/>
  <c r="G333"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I142"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I138" i="17" s="1"/>
  <c r="I142" i="17" s="1"/>
  <c r="E43" i="64" s="1"/>
  <c r="G43" i="64" s="1"/>
  <c r="I144" i="18"/>
  <c r="I134" i="20"/>
  <c r="I138" i="20" s="1"/>
  <c r="I142" i="20" s="1"/>
  <c r="I134" i="23"/>
  <c r="I138" i="23" s="1"/>
  <c r="I142" i="23" s="1"/>
  <c r="H132" i="7"/>
  <c r="I132" i="7" s="1"/>
  <c r="I134" i="7" l="1"/>
  <c r="I138" i="7" s="1"/>
  <c r="E183" i="64"/>
  <c r="G183" i="64" s="1"/>
  <c r="E175" i="64"/>
  <c r="G175" i="64" s="1"/>
  <c r="E62" i="64"/>
  <c r="G62" i="64" s="1"/>
  <c r="I134" i="18"/>
  <c r="I138" i="18" s="1"/>
  <c r="I142" i="18" s="1"/>
  <c r="E50" i="64" l="1"/>
  <c r="I144" i="7"/>
  <c r="G50" i="64" l="1"/>
  <c r="I142" i="7"/>
  <c r="E5" i="64" l="1"/>
  <c r="G5" i="64" l="1"/>
  <c r="I118" i="16"/>
  <c r="I119" i="16"/>
  <c r="I120" i="16"/>
  <c r="I121" i="16" l="1"/>
  <c r="I125" i="16" s="1"/>
  <c r="I127" i="16" l="1"/>
  <c r="I126" i="60"/>
  <c r="I128" i="60" l="1"/>
  <c r="H132" i="16"/>
  <c r="I132" i="16" s="1"/>
  <c r="H133" i="60" l="1"/>
  <c r="I144" i="16" l="1"/>
  <c r="I133" i="60"/>
  <c r="I134" i="16"/>
  <c r="I135" i="60" s="1"/>
  <c r="I138" i="16" l="1"/>
  <c r="I142" i="16" l="1"/>
  <c r="I143" i="60" s="1"/>
  <c r="I139" i="60"/>
  <c r="E27" i="64" l="1"/>
  <c r="E458" i="64"/>
  <c r="G27" i="64" l="1"/>
  <c r="G451" i="64" s="1"/>
  <c r="E451" i="64"/>
  <c r="G458" i="64"/>
  <c r="G480" i="64" s="1"/>
  <c r="E480" i="64"/>
  <c r="G452" i="64" l="1"/>
</calcChain>
</file>

<file path=xl/sharedStrings.xml><?xml version="1.0" encoding="utf-8"?>
<sst xmlns="http://schemas.openxmlformats.org/spreadsheetml/2006/main" count="17343" uniqueCount="494">
  <si>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</si>
  <si>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</si>
  <si>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</si>
  <si>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</si>
  <si>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</si>
  <si>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</si>
  <si>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</si>
  <si>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</si>
  <si>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</si>
  <si>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</si>
  <si>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</si>
  <si>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</si>
  <si>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</si>
  <si>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</si>
  <si>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</si>
  <si>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</si>
  <si>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</si>
  <si>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</si>
  <si>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</si>
  <si>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</si>
  <si>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</si>
  <si>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</si>
  <si>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</si>
  <si>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</si>
  <si>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</si>
  <si>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</si>
  <si>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</si>
  <si>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</si>
  <si>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</si>
  <si>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</si>
  <si>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</si>
  <si>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</si>
  <si>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</si>
  <si>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</si>
  <si>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</si>
  <si>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</si>
  <si>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</si>
  <si>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</si>
  <si>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</si>
  <si>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</si>
  <si>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</si>
  <si>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</si>
  <si>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</si>
  <si>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</si>
  <si>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</si>
  <si>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</si>
  <si>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</si>
  <si>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</si>
  <si>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</si>
  <si>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</si>
  <si>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</si>
  <si>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</si>
  <si>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</si>
  <si>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</si>
  <si>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</si>
  <si>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</si>
  <si>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</si>
  <si>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</si>
  <si>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</si>
  <si>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</si>
  <si>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</si>
  <si>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</si>
  <si>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</si>
  <si>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</si>
  <si>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</si>
  <si>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</si>
  <si>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</si>
  <si>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</si>
  <si>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</si>
  <si>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</si>
  <si>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</si>
  <si>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</si>
  <si>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</si>
  <si>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</si>
  <si>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</si>
  <si>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</si>
  <si>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</si>
  <si>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</si>
  <si>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</si>
  <si>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</si>
  <si>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</si>
  <si>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</si>
  <si>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</si>
  <si>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</si>
  <si>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</si>
  <si>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</si>
  <si>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</si>
  <si>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</si>
  <si>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</si>
  <si>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</si>
  <si>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</si>
  <si>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</si>
  <si>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</si>
  <si>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</si>
  <si>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</si>
  <si>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</si>
  <si>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</si>
  <si>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</si>
  <si>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</si>
  <si>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</si>
  <si>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</si>
  <si>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</si>
  <si>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</si>
  <si>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</si>
  <si>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</si>
  <si>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</si>
  <si>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</si>
  <si>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</si>
  <si>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</si>
  <si>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</si>
  <si>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</si>
  <si>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</si>
  <si>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</si>
  <si>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</si>
  <si>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</si>
  <si>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</si>
  <si>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</si>
  <si>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</si>
  <si>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</si>
  <si>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</si>
  <si>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</si>
  <si>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</si>
  <si>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</si>
  <si>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</si>
  <si>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</si>
  <si>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</si>
  <si>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</si>
  <si>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</si>
  <si>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</si>
  <si>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</si>
  <si>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</si>
  <si>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</si>
  <si>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</si>
  <si>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</si>
  <si>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</si>
  <si>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</si>
  <si>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</si>
  <si>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</si>
  <si>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</si>
  <si>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</si>
  <si>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</si>
  <si>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</si>
  <si>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</si>
  <si>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</si>
  <si>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</si>
  <si>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</si>
  <si>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</si>
  <si>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</si>
  <si>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</si>
  <si>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</si>
  <si>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</si>
  <si>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</si>
  <si>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</si>
  <si>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</si>
  <si>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</si>
  <si>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</si>
  <si>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</si>
  <si>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</si>
  <si>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</si>
  <si>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</si>
  <si>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</si>
  <si>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</si>
  <si>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</si>
  <si>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</si>
  <si>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</si>
  <si>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</si>
  <si>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</si>
  <si>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</si>
  <si>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</si>
  <si>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</si>
  <si>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</si>
  <si>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</si>
  <si>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</si>
  <si>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</si>
  <si>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</si>
  <si>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</si>
  <si>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</si>
  <si>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</si>
  <si>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</si>
  <si>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</si>
  <si>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</si>
  <si>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</si>
  <si>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</si>
  <si>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</si>
  <si>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</si>
  <si>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</si>
  <si>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</si>
  <si>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</si>
  <si>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</si>
  <si>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</si>
  <si>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</si>
  <si>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</si>
  <si>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</si>
  <si>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</si>
  <si>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</si>
  <si>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</si>
  <si>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</si>
  <si>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</si>
  <si>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</si>
  <si>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</si>
  <si>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</si>
  <si>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</si>
  <si>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</si>
  <si>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</si>
  <si>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</si>
  <si>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</si>
  <si>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</si>
  <si>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</si>
  <si>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</si>
  <si>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</si>
  <si>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</si>
  <si>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</si>
  <si>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</si>
  <si>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</si>
  <si>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</si>
  <si>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</si>
  <si>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</si>
  <si>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</si>
  <si>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</si>
  <si>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</si>
  <si>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</si>
  <si>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</si>
  <si>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</si>
  <si>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</si>
  <si>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</si>
  <si>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</si>
  <si>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</si>
  <si>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</si>
  <si>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</si>
  <si>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</si>
  <si>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</si>
  <si>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</si>
  <si>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</si>
  <si>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</si>
  <si>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</si>
  <si>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</si>
  <si>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</si>
  <si>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</si>
  <si>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</si>
  <si>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</si>
  <si>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</si>
  <si>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</si>
  <si>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</si>
  <si>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</si>
  <si>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</si>
  <si>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</si>
  <si>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</si>
  <si>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</si>
  <si>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</si>
  <si>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</si>
  <si>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</si>
  <si>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</si>
  <si>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</si>
  <si>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</si>
  <si>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</si>
  <si>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</si>
  <si>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</si>
  <si>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</si>
  <si>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</si>
  <si>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</si>
  <si>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</si>
  <si>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</si>
  <si>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</si>
  <si>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</si>
  <si>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</si>
  <si>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</si>
  <si>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</si>
  <si>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</si>
  <si>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</si>
  <si>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</si>
  <si>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</si>
  <si>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</si>
  <si>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</si>
  <si>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</si>
  <si>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</si>
  <si>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</si>
  <si>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</si>
  <si>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</si>
  <si>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</si>
  <si>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</si>
  <si>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</si>
  <si>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</si>
  <si>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</si>
  <si>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</si>
  <si>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</si>
  <si>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</si>
  <si>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</si>
  <si>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</si>
  <si>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</si>
  <si>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</si>
  <si>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</si>
  <si>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</si>
  <si>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</si>
  <si>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</si>
  <si>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</si>
  <si>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</si>
  <si>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</si>
  <si>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</si>
  <si>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</si>
  <si>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</si>
  <si>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</si>
  <si>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</si>
  <si>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</si>
  <si>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</si>
  <si>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</si>
  <si>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</si>
  <si>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</si>
  <si>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</si>
  <si>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</si>
  <si>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</si>
  <si>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</si>
  <si>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</si>
  <si>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</si>
  <si>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</si>
  <si>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</si>
  <si>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</si>
  <si>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</si>
  <si>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</si>
  <si>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</si>
  <si>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</si>
  <si>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</si>
  <si>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</si>
  <si>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</si>
  <si>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</si>
  <si>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</si>
  <si>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</si>
  <si>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</si>
  <si>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</si>
  <si>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</si>
  <si>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</si>
  <si>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</si>
  <si>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</si>
  <si>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</si>
  <si>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</si>
  <si>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</si>
  <si>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</si>
  <si>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</si>
  <si>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</si>
  <si>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</si>
  <si>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</si>
  <si>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</si>
  <si>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</si>
  <si>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</si>
  <si>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</si>
  <si>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</si>
  <si>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</si>
  <si>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</si>
  <si>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</si>
  <si>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</si>
  <si>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</si>
  <si>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</si>
  <si>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</si>
  <si>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</si>
  <si>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</si>
  <si>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</si>
  <si>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</si>
  <si>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</si>
  <si>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</si>
  <si>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</si>
  <si>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</si>
  <si>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</si>
  <si>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</si>
  <si>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</si>
  <si>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</si>
  <si>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</si>
  <si>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</si>
  <si>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</si>
  <si>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</si>
  <si>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</si>
  <si>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</si>
  <si>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</si>
  <si>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</si>
  <si>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</si>
  <si>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</si>
  <si>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</si>
  <si>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</si>
  <si>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</si>
  <si>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</si>
  <si>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</si>
  <si>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</si>
  <si>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</si>
  <si>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</si>
  <si>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</si>
  <si>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</si>
  <si>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</si>
  <si>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</si>
  <si>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</si>
  <si>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</si>
  <si>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</si>
  <si>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</si>
  <si>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</si>
  <si>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</si>
  <si>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</si>
  <si>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</si>
  <si>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</si>
  <si>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</si>
  <si>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</si>
  <si>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</si>
  <si>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</si>
  <si>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</si>
  <si>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</si>
  <si>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</si>
  <si>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</si>
  <si>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</si>
  <si>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</si>
  <si>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</si>
  <si>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</si>
  <si>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</si>
  <si>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</si>
  <si>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</si>
  <si>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</si>
  <si>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</si>
  <si>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</si>
  <si>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</si>
  <si>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</si>
  <si>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</si>
  <si>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</si>
  <si>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</si>
  <si>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</si>
  <si>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</si>
  <si>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</si>
  <si>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</si>
  <si>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</si>
  <si>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</si>
  <si>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</si>
  <si>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</si>
  <si>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</si>
  <si>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</si>
  <si>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</si>
  <si>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</si>
  <si>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</si>
  <si>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</si>
  <si>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</si>
  <si>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</si>
  <si>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</si>
  <si>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</si>
  <si>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</si>
  <si>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</si>
  <si>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</si>
  <si>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</si>
  <si>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</si>
  <si>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</si>
  <si>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</si>
  <si>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</si>
  <si>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</si>
  <si>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</si>
  <si>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</si>
  <si>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</si>
  <si>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</si>
  <si>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</si>
  <si>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</si>
  <si>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</si>
  <si>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</si>
  <si>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</si>
  <si>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</si>
  <si>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</si>
  <si>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</si>
  <si>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</si>
  <si>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</si>
  <si>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</si>
  <si>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</si>
  <si>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</si>
  <si>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</si>
  <si>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</si>
  <si>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</si>
  <si>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</si>
  <si>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</si>
  <si>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</si>
  <si>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</si>
  <si>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</si>
  <si>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Based on the FLDOE 2023-24 FEFP Second Calculation</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</si>
  <si>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</si>
  <si>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</si>
  <si>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</si>
  <si>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WPB-271562</t>
  </si>
  <si>
    <t>Sep Teacher Supplies Retract</t>
  </si>
  <si>
    <t>WPB- 274577</t>
  </si>
  <si>
    <t>WPB- 274470</t>
  </si>
  <si>
    <t>Oct 2023</t>
  </si>
  <si>
    <t>Feb 2024</t>
  </si>
  <si>
    <t>1. As of 01/08/24, 11:00 am, the FLDOE has not released the 2023-24 Third Calculation Charter School Revenue</t>
  </si>
  <si>
    <t>Worksheet. The January 2024 payments are based on the 2023-24 Second Calculation.</t>
  </si>
  <si>
    <t>4. The ESE Guaranteed Allocation FTE numbers are not provided by the FLDOE, but by the District's IT</t>
  </si>
  <si>
    <t>5. The Student Transportation FTE numbers are not provided by the FLDOE, but by the District's Transportation</t>
  </si>
  <si>
    <t>3. The FLDOE released the Oct 2023 FTE Survey 2 on 11/09/23. FTE Counts from these reports are the basis</t>
  </si>
  <si>
    <t>for the January 2024 payment. These reports have been updated to the District's Charter School</t>
  </si>
  <si>
    <t xml:space="preserve"> Fiscal Oversight Web page.</t>
  </si>
  <si>
    <t>The February 2024 ESE Guaranteed Allocation was calculated based on the breakout received in the October</t>
  </si>
  <si>
    <t>2023 Survey 2.</t>
  </si>
  <si>
    <t>Department. Updated information for the Oct 2023 Survey 2 was received on January 11th, 2024</t>
  </si>
  <si>
    <t>&amp; IT Departments. Updated transportation FTE information for the Oct 2023 Surbey 2 was received</t>
  </si>
  <si>
    <t>on January 11th, 2024. The Oct 2023 Survey 2 amounts were used for the February 2024 FEFP Payments.</t>
  </si>
  <si>
    <t>FTE FEB 2024</t>
  </si>
  <si>
    <r>
      <t xml:space="preserve">Feb </t>
    </r>
    <r>
      <rPr>
        <b/>
        <sz val="10"/>
        <color indexed="12"/>
        <rFont val="Calibri"/>
        <family val="2"/>
      </rPr>
      <t xml:space="preserve">2024 - </t>
    </r>
    <r>
      <rPr>
        <b/>
        <sz val="10"/>
        <rFont val="Calibri"/>
        <family val="2"/>
      </rPr>
      <t xml:space="preserve">FY </t>
    </r>
    <r>
      <rPr>
        <b/>
        <sz val="10"/>
        <color indexed="12"/>
        <rFont val="Calibri"/>
        <family val="2"/>
      </rPr>
      <t xml:space="preserve">2024 </t>
    </r>
    <r>
      <rPr>
        <b/>
        <sz val="10"/>
        <rFont val="Calibri"/>
        <family val="2"/>
      </rPr>
      <t>Charter School FTE Payment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</si>
</sst>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50" x14ac:knownFonts="1">
    <font>
      <sz val="10"/>
      <name val="Arial"/>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4" fontId="1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1" fillId="0" borderId="0"/>
    <xf numFmtId="43" fontId="1" fillId="0" borderId="0" applyFont="0" applyFill="0" applyBorder="0" applyAlignment="0" applyProtection="0"/>
  </cellStyleXfs>
  <cellXfs count="635">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43" fontId="21" fillId="4" borderId="1" xfId="1" applyFont="1" applyFill="1" applyBorder="1" applyAlignment="1"/>
    <xf numFmtId="43" fontId="13" fillId="0" borderId="6" xfId="1" applyFont="1" applyBorder="1" applyAlignment="1"/>
    <xf numFmtId="43" fontId="18" fillId="0" borderId="1" xfId="1" applyFont="1" applyBorder="1" applyAlignment="1">
      <alignment horizontal="center"/>
    </xf>
    <xf numFmtId="4" fontId="22"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41" fontId="13" fillId="0" borderId="0" xfId="1" applyNumberFormat="1" applyFont="1" applyFill="1" applyBorder="1" applyAlignment="1"/>
    <xf numFmtId="0" fontId="22" fillId="0" borderId="0" xfId="0" applyFont="1"/>
    <xf numFmtId="0" fontId="22"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4" fillId="0" borderId="0" xfId="0" applyFont="1"/>
    <xf numFmtId="0" fontId="21" fillId="0" borderId="0" xfId="0" applyFont="1" applyAlignment="1">
      <alignment horizontal="center"/>
    </xf>
    <xf numFmtId="43" fontId="21" fillId="4" borderId="6" xfId="1" applyFont="1" applyFill="1" applyBorder="1" applyAlignment="1"/>
    <xf numFmtId="43" fontId="13" fillId="4" borderId="6" xfId="1" applyFont="1" applyFill="1" applyBorder="1" applyAlignment="1"/>
    <xf numFmtId="43" fontId="21"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5" fillId="4" borderId="6" xfId="1" applyFont="1" applyFill="1" applyBorder="1" applyAlignment="1"/>
    <xf numFmtId="4" fontId="19" fillId="0" borderId="6" xfId="0" applyNumberFormat="1" applyFont="1" applyBorder="1"/>
    <xf numFmtId="43" fontId="25" fillId="4" borderId="1" xfId="1" applyFont="1" applyFill="1" applyBorder="1" applyAlignment="1"/>
    <xf numFmtId="43" fontId="25"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6" fillId="0" borderId="0" xfId="9" applyFont="1"/>
    <xf numFmtId="0" fontId="21" fillId="0" borderId="10" xfId="9" applyFont="1" applyBorder="1" applyAlignment="1">
      <alignment horizontal="right"/>
    </xf>
    <xf numFmtId="0" fontId="19" fillId="0" borderId="11" xfId="9" applyFont="1" applyBorder="1"/>
    <xf numFmtId="0" fontId="13" fillId="0" borderId="0" xfId="9" applyFont="1"/>
    <xf numFmtId="0" fontId="27" fillId="0" borderId="0" xfId="9" applyFont="1"/>
    <xf numFmtId="0" fontId="19" fillId="0" borderId="1" xfId="9" applyFont="1" applyBorder="1" applyAlignment="1">
      <alignment horizontal="center"/>
    </xf>
    <xf numFmtId="0" fontId="27" fillId="0" borderId="10" xfId="9" applyFont="1" applyBorder="1"/>
    <xf numFmtId="0" fontId="27" fillId="0" borderId="11" xfId="9" applyFont="1" applyBorder="1" applyAlignment="1">
      <alignment horizontal="center"/>
    </xf>
    <xf numFmtId="44" fontId="26" fillId="0" borderId="0" xfId="9" applyNumberFormat="1" applyFont="1"/>
    <xf numFmtId="0" fontId="27" fillId="0" borderId="0" xfId="9" applyFont="1" applyAlignment="1">
      <alignment horizontal="right"/>
    </xf>
    <xf numFmtId="43" fontId="19" fillId="0" borderId="1" xfId="3" applyFont="1" applyBorder="1"/>
    <xf numFmtId="9" fontId="15" fillId="0" borderId="1" xfId="11"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7" fillId="0" borderId="0" xfId="9" quotePrefix="1" applyFont="1" applyAlignment="1">
      <alignment horizontal="left"/>
    </xf>
    <xf numFmtId="43" fontId="27" fillId="0" borderId="5" xfId="1" applyFont="1" applyBorder="1"/>
    <xf numFmtId="43" fontId="13" fillId="0" borderId="0" xfId="1" quotePrefix="1" applyFont="1" applyBorder="1" applyAlignment="1"/>
    <xf numFmtId="43" fontId="27" fillId="0" borderId="0" xfId="1" applyFont="1" applyBorder="1"/>
    <xf numFmtId="41" fontId="27" fillId="0" borderId="5" xfId="1" applyNumberFormat="1" applyFont="1" applyBorder="1"/>
    <xf numFmtId="41" fontId="27" fillId="0" borderId="0" xfId="1" applyNumberFormat="1" applyFont="1" applyBorder="1"/>
    <xf numFmtId="41" fontId="27" fillId="0" borderId="1" xfId="1" applyNumberFormat="1" applyFont="1" applyBorder="1"/>
    <xf numFmtId="0" fontId="21" fillId="0" borderId="5" xfId="9" applyFont="1" applyBorder="1" applyAlignment="1">
      <alignment horizontal="right"/>
    </xf>
    <xf numFmtId="0" fontId="27" fillId="0" borderId="5" xfId="9" applyFont="1" applyBorder="1"/>
    <xf numFmtId="43" fontId="19" fillId="0" borderId="0" xfId="3" applyFont="1" applyBorder="1"/>
    <xf numFmtId="43" fontId="26" fillId="0" borderId="0" xfId="1" applyFont="1"/>
    <xf numFmtId="0" fontId="27" fillId="0" borderId="0" xfId="9" quotePrefix="1" applyFont="1" applyAlignment="1">
      <alignment horizontal="left" indent="1"/>
    </xf>
    <xf numFmtId="0" fontId="26" fillId="0" borderId="0" xfId="9" quotePrefix="1" applyFont="1" applyAlignment="1">
      <alignment horizontal="left"/>
    </xf>
    <xf numFmtId="43" fontId="26" fillId="0" borderId="0" xfId="1" applyFont="1" applyBorder="1"/>
    <xf numFmtId="43" fontId="13" fillId="0" borderId="6" xfId="1" applyFont="1" applyFill="1" applyBorder="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8" fillId="0" borderId="0" xfId="7" quotePrefix="1" applyNumberFormat="1" applyFont="1" applyAlignment="1">
      <alignment horizontal="center" vertical="center"/>
    </xf>
    <xf numFmtId="177" fontId="28" fillId="0" borderId="0" xfId="7" quotePrefix="1" applyNumberFormat="1" applyFont="1" applyAlignment="1">
      <alignment horizontal="left"/>
    </xf>
    <xf numFmtId="177" fontId="28" fillId="0" borderId="0" xfId="7" applyNumberFormat="1" applyFont="1"/>
    <xf numFmtId="0" fontId="16" fillId="0" borderId="0" xfId="7" applyFont="1"/>
    <xf numFmtId="49" fontId="28"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43" fontId="13" fillId="0" borderId="0" xfId="0" applyNumberFormat="1" applyFont="1"/>
    <xf numFmtId="1" fontId="29"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1" fillId="0" borderId="0" xfId="1" applyNumberFormat="1" applyFont="1" applyFill="1" applyBorder="1"/>
    <xf numFmtId="43" fontId="21" fillId="0" borderId="1" xfId="1" quotePrefix="1" applyFont="1" applyBorder="1" applyAlignment="1"/>
    <xf numFmtId="43" fontId="25" fillId="0" borderId="0" xfId="9" applyNumberFormat="1" applyFont="1"/>
    <xf numFmtId="43" fontId="25" fillId="0" borderId="1" xfId="9" applyNumberFormat="1" applyFont="1" applyBorder="1"/>
    <xf numFmtId="0" fontId="15" fillId="0" borderId="0" xfId="0" quotePrefix="1" applyFont="1" applyAlignment="1">
      <alignment horizontal="left"/>
    </xf>
    <xf numFmtId="43" fontId="21"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1" fillId="0" borderId="0" xfId="0" quotePrefix="1" applyFont="1" applyAlignment="1">
      <alignment horizontal="left"/>
    </xf>
    <xf numFmtId="0" fontId="21" fillId="0" borderId="0" xfId="0" applyFont="1"/>
    <xf numFmtId="0" fontId="21"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7" fillId="0" borderId="0" xfId="9" quotePrefix="1" applyFont="1" applyAlignment="1">
      <alignment horizontal="right"/>
    </xf>
    <xf numFmtId="43" fontId="30" fillId="0" borderId="0" xfId="1" applyFont="1"/>
    <xf numFmtId="0" fontId="30"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43" fontId="21"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1" fillId="0" borderId="1" xfId="1" applyFont="1" applyBorder="1" applyAlignment="1"/>
    <xf numFmtId="37" fontId="21" fillId="0" borderId="1" xfId="1" applyNumberFormat="1" applyFont="1" applyBorder="1" applyAlignment="1"/>
    <xf numFmtId="37" fontId="21" fillId="0" borderId="1" xfId="1" applyNumberFormat="1" applyFont="1" applyBorder="1" applyAlignment="1">
      <alignment horizontal="center"/>
    </xf>
    <xf numFmtId="43" fontId="21" fillId="0" borderId="1" xfId="1" applyFont="1" applyBorder="1" applyAlignment="1">
      <alignment horizontal="center"/>
    </xf>
    <xf numFmtId="37" fontId="21" fillId="0" borderId="0" xfId="1" applyNumberFormat="1" applyFont="1"/>
    <xf numFmtId="41" fontId="21" fillId="0" borderId="0" xfId="1" applyNumberFormat="1" applyFont="1" applyFill="1" applyBorder="1" applyAlignme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applyNumberFormat="1" applyFont="1"/>
    <xf numFmtId="0" fontId="13" fillId="0" borderId="0" xfId="0" quotePrefix="1" applyFont="1" applyAlignment="1">
      <alignment horizontal="left" indent="1"/>
    </xf>
    <xf numFmtId="49" fontId="21"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4" fontId="21" fillId="6" borderId="1" xfId="0" applyNumberFormat="1" applyFont="1" applyFill="1" applyBorder="1" applyAlignment="1">
      <alignment horizontal="center"/>
    </xf>
    <xf numFmtId="43" fontId="21" fillId="6" borderId="1" xfId="1" applyFont="1" applyFill="1" applyBorder="1" applyAlignment="1"/>
    <xf numFmtId="41" fontId="21" fillId="6" borderId="0" xfId="1" applyNumberFormat="1" applyFont="1" applyFill="1" applyBorder="1" applyAlignment="1"/>
    <xf numFmtId="175" fontId="21" fillId="6" borderId="0" xfId="0" applyNumberFormat="1" applyFont="1" applyFill="1"/>
    <xf numFmtId="38" fontId="21" fillId="6" borderId="0" xfId="0" quotePrefix="1" applyNumberFormat="1" applyFont="1" applyFill="1"/>
    <xf numFmtId="0" fontId="31" fillId="0" borderId="0" xfId="0" applyFont="1"/>
    <xf numFmtId="0" fontId="21" fillId="3" borderId="0" xfId="0" quotePrefix="1" applyFont="1" applyFill="1" applyAlignment="1">
      <alignment horizontal="left"/>
    </xf>
    <xf numFmtId="0" fontId="21" fillId="3" borderId="0" xfId="0" applyFont="1" applyFill="1"/>
    <xf numFmtId="16" fontId="16" fillId="0" borderId="0" xfId="0" applyNumberFormat="1" applyFont="1"/>
    <xf numFmtId="43" fontId="30"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2"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1" quotePrefix="1" applyFont="1" applyAlignment="1">
      <alignment horizontal="left"/>
    </xf>
    <xf numFmtId="0" fontId="32" fillId="0" borderId="3" xfId="0" quotePrefix="1" applyFont="1" applyBorder="1" applyAlignment="1">
      <alignment horizontal="center"/>
    </xf>
    <xf numFmtId="0" fontId="33" fillId="0" borderId="0" xfId="0" quotePrefix="1" applyFont="1" applyAlignment="1">
      <alignment horizontal="left"/>
    </xf>
    <xf numFmtId="16" fontId="30"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170" fontId="13" fillId="0" borderId="0" xfId="6" quotePrefix="1" applyNumberFormat="1" applyFont="1" applyBorder="1" applyAlignment="1">
      <alignment horizontal="center"/>
    </xf>
    <xf numFmtId="0" fontId="33"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1"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0" fillId="4" borderId="0" xfId="1" applyFont="1" applyFill="1" applyBorder="1" applyAlignment="1"/>
    <xf numFmtId="43" fontId="30" fillId="0" borderId="0" xfId="1" applyFont="1" applyFill="1" applyBorder="1" applyAlignment="1"/>
    <xf numFmtId="43" fontId="30" fillId="0" borderId="0" xfId="1" applyFont="1" applyFill="1" applyAlignment="1"/>
    <xf numFmtId="43" fontId="30"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3"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3" fillId="2" borderId="12" xfId="0" quotePrefix="1" applyFont="1" applyFill="1" applyBorder="1" applyAlignment="1">
      <alignment horizontal="left" indent="2"/>
    </xf>
    <xf numFmtId="0" fontId="33"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1" fillId="0" borderId="0" xfId="0" applyFont="1" applyAlignment="1">
      <alignment horizontal="left"/>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1" fillId="0" borderId="0" xfId="0" quotePrefix="1" applyFont="1" applyAlignment="1">
      <alignment horizontal="left" vertical="center"/>
    </xf>
    <xf numFmtId="0" fontId="31"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1" fillId="0" borderId="0" xfId="0" quotePrefix="1" applyFont="1" applyAlignment="1">
      <alignment horizontal="left" vertical="center" indent="1"/>
    </xf>
    <xf numFmtId="0" fontId="34" fillId="0" borderId="0" xfId="0" applyFont="1"/>
    <xf numFmtId="0" fontId="34" fillId="0" borderId="0" xfId="0" applyFont="1" applyAlignment="1">
      <alignment vertical="center"/>
    </xf>
    <xf numFmtId="0" fontId="31" fillId="0" borderId="0" xfId="0" applyFont="1" applyAlignment="1">
      <alignment horizontal="left" vertical="center"/>
    </xf>
    <xf numFmtId="0" fontId="34" fillId="0" borderId="0" xfId="0" quotePrefix="1" applyFont="1" applyAlignment="1" applyProtection="1">
      <alignment horizontal="left" vertical="center"/>
      <protection locked="0"/>
    </xf>
    <xf numFmtId="0" fontId="34" fillId="0" borderId="0" xfId="0" quotePrefix="1" applyFont="1" applyAlignment="1" applyProtection="1">
      <alignment horizontal="left"/>
      <protection locked="0"/>
    </xf>
    <xf numFmtId="0" fontId="31" fillId="0" borderId="0" xfId="0" quotePrefix="1" applyFont="1" applyAlignment="1" applyProtection="1">
      <alignment horizontal="left"/>
      <protection locked="0"/>
    </xf>
    <xf numFmtId="0" fontId="31" fillId="0" borderId="0" xfId="0" quotePrefix="1" applyFont="1" applyAlignment="1" applyProtection="1">
      <alignment horizontal="left" indent="1"/>
      <protection locked="0"/>
    </xf>
    <xf numFmtId="0" fontId="31" fillId="0" borderId="0" xfId="0" quotePrefix="1" applyFont="1" applyAlignment="1" applyProtection="1">
      <alignment horizontal="left" vertical="center"/>
      <protection locked="0"/>
    </xf>
    <xf numFmtId="0" fontId="31"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2" fillId="2" borderId="0" xfId="0" quotePrefix="1" applyNumberFormat="1" applyFont="1" applyFill="1" applyAlignment="1">
      <alignment horizontal="center"/>
    </xf>
    <xf numFmtId="49" fontId="17" fillId="2" borderId="2"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5"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9" fillId="0" borderId="16" xfId="0" quotePrefix="1" applyFont="1" applyBorder="1" applyAlignment="1">
      <alignment horizontal="left" indent="1"/>
    </xf>
    <xf numFmtId="0" fontId="21"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7" fillId="2" borderId="17" xfId="0" quotePrefix="1" applyNumberFormat="1" applyFont="1" applyFill="1" applyBorder="1" applyAlignment="1">
      <alignment horizontal="left" indent="1"/>
    </xf>
    <xf numFmtId="0" fontId="17" fillId="2" borderId="7" xfId="0" quotePrefix="1" applyFont="1" applyFill="1" applyBorder="1" applyAlignment="1">
      <alignment horizontal="left" indent="1"/>
    </xf>
    <xf numFmtId="0" fontId="13" fillId="2" borderId="0" xfId="0" quotePrefix="1" applyFont="1" applyFill="1" applyAlignment="1">
      <alignment horizontal="left"/>
    </xf>
    <xf numFmtId="0" fontId="15" fillId="2" borderId="0" xfId="0" applyFont="1" applyFill="1" applyAlignment="1">
      <alignment horizontal="left"/>
    </xf>
    <xf numFmtId="0" fontId="17" fillId="0" borderId="0" xfId="0" quotePrefix="1" applyFont="1" applyAlignment="1" applyProtection="1">
      <alignment horizontal="left" indent="2"/>
      <protection locked="0"/>
    </xf>
    <xf numFmtId="0" fontId="17" fillId="0" borderId="0" xfId="0" applyFont="1" applyProtection="1">
      <protection locked="0"/>
    </xf>
    <xf numFmtId="0" fontId="15" fillId="2" borderId="0" xfId="0" quotePrefix="1" applyFont="1" applyFill="1" applyAlignment="1">
      <alignment horizontal="left"/>
    </xf>
    <xf numFmtId="164" fontId="36" fillId="0" borderId="1" xfId="6" quotePrefix="1" applyFont="1" applyBorder="1" applyAlignment="1">
      <alignment horizontal="center"/>
    </xf>
    <xf numFmtId="0" fontId="41" fillId="0" borderId="0" xfId="0" applyFont="1" applyAlignment="1">
      <alignment horizontal="left" indent="2"/>
    </xf>
    <xf numFmtId="0" fontId="41" fillId="0" borderId="0" xfId="0" quotePrefix="1" applyFont="1" applyAlignment="1">
      <alignment horizontal="left" vertical="center" indent="2"/>
    </xf>
    <xf numFmtId="0" fontId="13" fillId="0" borderId="0" xfId="0" applyFont="1" applyAlignment="1">
      <alignment horizontal="left" vertical="center" indent="2"/>
    </xf>
    <xf numFmtId="169" fontId="18" fillId="0" borderId="0" xfId="0" applyNumberFormat="1" applyFont="1" applyAlignment="1">
      <alignment horizontal="left" vertical="center" indent="2"/>
    </xf>
    <xf numFmtId="2" fontId="13" fillId="0" borderId="0" xfId="0" applyNumberFormat="1" applyFont="1" applyAlignment="1">
      <alignment horizontal="left" vertical="center" indent="2"/>
    </xf>
    <xf numFmtId="43" fontId="13" fillId="0" borderId="0" xfId="1" applyFont="1" applyBorder="1" applyAlignment="1">
      <alignment horizontal="left" vertical="center" indent="2"/>
    </xf>
    <xf numFmtId="0" fontId="13" fillId="2" borderId="0" xfId="0" applyFont="1" applyFill="1" applyAlignment="1">
      <alignment horizontal="left" vertical="center" indent="2"/>
    </xf>
    <xf numFmtId="169" fontId="18" fillId="2" borderId="0" xfId="0" applyNumberFormat="1" applyFont="1" applyFill="1" applyAlignment="1">
      <alignment horizontal="left" vertical="center" indent="2"/>
    </xf>
    <xf numFmtId="2" fontId="13" fillId="2" borderId="0" xfId="0" applyNumberFormat="1" applyFont="1" applyFill="1" applyAlignment="1">
      <alignment horizontal="left" vertical="center" indent="2"/>
    </xf>
    <xf numFmtId="0" fontId="41" fillId="0" borderId="0" xfId="0" applyFont="1" applyAlignment="1">
      <alignment horizontal="left" vertical="top" indent="2"/>
    </xf>
    <xf numFmtId="0" fontId="13" fillId="0" borderId="0" xfId="0" quotePrefix="1" applyFont="1"/>
    <xf numFmtId="44" fontId="13" fillId="0" borderId="0" xfId="1" applyNumberFormat="1" applyFont="1" applyAlignment="1">
      <alignment horizontal="right"/>
    </xf>
    <xf numFmtId="10" fontId="13" fillId="0" borderId="0" xfId="10" applyNumberFormat="1" applyFont="1" applyAlignment="1">
      <alignment horizontal="center"/>
    </xf>
    <xf numFmtId="43" fontId="13" fillId="2" borderId="0" xfId="1" applyFont="1" applyFill="1" applyBorder="1" applyAlignment="1"/>
    <xf numFmtId="0" fontId="41" fillId="2" borderId="0" xfId="0" quotePrefix="1" applyFont="1" applyFill="1" applyAlignment="1">
      <alignment horizontal="left" vertical="center" indent="2"/>
    </xf>
    <xf numFmtId="43" fontId="13" fillId="2" borderId="0" xfId="1" applyFont="1" applyFill="1" applyBorder="1" applyAlignment="1">
      <alignment horizontal="left" vertical="center" indent="2"/>
    </xf>
    <xf numFmtId="0" fontId="41" fillId="2" borderId="0" xfId="0" quotePrefix="1" applyFont="1" applyFill="1" applyAlignment="1">
      <alignment horizontal="left" vertical="top" indent="2"/>
    </xf>
    <xf numFmtId="0" fontId="41" fillId="2" borderId="0" xfId="0" applyFont="1" applyFill="1" applyAlignment="1">
      <alignment horizontal="left" indent="2"/>
    </xf>
    <xf numFmtId="0" fontId="13" fillId="2" borderId="0" xfId="0" quotePrefix="1" applyFont="1" applyFill="1"/>
    <xf numFmtId="44" fontId="13" fillId="2" borderId="0" xfId="1" applyNumberFormat="1" applyFont="1" applyFill="1" applyAlignment="1">
      <alignment horizontal="right"/>
    </xf>
    <xf numFmtId="2" fontId="13" fillId="2" borderId="0" xfId="0" quotePrefix="1" applyNumberFormat="1" applyFont="1" applyFill="1" applyAlignment="1">
      <alignment horizontal="center"/>
    </xf>
    <xf numFmtId="10" fontId="13" fillId="2" borderId="0" xfId="10" applyNumberFormat="1" applyFont="1" applyFill="1" applyAlignment="1">
      <alignment horizontal="center"/>
    </xf>
    <xf numFmtId="43" fontId="13" fillId="2" borderId="5" xfId="1" applyFont="1" applyFill="1" applyBorder="1" applyAlignment="1"/>
    <xf numFmtId="0" fontId="41" fillId="2" borderId="0" xfId="0" applyFont="1" applyFill="1" applyAlignment="1">
      <alignment horizontal="left" vertical="top" indent="2"/>
    </xf>
    <xf numFmtId="181" fontId="18" fillId="0" borderId="1" xfId="1" applyNumberFormat="1" applyFont="1" applyBorder="1" applyAlignment="1">
      <alignment horizontal="center"/>
    </xf>
    <xf numFmtId="0" fontId="36" fillId="0" borderId="0" xfId="0" applyFont="1"/>
    <xf numFmtId="0" fontId="36" fillId="2" borderId="0" xfId="0" applyFont="1" applyFill="1"/>
    <xf numFmtId="0" fontId="36" fillId="2" borderId="0" xfId="0" quotePrefix="1" applyFont="1" applyFill="1" applyAlignment="1">
      <alignment horizontal="left"/>
    </xf>
    <xf numFmtId="0" fontId="36" fillId="0" borderId="0" xfId="0" quotePrefix="1" applyFont="1" applyAlignment="1">
      <alignment horizontal="left"/>
    </xf>
    <xf numFmtId="43" fontId="13" fillId="0" borderId="0" xfId="1" applyFont="1"/>
    <xf numFmtId="41" fontId="13" fillId="2" borderId="1" xfId="0" applyNumberFormat="1" applyFont="1" applyFill="1" applyBorder="1"/>
    <xf numFmtId="41" fontId="13" fillId="2" borderId="0" xfId="0" applyNumberFormat="1" applyFont="1" applyFill="1"/>
    <xf numFmtId="166" fontId="13" fillId="2" borderId="0" xfId="0" applyNumberFormat="1" applyFont="1" applyFill="1" applyAlignment="1">
      <alignment horizontal="center"/>
    </xf>
    <xf numFmtId="166" fontId="13" fillId="0" borderId="0" xfId="0" applyNumberFormat="1" applyFont="1" applyAlignment="1">
      <alignment horizontal="center"/>
    </xf>
    <xf numFmtId="0" fontId="4" fillId="0" borderId="0" xfId="0" quotePrefix="1" applyFont="1" applyAlignment="1">
      <alignment horizontal="left"/>
    </xf>
    <xf numFmtId="43" fontId="15" fillId="0" borderId="0" xfId="1" applyFont="1" applyFill="1" applyBorder="1" applyAlignment="1"/>
    <xf numFmtId="0" fontId="15" fillId="0" borderId="0" xfId="0" applyFont="1" applyAlignment="1">
      <alignment horizontal="right"/>
    </xf>
    <xf numFmtId="7" fontId="43" fillId="0" borderId="0" xfId="0" quotePrefix="1" applyNumberFormat="1" applyFont="1" applyAlignment="1">
      <alignment horizontal="center"/>
    </xf>
    <xf numFmtId="17" fontId="43" fillId="0" borderId="0" xfId="0" quotePrefix="1" applyNumberFormat="1" applyFont="1" applyAlignment="1">
      <alignment horizontal="center"/>
    </xf>
    <xf numFmtId="7" fontId="43" fillId="0" borderId="0" xfId="0" applyNumberFormat="1" applyFont="1" applyAlignment="1">
      <alignment horizontal="center"/>
    </xf>
    <xf numFmtId="2" fontId="15" fillId="0" borderId="0" xfId="0" quotePrefix="1" applyNumberFormat="1" applyFont="1" applyAlignment="1">
      <alignment horizontal="center"/>
    </xf>
    <xf numFmtId="0" fontId="44" fillId="0" borderId="0" xfId="0" quotePrefix="1" applyFont="1" applyAlignment="1">
      <alignment horizontal="center"/>
    </xf>
    <xf numFmtId="0" fontId="13" fillId="0" borderId="0" xfId="0" quotePrefix="1" applyFont="1" applyAlignment="1">
      <alignment horizontal="left" wrapText="1"/>
    </xf>
    <xf numFmtId="2" fontId="38" fillId="0" borderId="0" xfId="0" applyNumberFormat="1" applyFont="1" applyAlignment="1">
      <alignment horizontal="left" indent="3"/>
    </xf>
    <xf numFmtId="2" fontId="23" fillId="2" borderId="0" xfId="0" applyNumberFormat="1" applyFont="1" applyFill="1" applyAlignment="1">
      <alignment horizontal="left"/>
    </xf>
    <xf numFmtId="0" fontId="13" fillId="2" borderId="0" xfId="0" quotePrefix="1" applyFont="1" applyFill="1" applyAlignment="1">
      <alignment horizontal="left" wrapText="1"/>
    </xf>
    <xf numFmtId="7" fontId="19" fillId="0" borderId="1" xfId="0" quotePrefix="1" applyNumberFormat="1" applyFont="1" applyBorder="1" applyAlignment="1">
      <alignment horizontal="center"/>
    </xf>
    <xf numFmtId="43" fontId="30" fillId="0" borderId="0" xfId="7" applyNumberFormat="1" applyFont="1"/>
    <xf numFmtId="49" fontId="16" fillId="0" borderId="0" xfId="0" quotePrefix="1" applyNumberFormat="1" applyFont="1" applyFill="1" applyAlignment="1">
      <alignment horizontal="left" indent="1"/>
    </xf>
    <xf numFmtId="0" fontId="17" fillId="2" borderId="7" xfId="0" quotePrefix="1" applyFont="1" applyFill="1" applyBorder="1" applyAlignment="1">
      <alignment horizontal="left"/>
    </xf>
    <xf numFmtId="0" fontId="13" fillId="0" borderId="1" xfId="0" quotePrefix="1" applyFont="1" applyBorder="1" applyAlignment="1">
      <alignment horizontal="center"/>
    </xf>
    <xf numFmtId="0" fontId="13" fillId="0" borderId="0" xfId="0" applyFont="1" applyAlignment="1">
      <alignment horizontal="lef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applyFont="1" applyFill="1" applyAlignment="1">
      <alignment horizontal="right"/>
    </xf>
    <xf numFmtId="0" fontId="13" fillId="2" borderId="0" xfId="0" applyFont="1" applyFill="1" applyAlignment="1">
      <alignment horizontal="center"/>
    </xf>
    <xf numFmtId="0" fontId="13" fillId="2" borderId="1" xfId="0" quotePrefix="1" applyFont="1" applyFill="1" applyBorder="1" applyAlignment="1">
      <alignment horizontal="center"/>
    </xf>
    <xf numFmtId="0" fontId="13" fillId="0" borderId="0" xfId="0" quotePrefix="1" applyFont="1" applyAlignment="1">
      <alignment horizontal="left"/>
    </xf>
    <xf numFmtId="0" fontId="13" fillId="2" borderId="0" xfId="0" applyFont="1" applyFill="1" applyAlignment="1">
      <alignment horizontal="left"/>
    </xf>
    <xf numFmtId="0" fontId="13" fillId="2" borderId="0" xfId="0" quotePrefix="1" applyFont="1" applyFill="1" applyAlignment="1">
      <alignment horizontal="left"/>
    </xf>
    <xf numFmtId="0" fontId="45" fillId="0" borderId="0" xfId="0" quotePrefix="1" applyFont="1" applyAlignment="1">
      <alignment horizontal="center"/>
    </xf>
    <xf numFmtId="0" fontId="45" fillId="0" borderId="1" xfId="0" quotePrefix="1" applyFont="1" applyBorder="1" applyAlignment="1">
      <alignment horizontal="center"/>
    </xf>
    <xf numFmtId="7" fontId="13" fillId="0" borderId="0" xfId="0" quotePrefix="1" applyNumberFormat="1" applyFont="1" applyAlignment="1">
      <alignment horizontal="center"/>
    </xf>
    <xf numFmtId="170" fontId="45" fillId="6" borderId="0" xfId="6" applyNumberFormat="1" applyFont="1" applyFill="1" applyBorder="1" applyAlignment="1"/>
    <xf numFmtId="0" fontId="15" fillId="0" borderId="0" xfId="0" applyFont="1" applyFill="1" applyBorder="1"/>
    <xf numFmtId="0" fontId="13" fillId="2" borderId="1" xfId="0" applyFont="1" applyFill="1" applyBorder="1"/>
    <xf numFmtId="170" fontId="45" fillId="2" borderId="1" xfId="6" applyNumberFormat="1" applyFont="1" applyFill="1" applyBorder="1" applyAlignment="1"/>
    <xf numFmtId="0" fontId="16" fillId="2" borderId="0" xfId="0" quotePrefix="1" applyFont="1" applyFill="1" applyAlignment="1">
      <alignment horizontal="left"/>
    </xf>
    <xf numFmtId="0" fontId="15" fillId="2" borderId="0" xfId="0" quotePrefix="1" applyFont="1" applyFill="1" applyAlignment="1">
      <alignment horizontal="center"/>
    </xf>
    <xf numFmtId="166" fontId="18" fillId="2" borderId="0" xfId="0" applyNumberFormat="1" applyFont="1" applyFill="1" applyAlignment="1">
      <alignment horizontal="center"/>
    </xf>
    <xf numFmtId="7" fontId="15" fillId="2" borderId="0" xfId="0" quotePrefix="1" applyNumberFormat="1" applyFont="1" applyFill="1" applyBorder="1" applyAlignment="1">
      <alignment horizontal="center"/>
    </xf>
    <xf numFmtId="17" fontId="15" fillId="2" borderId="0" xfId="0" quotePrefix="1" applyNumberFormat="1" applyFont="1" applyFill="1" applyBorder="1" applyAlignment="1">
      <alignment horizontal="center"/>
    </xf>
    <xf numFmtId="7" fontId="15" fillId="2" borderId="0" xfId="0" applyNumberFormat="1" applyFont="1" applyFill="1" applyBorder="1" applyAlignment="1">
      <alignment horizontal="center"/>
    </xf>
    <xf numFmtId="0" fontId="15" fillId="2" borderId="0" xfId="0" quotePrefix="1" applyFont="1" applyFill="1" applyBorder="1" applyAlignment="1">
      <alignment horizontal="center"/>
    </xf>
    <xf numFmtId="169" fontId="13" fillId="2" borderId="0" xfId="0" quotePrefix="1" applyNumberFormat="1" applyFont="1" applyFill="1" applyBorder="1" applyAlignment="1">
      <alignment horizontal="center"/>
    </xf>
    <xf numFmtId="2" fontId="13" fillId="2" borderId="0" xfId="0" quotePrefix="1" applyNumberFormat="1" applyFont="1" applyFill="1" applyBorder="1" applyAlignment="1">
      <alignment horizontal="center"/>
    </xf>
    <xf numFmtId="0" fontId="45" fillId="2" borderId="1" xfId="0" quotePrefix="1" applyFont="1" applyFill="1" applyBorder="1" applyAlignment="1">
      <alignment horizontal="center"/>
    </xf>
    <xf numFmtId="44" fontId="13" fillId="2" borderId="8" xfId="0" applyNumberFormat="1" applyFont="1" applyFill="1" applyBorder="1"/>
    <xf numFmtId="164" fontId="13" fillId="2" borderId="5" xfId="6" applyNumberFormat="1" applyFont="1" applyFill="1" applyBorder="1" applyAlignment="1"/>
    <xf numFmtId="164" fontId="13" fillId="2" borderId="1" xfId="6" applyNumberFormat="1" applyFont="1" applyFill="1" applyBorder="1" applyAlignment="1"/>
    <xf numFmtId="164" fontId="13" fillId="2" borderId="1" xfId="0" applyNumberFormat="1" applyFont="1" applyFill="1" applyBorder="1"/>
    <xf numFmtId="164" fontId="13" fillId="2" borderId="6" xfId="6" applyNumberFormat="1" applyFont="1" applyFill="1" applyBorder="1" applyAlignment="1"/>
    <xf numFmtId="164" fontId="13" fillId="2" borderId="3" xfId="6" applyNumberFormat="1" applyFont="1" applyFill="1" applyBorder="1" applyAlignment="1"/>
    <xf numFmtId="164" fontId="13" fillId="2" borderId="0" xfId="6" applyNumberFormat="1" applyFont="1" applyFill="1" applyBorder="1" applyAlignment="1"/>
    <xf numFmtId="164" fontId="13" fillId="2" borderId="0" xfId="0" applyNumberFormat="1" applyFont="1" applyFill="1"/>
    <xf numFmtId="4" fontId="13" fillId="2" borderId="1" xfId="0" applyNumberFormat="1" applyFont="1" applyFill="1" applyBorder="1"/>
    <xf numFmtId="164" fontId="13" fillId="2" borderId="8" xfId="0" applyNumberFormat="1" applyFont="1" applyFill="1" applyBorder="1"/>
    <xf numFmtId="0" fontId="46" fillId="0" borderId="0" xfId="0" quotePrefix="1" applyFont="1" applyAlignment="1">
      <alignment horizontal="left" vertical="center" indent="2"/>
    </xf>
    <xf numFmtId="0" fontId="46" fillId="0" borderId="0" xfId="0" applyFont="1" applyAlignment="1">
      <alignment horizontal="left" vertical="top" indent="2"/>
    </xf>
    <xf numFmtId="0" fontId="46" fillId="0" borderId="0" xfId="0" quotePrefix="1" applyFont="1" applyAlignment="1">
      <alignment horizontal="left" vertical="top" indent="2"/>
    </xf>
    <xf numFmtId="0" fontId="13" fillId="0" borderId="1" xfId="0" quotePrefix="1" applyFont="1" applyBorder="1" applyAlignment="1">
      <alignment horizontal="center"/>
    </xf>
    <xf numFmtId="0" fontId="13" fillId="0" borderId="0" xfId="0" applyFont="1" applyAlignment="1">
      <alignment horizontal="left"/>
    </xf>
    <xf numFmtId="2" fontId="13" fillId="0" borderId="0" xfId="0" applyNumberFormat="1"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applyFont="1" applyAlignment="1">
      <alignment horizontal="center"/>
    </xf>
    <xf numFmtId="0" fontId="13" fillId="0" borderId="0" xfId="0" quotePrefix="1" applyFont="1" applyAlignment="1">
      <alignment horizontal="center"/>
    </xf>
    <xf numFmtId="0" fontId="13" fillId="0" borderId="0" xfId="0" applyFont="1" applyAlignment="1">
      <alignment horizontal="right"/>
    </xf>
    <xf numFmtId="0" fontId="47" fillId="0" borderId="0" xfId="0" applyFont="1" applyAlignment="1">
      <alignment horizontal="left" vertical="center"/>
    </xf>
    <xf numFmtId="0" fontId="49" fillId="0" borderId="0" xfId="0" applyFont="1" applyAlignment="1">
      <alignment horizontal="left" vertical="center" wrapText="1"/>
    </xf>
    <xf numFmtId="49" fontId="16" fillId="0" borderId="0" xfId="0" quotePrefix="1" applyNumberFormat="1" applyFont="1" applyFill="1"/>
    <xf numFmtId="49" fontId="30" fillId="4" borderId="0" xfId="0" quotePrefix="1" applyNumberFormat="1" applyFont="1" applyFill="1" applyAlignment="1">
      <alignment horizontal="left"/>
    </xf>
    <xf numFmtId="0" fontId="17" fillId="2" borderId="7" xfId="0" quotePrefix="1" applyFont="1" applyFill="1" applyBorder="1" applyAlignment="1">
      <alignment horizontal="left" indent="2"/>
    </xf>
    <xf numFmtId="49" fontId="32" fillId="2" borderId="0" xfId="0" quotePrefix="1" applyNumberFormat="1" applyFont="1" applyFill="1" applyBorder="1" applyAlignment="1">
      <alignment horizontal="center"/>
    </xf>
    <xf numFmtId="0" fontId="32" fillId="2" borderId="23" xfId="0" applyFont="1" applyFill="1" applyBorder="1"/>
    <xf numFmtId="0" fontId="32" fillId="2" borderId="14" xfId="0" applyFont="1" applyFill="1" applyBorder="1"/>
    <xf numFmtId="0" fontId="17" fillId="2" borderId="15" xfId="0" applyFont="1" applyFill="1" applyBorder="1"/>
    <xf numFmtId="0" fontId="33" fillId="2" borderId="13" xfId="0" quotePrefix="1" applyFont="1" applyFill="1" applyBorder="1" applyAlignment="1">
      <alignment horizontal="left" indent="2"/>
    </xf>
    <xf numFmtId="0" fontId="16" fillId="0" borderId="0" xfId="0" quotePrefix="1" applyFont="1" applyFill="1" applyAlignment="1">
      <alignment horizontal="left" vertical="center" indent="1"/>
    </xf>
    <xf numFmtId="43" fontId="16" fillId="0" borderId="0" xfId="0" applyNumberFormat="1" applyFont="1" applyBorder="1"/>
    <xf numFmtId="0" fontId="17" fillId="2" borderId="0" xfId="0" quotePrefix="1" applyFont="1" applyFill="1" applyBorder="1" applyAlignment="1">
      <alignment vertical="top" wrapText="1"/>
    </xf>
    <xf numFmtId="0" fontId="17" fillId="2" borderId="14" xfId="0" quotePrefix="1" applyFont="1" applyFill="1" applyBorder="1" applyAlignment="1">
      <alignment vertical="top" wrapText="1"/>
    </xf>
    <xf numFmtId="43" fontId="33" fillId="0" borderId="0" xfId="0" quotePrefix="1" applyNumberFormat="1" applyFont="1" applyAlignment="1">
      <alignment horizontal="left"/>
    </xf>
    <xf numFmtId="49" fontId="17" fillId="2" borderId="0" xfId="0" quotePrefix="1" applyNumberFormat="1" applyFont="1" applyFill="1" applyAlignment="1">
      <alignment horizontal="center"/>
    </xf>
    <xf numFmtId="0" fontId="17" fillId="2" borderId="7" xfId="0" quotePrefix="1" applyFont="1" applyFill="1" applyBorder="1"/>
    <xf numFmtId="0" fontId="17" fillId="0" borderId="0" xfId="0" quotePrefix="1" applyFont="1" applyAlignment="1">
      <alignment horizontal="center"/>
    </xf>
    <xf numFmtId="0" fontId="32" fillId="0" borderId="18" xfId="0" quotePrefix="1" applyFont="1" applyBorder="1" applyAlignment="1">
      <alignment horizontal="center"/>
    </xf>
    <xf numFmtId="0" fontId="32" fillId="0" borderId="19" xfId="0" quotePrefix="1" applyFont="1" applyBorder="1" applyAlignment="1">
      <alignment horizontal="center"/>
    </xf>
    <xf numFmtId="0" fontId="32" fillId="0" borderId="20" xfId="0" quotePrefix="1" applyFont="1" applyBorder="1" applyAlignment="1">
      <alignment horizontal="center"/>
    </xf>
    <xf numFmtId="49" fontId="32" fillId="0" borderId="4" xfId="7" quotePrefix="1" applyNumberFormat="1" applyFont="1" applyBorder="1" applyAlignment="1">
      <alignment horizontal="center"/>
    </xf>
    <xf numFmtId="49" fontId="32" fillId="0" borderId="4" xfId="7" applyNumberFormat="1" applyFont="1" applyBorder="1" applyAlignment="1">
      <alignment horizontal="center"/>
    </xf>
    <xf numFmtId="2" fontId="38" fillId="0" borderId="0" xfId="0" applyNumberFormat="1" applyFont="1" applyAlignment="1">
      <alignment horizontal="left" indent="3"/>
    </xf>
    <xf numFmtId="4" fontId="13" fillId="0" borderId="0" xfId="0" quotePrefix="1" applyNumberFormat="1" applyFont="1" applyAlignment="1">
      <alignment horizontal="center"/>
    </xf>
    <xf numFmtId="0" fontId="36" fillId="0" borderId="0" xfId="0" quotePrefix="1" applyFont="1" applyAlignment="1">
      <alignment horizontal="right"/>
    </xf>
    <xf numFmtId="0" fontId="36" fillId="0" borderId="0" xfId="0" applyFont="1" applyAlignment="1">
      <alignment horizontal="right"/>
    </xf>
    <xf numFmtId="0" fontId="47" fillId="0" borderId="0" xfId="0" applyFont="1" applyAlignment="1">
      <alignment horizontal="left" vertical="center"/>
    </xf>
    <xf numFmtId="0" fontId="47" fillId="0" borderId="0" xfId="0" applyFont="1" applyAlignment="1">
      <alignment horizontal="left" vertical="center" wrapText="1"/>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0" borderId="0" xfId="0" applyFont="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xf>
    <xf numFmtId="0" fontId="36" fillId="0" borderId="0" xfId="0" quotePrefix="1" applyFont="1" applyAlignment="1">
      <alignment horizontal="center"/>
    </xf>
    <xf numFmtId="174" fontId="13" fillId="0" borderId="9" xfId="0" applyNumberFormat="1" applyFont="1" applyBorder="1"/>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48" fillId="0" borderId="0" xfId="0" applyFont="1" applyFill="1" applyAlignment="1">
      <alignment horizontal="left" vertical="center" wrapText="1"/>
    </xf>
    <xf numFmtId="0" fontId="47" fillId="0" borderId="0" xfId="0" applyFont="1" applyFill="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xf>
    <xf numFmtId="174" fontId="13" fillId="0" borderId="0" xfId="0" applyNumberFormat="1" applyFont="1"/>
    <xf numFmtId="3" fontId="13" fillId="0" borderId="0" xfId="0" quotePrefix="1" applyNumberFormat="1" applyFont="1" applyAlignment="1">
      <alignment horizontal="center"/>
    </xf>
    <xf numFmtId="7" fontId="13" fillId="0" borderId="0" xfId="0" applyNumberFormat="1" applyFont="1" applyAlignment="1">
      <alignment horizontal="right"/>
    </xf>
    <xf numFmtId="0" fontId="13" fillId="9" borderId="1" xfId="0" applyFont="1" applyFill="1" applyBorder="1" applyAlignment="1">
      <alignment horizontal="center"/>
    </xf>
    <xf numFmtId="2" fontId="13" fillId="2" borderId="22" xfId="0" applyNumberFormat="1" applyFont="1" applyFill="1" applyBorder="1" applyAlignment="1">
      <alignment horizontal="center"/>
    </xf>
    <xf numFmtId="0" fontId="13" fillId="2" borderId="0" xfId="0" applyFont="1" applyFill="1" applyAlignment="1">
      <alignment horizontal="right"/>
    </xf>
    <xf numFmtId="4" fontId="22" fillId="2" borderId="0" xfId="0" applyNumberFormat="1" applyFont="1" applyFill="1" applyAlignment="1">
      <alignment horizontal="left"/>
    </xf>
    <xf numFmtId="0" fontId="13" fillId="2" borderId="0" xfId="0" applyFont="1" applyFill="1" applyAlignment="1">
      <alignment horizontal="left"/>
    </xf>
    <xf numFmtId="166" fontId="18" fillId="2" borderId="0" xfId="0" applyNumberFormat="1" applyFont="1" applyFill="1" applyAlignment="1">
      <alignment horizontal="left"/>
    </xf>
    <xf numFmtId="0" fontId="13" fillId="2" borderId="0" xfId="0" quotePrefix="1" applyFont="1" applyFill="1" applyAlignment="1">
      <alignment horizontal="left"/>
    </xf>
    <xf numFmtId="168" fontId="13" fillId="2" borderId="0" xfId="0" quotePrefix="1" applyNumberFormat="1" applyFont="1" applyFill="1" applyAlignment="1">
      <alignment horizontal="left"/>
    </xf>
    <xf numFmtId="168" fontId="13" fillId="2" borderId="0" xfId="0" applyNumberFormat="1" applyFont="1" applyFill="1" applyAlignment="1">
      <alignment horizontal="left"/>
    </xf>
    <xf numFmtId="0" fontId="13" fillId="2" borderId="1" xfId="0" applyFont="1" applyFill="1" applyBorder="1" applyAlignment="1">
      <alignment horizontal="left"/>
    </xf>
    <xf numFmtId="0" fontId="19" fillId="2" borderId="5" xfId="0" applyFont="1" applyFill="1" applyBorder="1" applyAlignment="1">
      <alignment horizontal="center"/>
    </xf>
    <xf numFmtId="2" fontId="13" fillId="2" borderId="0" xfId="0" applyNumberFormat="1" applyFont="1" applyFill="1" applyAlignment="1">
      <alignment horizontal="center"/>
    </xf>
    <xf numFmtId="0" fontId="15" fillId="2" borderId="6" xfId="0" applyFont="1" applyFill="1" applyBorder="1" applyAlignment="1">
      <alignment horizontal="left" vertical="center" wrapText="1"/>
    </xf>
    <xf numFmtId="0" fontId="15" fillId="2" borderId="0" xfId="0" applyFont="1" applyFill="1" applyAlignment="1">
      <alignment horizontal="left" vertical="center" wrapText="1"/>
    </xf>
    <xf numFmtId="2" fontId="20" fillId="2" borderId="1" xfId="0" applyNumberFormat="1" applyFont="1" applyFill="1" applyBorder="1" applyAlignment="1">
      <alignment horizontal="center"/>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0" fontId="17" fillId="2" borderId="0" xfId="0" applyFont="1" applyFill="1" applyAlignment="1">
      <alignment horizontal="left"/>
    </xf>
    <xf numFmtId="0" fontId="17" fillId="0" borderId="0" xfId="0" applyFont="1" applyAlignment="1">
      <alignment horizontal="left"/>
    </xf>
    <xf numFmtId="0" fontId="31" fillId="2" borderId="0" xfId="0" applyFont="1" applyFill="1" applyAlignment="1">
      <alignment horizontal="left"/>
    </xf>
    <xf numFmtId="0" fontId="13" fillId="2" borderId="1" xfId="0" applyFont="1" applyFill="1" applyBorder="1" applyAlignment="1">
      <alignment horizontal="center"/>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169" fontId="36"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3" fillId="2" borderId="0" xfId="0" applyNumberFormat="1" applyFont="1" applyFill="1" applyAlignment="1">
      <alignment horizontal="left"/>
    </xf>
    <xf numFmtId="4" fontId="13" fillId="2" borderId="0" xfId="0" quotePrefix="1" applyNumberFormat="1" applyFont="1" applyFill="1" applyAlignment="1">
      <alignment horizontal="left"/>
    </xf>
    <xf numFmtId="0" fontId="22" fillId="2" borderId="0" xfId="0" applyFont="1" applyFill="1" applyAlignment="1">
      <alignment horizontal="right"/>
    </xf>
    <xf numFmtId="0" fontId="22" fillId="2" borderId="0" xfId="0" quotePrefix="1" applyFont="1" applyFill="1" applyAlignment="1">
      <alignment horizontal="center"/>
    </xf>
    <xf numFmtId="0" fontId="22" fillId="2" borderId="0" xfId="0" applyFont="1" applyFill="1" applyAlignment="1">
      <alignment horizontal="center"/>
    </xf>
    <xf numFmtId="168" fontId="17" fillId="2" borderId="0" xfId="0" quotePrefix="1" applyNumberFormat="1" applyFont="1" applyFill="1" applyAlignment="1">
      <alignment horizontal="left"/>
    </xf>
    <xf numFmtId="168" fontId="17" fillId="2" borderId="0" xfId="0" applyNumberFormat="1" applyFont="1" applyFill="1" applyAlignment="1">
      <alignment horizontal="left"/>
    </xf>
    <xf numFmtId="168" fontId="42" fillId="2" borderId="0" xfId="0" quotePrefix="1" applyNumberFormat="1" applyFont="1" applyFill="1" applyAlignment="1">
      <alignment horizontal="left"/>
    </xf>
    <xf numFmtId="168" fontId="42" fillId="2" borderId="0" xfId="0" applyNumberFormat="1" applyFont="1" applyFill="1" applyAlignment="1">
      <alignment horizontal="left"/>
    </xf>
    <xf numFmtId="0" fontId="13" fillId="2" borderId="0" xfId="0" quotePrefix="1"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0" fontId="13" fillId="2" borderId="0" xfId="0" applyFont="1" applyFill="1" applyAlignment="1">
      <alignment horizontal="left" wrapText="1"/>
    </xf>
    <xf numFmtId="168" fontId="13" fillId="2" borderId="0" xfId="0" applyNumberFormat="1" applyFont="1" applyFill="1" applyAlignment="1">
      <alignment horizontal="center"/>
    </xf>
    <xf numFmtId="0" fontId="15" fillId="2" borderId="0" xfId="0" quotePrefix="1" applyFont="1" applyFill="1" applyAlignment="1">
      <alignment horizontal="left"/>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7" fillId="0" borderId="7" xfId="0" applyFont="1" applyBorder="1" applyAlignment="1">
      <alignment horizontal="left"/>
    </xf>
    <xf numFmtId="0" fontId="37"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6" borderId="6" xfId="0" applyNumberFormat="1" applyFont="1" applyFill="1" applyBorder="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0" fontId="4" fillId="2" borderId="0" xfId="0" quotePrefix="1" applyFont="1" applyFill="1" applyAlignment="1">
      <alignment horizontal="center"/>
    </xf>
    <xf numFmtId="7" fontId="13"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492</xdr:row>
      <xdr:rowOff>161924</xdr:rowOff>
    </xdr:from>
    <xdr:to>
      <xdr:col>6</xdr:col>
      <xdr:colOff>828674</xdr:colOff>
      <xdr:row>504</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4"/>
  <sheetViews>
    <sheetView tabSelected="1" workbookViewId="0">
      <selection activeCell="I504" sqref="I504"/>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493</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10"/>
      <c r="G3" s="510"/>
      <c r="I3" s="253"/>
    </row>
    <row r="4" spans="1:9" ht="12.75" customHeight="1" thickBot="1" x14ac:dyDescent="0.25">
      <c r="A4" s="192"/>
      <c r="B4" s="193" t="s">
        <v>157</v>
      </c>
      <c r="C4" s="221" t="s">
        <v>227</v>
      </c>
      <c r="D4" s="194" t="s">
        <v>158</v>
      </c>
      <c r="E4" s="234" t="s">
        <v>2</v>
      </c>
      <c r="F4" s="271" t="s">
        <v>252</v>
      </c>
      <c r="G4" s="234" t="s">
        <v>232</v>
      </c>
      <c r="I4" s="317" t="s">
        <v>279</v>
      </c>
    </row>
    <row r="5" spans="1:9" s="261" customFormat="1" ht="13.5" customHeight="1" x14ac:dyDescent="0.2">
      <c r="A5" s="199">
        <v>1</v>
      </c>
      <c r="B5" s="200" t="s">
        <v>159</v>
      </c>
      <c r="C5" s="220" t="s">
        <v>191</v>
      </c>
      <c r="D5" s="496" t="s">
        <v>492</v>
      </c>
      <c r="E5" s="201">
        <f>'1461'!I$142</f>
        <v>575325.16</v>
      </c>
      <c r="F5" s="328"/>
      <c r="G5" s="201">
        <f>SUBTOTAL(109,E5:F26)</f>
        <v>497037.14000000007</v>
      </c>
      <c r="H5" s="260"/>
      <c r="I5" s="336"/>
    </row>
    <row r="6" spans="1:9" s="261" customFormat="1" ht="12.75" hidden="1" customHeight="1" x14ac:dyDescent="0.2">
      <c r="A6" s="199"/>
      <c r="B6" s="200"/>
      <c r="C6" s="220"/>
      <c r="D6" s="233" t="s">
        <v>280</v>
      </c>
      <c r="E6" s="201"/>
      <c r="F6" s="328"/>
      <c r="G6" s="201"/>
      <c r="H6" s="260"/>
      <c r="I6" s="337"/>
    </row>
    <row r="7" spans="1:9" s="261" customFormat="1" ht="12.75" hidden="1" customHeight="1" x14ac:dyDescent="0.2">
      <c r="A7" s="199"/>
      <c r="B7" s="200"/>
      <c r="C7" s="220"/>
      <c r="D7" s="374" t="s">
        <v>475</v>
      </c>
      <c r="E7" s="201"/>
      <c r="F7" s="328"/>
      <c r="G7" s="201"/>
      <c r="H7" s="260"/>
      <c r="I7" s="337"/>
    </row>
    <row r="8" spans="1:9" s="261" customFormat="1" ht="12.75" hidden="1" customHeight="1" x14ac:dyDescent="0.2">
      <c r="A8" s="199"/>
      <c r="B8" s="200"/>
      <c r="C8" s="220"/>
      <c r="D8" s="233" t="s">
        <v>282</v>
      </c>
      <c r="E8" s="201"/>
      <c r="F8" s="328"/>
      <c r="G8" s="201"/>
      <c r="H8" s="260"/>
      <c r="I8" s="375"/>
    </row>
    <row r="9" spans="1:9" s="261" customFormat="1" ht="12.75" hidden="1" customHeight="1" x14ac:dyDescent="0.2">
      <c r="A9" s="199"/>
      <c r="B9" s="200"/>
      <c r="C9" s="220"/>
      <c r="D9" s="233" t="s">
        <v>281</v>
      </c>
      <c r="E9" s="201"/>
      <c r="F9" s="328"/>
      <c r="G9" s="201"/>
      <c r="H9" s="260"/>
      <c r="I9" s="375"/>
    </row>
    <row r="10" spans="1:9" s="261" customFormat="1" ht="12.75" hidden="1" customHeight="1" x14ac:dyDescent="0.2">
      <c r="A10" s="199"/>
      <c r="B10" s="200"/>
      <c r="C10" s="220"/>
      <c r="D10" s="233" t="s">
        <v>290</v>
      </c>
      <c r="E10" s="201"/>
      <c r="F10" s="328"/>
      <c r="G10" s="201"/>
      <c r="H10" s="260"/>
      <c r="I10" s="337"/>
    </row>
    <row r="11" spans="1:9" s="261" customFormat="1" ht="12.75" hidden="1" customHeight="1" x14ac:dyDescent="0.2">
      <c r="A11" s="199"/>
      <c r="B11" s="200"/>
      <c r="C11" s="220"/>
      <c r="D11" s="233" t="s">
        <v>259</v>
      </c>
      <c r="E11" s="201"/>
      <c r="F11" s="328"/>
      <c r="G11" s="201"/>
      <c r="H11" s="260"/>
      <c r="I11" s="340"/>
    </row>
    <row r="12" spans="1:9" s="261" customFormat="1" ht="12.75" customHeight="1" x14ac:dyDescent="0.2">
      <c r="A12" s="199"/>
      <c r="B12" s="200"/>
      <c r="C12" s="229"/>
      <c r="D12" s="281" t="s">
        <v>286</v>
      </c>
      <c r="E12" s="201"/>
      <c r="F12" s="328">
        <v>-69513.88</v>
      </c>
      <c r="G12" s="201"/>
      <c r="H12" s="260"/>
      <c r="I12" s="340"/>
    </row>
    <row r="13" spans="1:9" s="261" customFormat="1" ht="12.75" customHeight="1" x14ac:dyDescent="0.2">
      <c r="A13" s="199"/>
      <c r="B13" s="200"/>
      <c r="C13" s="229"/>
      <c r="D13" s="281" t="s">
        <v>230</v>
      </c>
      <c r="E13" s="201"/>
      <c r="F13" s="328">
        <v>-8454.5</v>
      </c>
      <c r="G13" s="201"/>
      <c r="H13" s="260"/>
      <c r="I13" s="338" t="s">
        <v>306</v>
      </c>
    </row>
    <row r="14" spans="1:9" s="261" customFormat="1" ht="12.75" customHeight="1" x14ac:dyDescent="0.2">
      <c r="A14" s="199"/>
      <c r="B14" s="200"/>
      <c r="C14" s="229"/>
      <c r="D14" s="281" t="s">
        <v>231</v>
      </c>
      <c r="E14" s="201"/>
      <c r="F14" s="328">
        <v>-135.16</v>
      </c>
      <c r="G14" s="201"/>
      <c r="H14" s="260"/>
      <c r="I14" s="338"/>
    </row>
    <row r="15" spans="1:9" s="261" customFormat="1" ht="12.75" customHeight="1" x14ac:dyDescent="0.2">
      <c r="A15" s="199"/>
      <c r="B15" s="200"/>
      <c r="C15" s="229"/>
      <c r="D15" s="315" t="s">
        <v>432</v>
      </c>
      <c r="E15" s="201"/>
      <c r="F15" s="328">
        <v>-94.48</v>
      </c>
      <c r="G15" s="201"/>
      <c r="H15" s="260"/>
      <c r="I15" s="338"/>
    </row>
    <row r="16" spans="1:9" s="261" customFormat="1" ht="12.75" customHeight="1" thickBot="1" x14ac:dyDescent="0.25">
      <c r="A16" s="199"/>
      <c r="B16" s="200"/>
      <c r="C16" s="229"/>
      <c r="D16" s="281" t="s">
        <v>313</v>
      </c>
      <c r="E16" s="201"/>
      <c r="F16" s="328">
        <v>-90</v>
      </c>
      <c r="G16" s="201"/>
      <c r="H16" s="260"/>
      <c r="I16" s="502"/>
    </row>
    <row r="17" spans="1:12" s="261" customFormat="1" ht="12.75" hidden="1" customHeight="1" x14ac:dyDescent="0.2">
      <c r="A17" s="199"/>
      <c r="B17" s="200"/>
      <c r="C17" s="376" t="s">
        <v>345</v>
      </c>
      <c r="D17" s="315" t="s">
        <v>332</v>
      </c>
      <c r="E17" s="201"/>
      <c r="F17" s="328"/>
      <c r="G17" s="201"/>
      <c r="H17" s="260"/>
      <c r="I17" s="339"/>
    </row>
    <row r="18" spans="1:12" s="261" customFormat="1" ht="12.75" hidden="1" customHeight="1" x14ac:dyDescent="0.2">
      <c r="A18" s="199"/>
      <c r="B18" s="200"/>
      <c r="C18" s="229"/>
      <c r="D18" s="315" t="s">
        <v>334</v>
      </c>
      <c r="E18" s="201"/>
      <c r="F18" s="328"/>
      <c r="G18" s="201"/>
      <c r="H18" s="260"/>
      <c r="I18" s="340"/>
    </row>
    <row r="19" spans="1:12" s="261" customFormat="1" ht="12.75" hidden="1" customHeight="1" x14ac:dyDescent="0.2">
      <c r="A19" s="199"/>
      <c r="B19" s="200"/>
      <c r="C19" s="229"/>
      <c r="D19" s="315"/>
      <c r="E19" s="201"/>
      <c r="F19" s="328"/>
      <c r="G19" s="201"/>
      <c r="H19" s="260"/>
      <c r="I19" s="340"/>
    </row>
    <row r="20" spans="1:12" s="261" customFormat="1" ht="12.75" hidden="1" customHeight="1" x14ac:dyDescent="0.2">
      <c r="A20" s="199"/>
      <c r="B20" s="200"/>
      <c r="C20" s="229"/>
      <c r="D20" s="315"/>
      <c r="E20" s="201"/>
      <c r="F20" s="328"/>
      <c r="G20" s="201"/>
      <c r="H20" s="260"/>
      <c r="I20" s="340"/>
    </row>
    <row r="21" spans="1:12" s="261" customFormat="1" ht="12.75" hidden="1" customHeight="1" x14ac:dyDescent="0.2">
      <c r="A21" s="199"/>
      <c r="B21" s="200"/>
      <c r="C21" s="229"/>
      <c r="D21" s="315" t="s">
        <v>342</v>
      </c>
      <c r="E21" s="201"/>
      <c r="F21" s="328"/>
      <c r="G21" s="201"/>
      <c r="H21" s="260"/>
      <c r="I21" s="336"/>
    </row>
    <row r="22" spans="1:12" s="261" customFormat="1" ht="12.75" hidden="1" customHeight="1" x14ac:dyDescent="0.2">
      <c r="A22" s="199"/>
      <c r="B22" s="200"/>
      <c r="C22" s="229"/>
      <c r="D22" s="315" t="s">
        <v>343</v>
      </c>
      <c r="E22" s="201"/>
      <c r="F22" s="328"/>
      <c r="G22" s="201"/>
      <c r="H22" s="260"/>
      <c r="I22" s="338"/>
    </row>
    <row r="23" spans="1:12" s="261" customFormat="1" ht="12.75" hidden="1" customHeight="1" thickBot="1" x14ac:dyDescent="0.25">
      <c r="A23" s="199"/>
      <c r="B23" s="200"/>
      <c r="C23" s="229"/>
      <c r="D23" s="315" t="s">
        <v>344</v>
      </c>
      <c r="E23" s="201"/>
      <c r="F23" s="328"/>
      <c r="G23" s="201"/>
      <c r="H23" s="260"/>
      <c r="I23" s="341"/>
    </row>
    <row r="24" spans="1:12" s="261" customFormat="1" ht="12.75" hidden="1" customHeight="1" x14ac:dyDescent="0.2">
      <c r="A24" s="199"/>
      <c r="B24" s="200"/>
      <c r="C24" s="229"/>
      <c r="D24" s="315" t="s">
        <v>347</v>
      </c>
      <c r="E24" s="201"/>
      <c r="F24" s="328"/>
      <c r="G24" s="201"/>
      <c r="H24" s="260"/>
      <c r="I24" s="378"/>
    </row>
    <row r="25" spans="1:12" s="261" customFormat="1" ht="12.75" hidden="1" customHeight="1" x14ac:dyDescent="0.2">
      <c r="A25" s="199"/>
      <c r="B25" s="200"/>
      <c r="C25" s="229"/>
      <c r="D25" s="315" t="s">
        <v>348</v>
      </c>
      <c r="E25" s="201"/>
      <c r="F25" s="328"/>
      <c r="G25" s="201"/>
      <c r="H25" s="260"/>
    </row>
    <row r="26" spans="1:12" s="261" customFormat="1" ht="12.75" hidden="1" customHeight="1" x14ac:dyDescent="0.2">
      <c r="A26" s="199"/>
      <c r="B26" s="200"/>
      <c r="C26" s="229"/>
      <c r="D26" s="315"/>
      <c r="E26" s="201"/>
      <c r="F26" s="328"/>
      <c r="G26" s="201"/>
      <c r="H26" s="260"/>
      <c r="I26" s="320"/>
    </row>
    <row r="27" spans="1:12" s="261" customFormat="1" ht="12.75" customHeight="1" x14ac:dyDescent="0.2">
      <c r="A27" s="195">
        <f>1+A5</f>
        <v>2</v>
      </c>
      <c r="B27" s="196" t="s">
        <v>160</v>
      </c>
      <c r="C27" s="219" t="s">
        <v>193</v>
      </c>
      <c r="D27" s="495" t="str">
        <f>$D$5</f>
        <v>FTE FEB 2024</v>
      </c>
      <c r="E27" s="198">
        <f>'1571'!I$142</f>
        <v>698338.3</v>
      </c>
      <c r="F27" s="329"/>
      <c r="G27" s="198">
        <f>SUBTOTAL(109,E27:F42)</f>
        <v>689547.28</v>
      </c>
      <c r="H27" s="260"/>
      <c r="I27" s="323"/>
    </row>
    <row r="28" spans="1:12" s="261" customFormat="1" ht="12.75" hidden="1" customHeight="1" x14ac:dyDescent="0.2">
      <c r="A28" s="195"/>
      <c r="B28" s="196"/>
      <c r="C28" s="365"/>
      <c r="D28" s="232" t="s">
        <v>280</v>
      </c>
      <c r="E28" s="198"/>
      <c r="F28" s="329"/>
      <c r="G28" s="198"/>
      <c r="H28" s="260"/>
      <c r="I28" s="323"/>
    </row>
    <row r="29" spans="1:12" s="261" customFormat="1" ht="12.75" hidden="1" customHeight="1" x14ac:dyDescent="0.2">
      <c r="A29" s="195"/>
      <c r="B29" s="196"/>
      <c r="C29" s="219"/>
      <c r="D29" s="342" t="s">
        <v>475</v>
      </c>
      <c r="E29" s="198"/>
      <c r="F29" s="329"/>
      <c r="G29" s="198"/>
      <c r="H29" s="260"/>
      <c r="I29" s="323"/>
    </row>
    <row r="30" spans="1:12" s="261" customFormat="1" ht="12.75" hidden="1" customHeight="1" x14ac:dyDescent="0.2">
      <c r="A30" s="195"/>
      <c r="B30" s="196"/>
      <c r="C30" s="241"/>
      <c r="D30" s="342" t="s">
        <v>337</v>
      </c>
      <c r="E30" s="198"/>
      <c r="F30" s="329"/>
      <c r="G30" s="198"/>
      <c r="H30" s="260"/>
      <c r="I30" s="323"/>
    </row>
    <row r="31" spans="1:12" s="261" customFormat="1" ht="12.75" hidden="1" customHeight="1" x14ac:dyDescent="0.2">
      <c r="A31" s="195"/>
      <c r="B31" s="196"/>
      <c r="C31" s="219"/>
      <c r="D31" s="232" t="s">
        <v>282</v>
      </c>
      <c r="E31" s="198"/>
      <c r="F31" s="329"/>
      <c r="G31" s="198"/>
      <c r="H31" s="260"/>
      <c r="I31" s="323"/>
      <c r="L31" s="319">
        <v>44630</v>
      </c>
    </row>
    <row r="32" spans="1:12" s="261" customFormat="1" ht="12.75" hidden="1" customHeight="1" x14ac:dyDescent="0.2">
      <c r="A32" s="195"/>
      <c r="B32" s="196"/>
      <c r="C32" s="219"/>
      <c r="D32" s="232" t="s">
        <v>281</v>
      </c>
      <c r="E32" s="198"/>
      <c r="F32" s="329"/>
      <c r="G32" s="198"/>
      <c r="H32" s="260"/>
      <c r="I32" s="323"/>
      <c r="L32" s="319">
        <f>L31-60</f>
        <v>44570</v>
      </c>
    </row>
    <row r="33" spans="1:13" s="261" customFormat="1" ht="12.75" hidden="1" customHeight="1" x14ac:dyDescent="0.2">
      <c r="A33" s="195"/>
      <c r="B33" s="196"/>
      <c r="C33" s="219"/>
      <c r="D33" s="232" t="s">
        <v>290</v>
      </c>
      <c r="E33" s="198"/>
      <c r="F33" s="329"/>
      <c r="G33" s="198"/>
      <c r="H33" s="260"/>
      <c r="I33" s="323"/>
    </row>
    <row r="34" spans="1:13" s="261" customFormat="1" ht="12.75" hidden="1" customHeight="1" x14ac:dyDescent="0.2">
      <c r="A34" s="195"/>
      <c r="B34" s="196"/>
      <c r="C34" s="219"/>
      <c r="D34" s="232" t="s">
        <v>259</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-152.04</v>
      </c>
      <c r="G36" s="198"/>
      <c r="H36" s="260"/>
      <c r="I36" s="320"/>
    </row>
    <row r="37" spans="1:13" s="261" customFormat="1" ht="12.75" customHeight="1" x14ac:dyDescent="0.2">
      <c r="A37" s="195"/>
      <c r="B37" s="196"/>
      <c r="C37" s="231"/>
      <c r="D37" s="278" t="s">
        <v>432</v>
      </c>
      <c r="E37" s="198"/>
      <c r="F37" s="329">
        <v>-94.48</v>
      </c>
      <c r="G37" s="198"/>
      <c r="H37" s="260"/>
      <c r="I37" s="320"/>
    </row>
    <row r="38" spans="1:13" s="261" customFormat="1" ht="12.75" customHeight="1" x14ac:dyDescent="0.2">
      <c r="A38" s="195"/>
      <c r="B38" s="196"/>
      <c r="C38" s="231"/>
      <c r="D38" s="278" t="s">
        <v>313</v>
      </c>
      <c r="E38" s="198"/>
      <c r="F38" s="329">
        <v>-90</v>
      </c>
      <c r="G38" s="198"/>
      <c r="H38" s="260"/>
      <c r="I38" s="320"/>
    </row>
    <row r="39" spans="1:13" s="261" customFormat="1" ht="12.75" hidden="1" customHeight="1" x14ac:dyDescent="0.2">
      <c r="A39" s="195"/>
      <c r="B39" s="196"/>
      <c r="C39" s="377" t="s">
        <v>346</v>
      </c>
      <c r="D39" s="278" t="s">
        <v>332</v>
      </c>
      <c r="E39" s="198"/>
      <c r="F39" s="329">
        <v>0</v>
      </c>
      <c r="G39" s="198"/>
      <c r="H39" s="298"/>
      <c r="I39" s="320"/>
    </row>
    <row r="40" spans="1:13" s="261" customFormat="1" ht="12.75" hidden="1" customHeight="1" x14ac:dyDescent="0.2">
      <c r="A40" s="195"/>
      <c r="B40" s="196"/>
      <c r="C40" s="231"/>
      <c r="D40" s="343" t="s">
        <v>334</v>
      </c>
      <c r="E40" s="198"/>
      <c r="F40" s="329"/>
      <c r="G40" s="198"/>
      <c r="H40" s="260"/>
      <c r="I40" s="320"/>
    </row>
    <row r="41" spans="1:13" s="261" customFormat="1" ht="12.75" hidden="1" customHeight="1" x14ac:dyDescent="0.2">
      <c r="A41" s="195"/>
      <c r="B41" s="196"/>
      <c r="C41" s="231"/>
      <c r="D41" s="278" t="s">
        <v>320</v>
      </c>
      <c r="E41" s="198"/>
      <c r="F41" s="329">
        <v>0</v>
      </c>
      <c r="G41" s="198"/>
      <c r="H41" s="260"/>
      <c r="I41" s="320"/>
    </row>
    <row r="42" spans="1:13" s="261" customFormat="1" ht="12.75" hidden="1" customHeight="1" x14ac:dyDescent="0.2">
      <c r="A42" s="195"/>
      <c r="B42" s="196"/>
      <c r="C42" s="231"/>
      <c r="D42" s="438" t="s">
        <v>474</v>
      </c>
      <c r="E42" s="198"/>
      <c r="F42" s="329"/>
      <c r="G42" s="198"/>
      <c r="H42" s="260"/>
      <c r="I42" s="320"/>
    </row>
    <row r="43" spans="1:13" s="261" customFormat="1" ht="12.75" customHeight="1" x14ac:dyDescent="0.2">
      <c r="A43" s="199">
        <f>1+A27</f>
        <v>3</v>
      </c>
      <c r="B43" s="200" t="s">
        <v>161</v>
      </c>
      <c r="C43" s="220" t="s">
        <v>194</v>
      </c>
      <c r="D43" s="279" t="str">
        <f>$D$5</f>
        <v>FTE FEB 2024</v>
      </c>
      <c r="E43" s="201">
        <f>'2521'!I$142</f>
        <v>82167.53</v>
      </c>
      <c r="F43" s="328"/>
      <c r="G43" s="201">
        <f>SUBTOTAL(109,E43:F49)</f>
        <v>82167.53</v>
      </c>
      <c r="H43" s="260"/>
      <c r="I43" s="320"/>
    </row>
    <row r="44" spans="1:13" s="261" customFormat="1" ht="12.75" hidden="1" customHeight="1" x14ac:dyDescent="0.2">
      <c r="A44" s="199"/>
      <c r="B44" s="200"/>
      <c r="C44" s="220"/>
      <c r="D44" s="233" t="s">
        <v>280</v>
      </c>
      <c r="E44" s="201"/>
      <c r="F44" s="328"/>
      <c r="G44" s="201"/>
      <c r="H44" s="260"/>
      <c r="I44" s="320"/>
    </row>
    <row r="45" spans="1:13" s="261" customFormat="1" ht="12.75" hidden="1" customHeight="1" x14ac:dyDescent="0.2">
      <c r="A45" s="199"/>
      <c r="B45" s="200"/>
      <c r="C45" s="220"/>
      <c r="D45" s="233" t="s">
        <v>282</v>
      </c>
      <c r="E45" s="201"/>
      <c r="F45" s="328"/>
      <c r="G45" s="201"/>
      <c r="H45" s="260"/>
      <c r="I45" s="320"/>
    </row>
    <row r="46" spans="1:13" s="261" customFormat="1" ht="12.75" hidden="1" customHeight="1" x14ac:dyDescent="0.2">
      <c r="A46" s="199"/>
      <c r="B46" s="200"/>
      <c r="C46" s="220"/>
      <c r="D46" s="233" t="s">
        <v>281</v>
      </c>
      <c r="E46" s="201"/>
      <c r="F46" s="328"/>
      <c r="G46" s="201"/>
      <c r="H46" s="260"/>
      <c r="I46" s="320"/>
    </row>
    <row r="47" spans="1:13" s="261" customFormat="1" ht="12.75" hidden="1" customHeight="1" x14ac:dyDescent="0.2">
      <c r="A47" s="199"/>
      <c r="B47" s="200"/>
      <c r="C47" s="220"/>
      <c r="D47" s="233" t="s">
        <v>290</v>
      </c>
      <c r="E47" s="201"/>
      <c r="F47" s="328"/>
      <c r="G47" s="201"/>
      <c r="H47" s="260"/>
      <c r="I47" s="320"/>
      <c r="M47" s="319"/>
    </row>
    <row r="48" spans="1:13" ht="12.75" hidden="1" customHeight="1" x14ac:dyDescent="0.2">
      <c r="A48" s="199"/>
      <c r="B48" s="200"/>
      <c r="C48" s="220"/>
      <c r="D48" s="233" t="s">
        <v>259</v>
      </c>
      <c r="E48" s="201"/>
      <c r="F48" s="328"/>
      <c r="G48" s="201"/>
      <c r="I48" s="320"/>
      <c r="M48" s="297"/>
    </row>
    <row r="49" spans="1:12" ht="12.75" hidden="1" customHeight="1" x14ac:dyDescent="0.2">
      <c r="A49" s="199"/>
      <c r="B49" s="200"/>
      <c r="C49" s="220"/>
      <c r="D49" s="315" t="s">
        <v>320</v>
      </c>
      <c r="E49" s="201"/>
      <c r="F49" s="328"/>
      <c r="G49" s="201"/>
      <c r="I49" s="320"/>
      <c r="L49" s="297"/>
    </row>
    <row r="50" spans="1:12" s="261" customFormat="1" ht="12.75" customHeight="1" x14ac:dyDescent="0.2">
      <c r="A50" s="195">
        <f>1+A43</f>
        <v>4</v>
      </c>
      <c r="B50" s="196">
        <v>2531</v>
      </c>
      <c r="C50" s="219" t="s">
        <v>195</v>
      </c>
      <c r="D50" s="495" t="str">
        <f>$D$5</f>
        <v>FTE FEB 2024</v>
      </c>
      <c r="E50" s="198">
        <f>'2531'!I$142</f>
        <v>70746.64</v>
      </c>
      <c r="F50" s="329"/>
      <c r="G50" s="198">
        <f>SUBTOTAL(109,E50:F61)</f>
        <v>70746.64</v>
      </c>
      <c r="H50" s="298"/>
      <c r="I50" s="320"/>
    </row>
    <row r="51" spans="1:12" ht="12.75" hidden="1" customHeight="1" x14ac:dyDescent="0.2">
      <c r="A51" s="195"/>
      <c r="B51" s="196"/>
      <c r="C51" s="219"/>
      <c r="D51" s="232" t="s">
        <v>280</v>
      </c>
      <c r="E51" s="198"/>
      <c r="F51" s="329"/>
      <c r="G51" s="198"/>
      <c r="I51" s="320"/>
    </row>
    <row r="52" spans="1:12" ht="12.75" hidden="1" customHeight="1" x14ac:dyDescent="0.2">
      <c r="A52" s="195"/>
      <c r="B52" s="196"/>
      <c r="C52" s="219"/>
      <c r="D52" s="342" t="s">
        <v>475</v>
      </c>
      <c r="E52" s="198"/>
      <c r="F52" s="329"/>
      <c r="G52" s="198"/>
      <c r="I52" s="320"/>
    </row>
    <row r="53" spans="1:12" s="261" customFormat="1" ht="12.75" hidden="1" customHeight="1" x14ac:dyDescent="0.2">
      <c r="A53" s="195"/>
      <c r="B53" s="196"/>
      <c r="C53" s="219"/>
      <c r="D53" s="232" t="s">
        <v>339</v>
      </c>
      <c r="E53" s="198"/>
      <c r="F53" s="329"/>
      <c r="G53" s="198"/>
      <c r="H53" s="260"/>
      <c r="I53" s="308"/>
    </row>
    <row r="54" spans="1:12" s="261" customFormat="1" ht="12.75" hidden="1" customHeight="1" x14ac:dyDescent="0.2">
      <c r="A54" s="195"/>
      <c r="B54" s="196"/>
      <c r="C54" s="219"/>
      <c r="D54" s="342" t="s">
        <v>337</v>
      </c>
      <c r="E54" s="198"/>
      <c r="F54" s="329"/>
      <c r="G54" s="198"/>
      <c r="H54" s="260"/>
      <c r="I54" s="196"/>
    </row>
    <row r="55" spans="1:12" s="261" customFormat="1" ht="12.75" hidden="1" customHeight="1" x14ac:dyDescent="0.2">
      <c r="A55" s="195"/>
      <c r="B55" s="196"/>
      <c r="C55" s="219"/>
      <c r="D55" s="232" t="s">
        <v>282</v>
      </c>
      <c r="E55" s="198"/>
      <c r="F55" s="329"/>
      <c r="G55" s="198"/>
      <c r="H55" s="260"/>
      <c r="I55" s="196"/>
    </row>
    <row r="56" spans="1:12" s="261" customFormat="1" ht="12.75" hidden="1" customHeight="1" x14ac:dyDescent="0.2">
      <c r="A56" s="195"/>
      <c r="B56" s="196"/>
      <c r="C56" s="219"/>
      <c r="D56" s="232" t="s">
        <v>281</v>
      </c>
      <c r="E56" s="198"/>
      <c r="F56" s="329"/>
      <c r="G56" s="198"/>
      <c r="H56" s="260"/>
      <c r="I56" s="196"/>
    </row>
    <row r="57" spans="1:12" s="261" customFormat="1" ht="12.75" hidden="1" customHeight="1" x14ac:dyDescent="0.2">
      <c r="A57" s="195"/>
      <c r="B57" s="196"/>
      <c r="C57" s="219"/>
      <c r="D57" s="232" t="s">
        <v>290</v>
      </c>
      <c r="E57" s="198"/>
      <c r="F57" s="329"/>
      <c r="G57" s="198"/>
      <c r="H57" s="298"/>
      <c r="I57" s="308"/>
    </row>
    <row r="58" spans="1:12" s="261" customFormat="1" ht="12.75" hidden="1" customHeight="1" x14ac:dyDescent="0.2">
      <c r="A58" s="195"/>
      <c r="B58" s="196"/>
      <c r="C58" s="219"/>
      <c r="D58" s="232" t="s">
        <v>259</v>
      </c>
      <c r="E58" s="198"/>
      <c r="F58" s="329"/>
      <c r="G58" s="198"/>
      <c r="H58" s="260"/>
      <c r="I58" s="308"/>
    </row>
    <row r="59" spans="1:12" s="261" customFormat="1" ht="12.75" hidden="1" customHeight="1" x14ac:dyDescent="0.2">
      <c r="A59" s="195"/>
      <c r="B59" s="196"/>
      <c r="C59" s="219"/>
      <c r="D59" s="232" t="s">
        <v>319</v>
      </c>
      <c r="E59" s="198"/>
      <c r="F59" s="329"/>
      <c r="G59" s="198"/>
      <c r="H59" s="260"/>
      <c r="I59" s="308"/>
    </row>
    <row r="60" spans="1:12" s="261" customFormat="1" ht="12.75" hidden="1" customHeight="1" x14ac:dyDescent="0.2">
      <c r="A60" s="195"/>
      <c r="B60" s="196"/>
      <c r="C60" s="231"/>
      <c r="D60" s="343" t="s">
        <v>334</v>
      </c>
      <c r="E60" s="198"/>
      <c r="F60" s="329"/>
      <c r="G60" s="198"/>
      <c r="H60" s="260"/>
      <c r="I60" s="320"/>
    </row>
    <row r="61" spans="1:12" s="261" customFormat="1" ht="12.75" hidden="1" customHeight="1" x14ac:dyDescent="0.2">
      <c r="A61" s="195"/>
      <c r="B61" s="196"/>
      <c r="C61" s="219"/>
      <c r="D61" s="278" t="s">
        <v>320</v>
      </c>
      <c r="E61" s="198"/>
      <c r="F61" s="329"/>
      <c r="G61" s="198"/>
      <c r="H61" s="260"/>
      <c r="I61" s="231"/>
    </row>
    <row r="62" spans="1:12" s="261" customFormat="1" ht="12.75" customHeight="1" x14ac:dyDescent="0.2">
      <c r="A62" s="199">
        <f>1+A50</f>
        <v>5</v>
      </c>
      <c r="B62" s="200" t="s">
        <v>163</v>
      </c>
      <c r="C62" s="263" t="s">
        <v>257</v>
      </c>
      <c r="D62" s="279" t="str">
        <f>$D$5</f>
        <v>FTE FEB 2024</v>
      </c>
      <c r="E62" s="201">
        <f>'2791'!I$142</f>
        <v>252578.2</v>
      </c>
      <c r="F62" s="328"/>
      <c r="G62" s="201">
        <f>SUBTOTAL(109,E62:F69)</f>
        <v>252578.2</v>
      </c>
      <c r="H62" s="298"/>
      <c r="I62" s="323"/>
    </row>
    <row r="63" spans="1:12" s="261" customFormat="1" ht="12.75" hidden="1" customHeight="1" x14ac:dyDescent="0.2">
      <c r="A63" s="199"/>
      <c r="B63" s="200"/>
      <c r="C63" s="220"/>
      <c r="D63" s="233" t="s">
        <v>280</v>
      </c>
      <c r="E63" s="201"/>
      <c r="F63" s="328"/>
      <c r="G63" s="201"/>
      <c r="H63" s="260"/>
      <c r="I63" s="231"/>
    </row>
    <row r="64" spans="1:12" s="261" customFormat="1" ht="12.75" hidden="1" customHeight="1" x14ac:dyDescent="0.2">
      <c r="A64" s="199"/>
      <c r="B64" s="200"/>
      <c r="C64" s="220"/>
      <c r="D64" s="374" t="s">
        <v>475</v>
      </c>
      <c r="E64" s="201"/>
      <c r="F64" s="328"/>
      <c r="G64" s="201"/>
      <c r="H64" s="260"/>
      <c r="I64" s="231"/>
    </row>
    <row r="65" spans="1:9" s="261" customFormat="1" ht="12.75" hidden="1" customHeight="1" x14ac:dyDescent="0.2">
      <c r="A65" s="199"/>
      <c r="B65" s="200"/>
      <c r="C65" s="220"/>
      <c r="D65" s="233" t="s">
        <v>282</v>
      </c>
      <c r="E65" s="201"/>
      <c r="F65" s="328"/>
      <c r="G65" s="201"/>
      <c r="H65" s="260"/>
      <c r="I65" s="231"/>
    </row>
    <row r="66" spans="1:9" s="261" customFormat="1" ht="12.75" hidden="1" customHeight="1" x14ac:dyDescent="0.2">
      <c r="A66" s="199"/>
      <c r="B66" s="200"/>
      <c r="C66" s="220"/>
      <c r="D66" s="233" t="s">
        <v>281</v>
      </c>
      <c r="E66" s="201"/>
      <c r="F66" s="328"/>
      <c r="G66" s="201"/>
      <c r="H66" s="260"/>
      <c r="I66" s="231"/>
    </row>
    <row r="67" spans="1:9" s="261" customFormat="1" ht="12.75" hidden="1" customHeight="1" x14ac:dyDescent="0.2">
      <c r="A67" s="199"/>
      <c r="B67" s="200"/>
      <c r="C67" s="220"/>
      <c r="D67" s="233" t="s">
        <v>290</v>
      </c>
      <c r="E67" s="201"/>
      <c r="F67" s="328"/>
      <c r="G67" s="201"/>
      <c r="H67" s="260"/>
      <c r="I67" s="320"/>
    </row>
    <row r="68" spans="1:9" s="261" customFormat="1" ht="12.75" hidden="1" customHeight="1" x14ac:dyDescent="0.2">
      <c r="A68" s="199"/>
      <c r="B68" s="200"/>
      <c r="C68" s="220"/>
      <c r="D68" s="233" t="s">
        <v>259</v>
      </c>
      <c r="E68" s="201"/>
      <c r="F68" s="328"/>
      <c r="G68" s="201"/>
      <c r="H68" s="260"/>
      <c r="I68" s="320"/>
    </row>
    <row r="69" spans="1:9" s="261" customFormat="1" ht="12.75" hidden="1" customHeight="1" x14ac:dyDescent="0.2">
      <c r="A69" s="199"/>
      <c r="B69" s="200"/>
      <c r="C69" s="220"/>
      <c r="D69" s="315" t="s">
        <v>320</v>
      </c>
      <c r="E69" s="201"/>
      <c r="F69" s="328"/>
      <c r="G69" s="201"/>
      <c r="H69" s="260"/>
      <c r="I69" s="320"/>
    </row>
    <row r="70" spans="1:9" s="261" customFormat="1" ht="12.75" customHeight="1" x14ac:dyDescent="0.2">
      <c r="A70" s="195">
        <f>A62+1</f>
        <v>6</v>
      </c>
      <c r="B70" s="196" t="s">
        <v>164</v>
      </c>
      <c r="C70" s="262" t="s">
        <v>355</v>
      </c>
      <c r="D70" s="495" t="str">
        <f>$D$5</f>
        <v>FTE FEB 2024</v>
      </c>
      <c r="E70" s="198">
        <f>'2801'!I$142</f>
        <v>426043.01</v>
      </c>
      <c r="F70" s="329"/>
      <c r="G70" s="198">
        <f>SUBTOTAL(109,E70:F79)</f>
        <v>426043.01</v>
      </c>
      <c r="H70" s="298"/>
      <c r="I70" s="323"/>
    </row>
    <row r="71" spans="1:9" s="261" customFormat="1" ht="12.75" hidden="1" customHeight="1" x14ac:dyDescent="0.2">
      <c r="A71" s="195"/>
      <c r="B71" s="196"/>
      <c r="C71" s="219"/>
      <c r="D71" s="232" t="s">
        <v>280</v>
      </c>
      <c r="E71" s="198"/>
      <c r="F71" s="329"/>
      <c r="G71" s="198"/>
      <c r="H71" s="260"/>
      <c r="I71" s="320"/>
    </row>
    <row r="72" spans="1:9" s="261" customFormat="1" ht="12.75" hidden="1" customHeight="1" x14ac:dyDescent="0.2">
      <c r="A72" s="195"/>
      <c r="B72" s="196"/>
      <c r="C72" s="219"/>
      <c r="D72" s="342" t="s">
        <v>475</v>
      </c>
      <c r="E72" s="198"/>
      <c r="F72" s="329"/>
      <c r="G72" s="198"/>
      <c r="H72" s="298"/>
      <c r="I72" s="308"/>
    </row>
    <row r="73" spans="1:9" s="261" customFormat="1" ht="12.75" hidden="1" customHeight="1" x14ac:dyDescent="0.2">
      <c r="A73" s="195"/>
      <c r="B73" s="196"/>
      <c r="C73" s="219"/>
      <c r="D73" s="232" t="s">
        <v>282</v>
      </c>
      <c r="E73" s="198"/>
      <c r="F73" s="329"/>
      <c r="G73" s="198"/>
      <c r="H73" s="298"/>
      <c r="I73" s="196"/>
    </row>
    <row r="74" spans="1:9" s="261" customFormat="1" ht="12.75" hidden="1" customHeight="1" x14ac:dyDescent="0.2">
      <c r="A74" s="195"/>
      <c r="B74" s="196"/>
      <c r="C74" s="219"/>
      <c r="D74" s="232" t="s">
        <v>329</v>
      </c>
      <c r="E74" s="198"/>
      <c r="F74" s="329"/>
      <c r="G74" s="198"/>
      <c r="H74" s="260"/>
      <c r="I74" s="231"/>
    </row>
    <row r="75" spans="1:9" s="261" customFormat="1" ht="12.75" hidden="1" customHeight="1" x14ac:dyDescent="0.2">
      <c r="A75" s="195"/>
      <c r="B75" s="196"/>
      <c r="C75" s="219"/>
      <c r="D75" s="232" t="s">
        <v>290</v>
      </c>
      <c r="E75" s="198"/>
      <c r="F75" s="329"/>
      <c r="G75" s="198"/>
      <c r="H75" s="298"/>
      <c r="I75" s="196"/>
    </row>
    <row r="76" spans="1:9" s="261" customFormat="1" ht="12.75" hidden="1" customHeight="1" x14ac:dyDescent="0.2">
      <c r="A76" s="195"/>
      <c r="B76" s="196"/>
      <c r="C76" s="219"/>
      <c r="D76" s="232" t="s">
        <v>259</v>
      </c>
      <c r="E76" s="198"/>
      <c r="F76" s="329"/>
      <c r="G76" s="198"/>
      <c r="H76" s="298"/>
      <c r="I76" s="196"/>
    </row>
    <row r="77" spans="1:9" s="261" customFormat="1" ht="12.75" hidden="1" customHeight="1" x14ac:dyDescent="0.2">
      <c r="A77" s="195"/>
      <c r="B77" s="196"/>
      <c r="C77" s="219"/>
      <c r="D77" s="232" t="s">
        <v>291</v>
      </c>
      <c r="E77" s="198"/>
      <c r="F77" s="329"/>
      <c r="G77" s="198"/>
      <c r="H77" s="298"/>
      <c r="I77" s="308"/>
    </row>
    <row r="78" spans="1:9" s="261" customFormat="1" ht="12.75" hidden="1" customHeight="1" x14ac:dyDescent="0.2">
      <c r="A78" s="195"/>
      <c r="B78" s="196"/>
      <c r="C78" s="219"/>
      <c r="D78" s="232" t="s">
        <v>319</v>
      </c>
      <c r="E78" s="198"/>
      <c r="F78" s="329"/>
      <c r="G78" s="198"/>
      <c r="H78" s="260"/>
      <c r="I78" s="308"/>
    </row>
    <row r="79" spans="1:9" s="261" customFormat="1" ht="12.75" hidden="1" customHeight="1" x14ac:dyDescent="0.2">
      <c r="A79" s="195"/>
      <c r="B79" s="196"/>
      <c r="C79" s="219"/>
      <c r="D79" s="278" t="s">
        <v>353</v>
      </c>
      <c r="E79" s="198"/>
      <c r="F79" s="329"/>
      <c r="G79" s="198"/>
      <c r="H79" s="260"/>
      <c r="I79" s="308"/>
    </row>
    <row r="80" spans="1:9" s="261" customFormat="1" ht="12.75" customHeight="1" x14ac:dyDescent="0.2">
      <c r="A80" s="199">
        <f>A70+1</f>
        <v>7</v>
      </c>
      <c r="B80" s="200" t="s">
        <v>165</v>
      </c>
      <c r="C80" s="220" t="s">
        <v>197</v>
      </c>
      <c r="D80" s="279" t="str">
        <f>$D$5</f>
        <v>FTE FEB 2024</v>
      </c>
      <c r="E80" s="201">
        <f>'2911'!I$142</f>
        <v>496612.89</v>
      </c>
      <c r="F80" s="328"/>
      <c r="G80" s="201">
        <f>SUBTOTAL(109,E80:F89)</f>
        <v>496612.89</v>
      </c>
      <c r="H80" s="298"/>
      <c r="I80" s="196"/>
    </row>
    <row r="81" spans="1:9" s="261" customFormat="1" ht="12.75" hidden="1" customHeight="1" x14ac:dyDescent="0.2">
      <c r="A81" s="199"/>
      <c r="B81" s="200"/>
      <c r="C81" s="220"/>
      <c r="D81" s="233" t="s">
        <v>280</v>
      </c>
      <c r="E81" s="201"/>
      <c r="F81" s="328"/>
      <c r="G81" s="201"/>
      <c r="H81" s="298"/>
      <c r="I81" s="196"/>
    </row>
    <row r="82" spans="1:9" s="261" customFormat="1" ht="12.75" hidden="1" customHeight="1" x14ac:dyDescent="0.2">
      <c r="A82" s="199"/>
      <c r="B82" s="200"/>
      <c r="C82" s="220"/>
      <c r="D82" s="374" t="s">
        <v>337</v>
      </c>
      <c r="E82" s="201"/>
      <c r="F82" s="328"/>
      <c r="G82" s="201"/>
      <c r="H82" s="260"/>
      <c r="I82" s="231"/>
    </row>
    <row r="83" spans="1:9" s="261" customFormat="1" ht="12.75" hidden="1" customHeight="1" x14ac:dyDescent="0.2">
      <c r="A83" s="199"/>
      <c r="B83" s="200"/>
      <c r="C83" s="220"/>
      <c r="D83" s="233" t="s">
        <v>282</v>
      </c>
      <c r="E83" s="201"/>
      <c r="F83" s="328"/>
      <c r="G83" s="201"/>
      <c r="H83" s="298"/>
      <c r="I83" s="196"/>
    </row>
    <row r="84" spans="1:9" s="261" customFormat="1" ht="12.75" hidden="1" customHeight="1" x14ac:dyDescent="0.2">
      <c r="A84" s="199"/>
      <c r="B84" s="200"/>
      <c r="C84" s="220"/>
      <c r="D84" s="233" t="s">
        <v>281</v>
      </c>
      <c r="E84" s="201"/>
      <c r="F84" s="328"/>
      <c r="G84" s="201"/>
      <c r="H84" s="298"/>
      <c r="I84" s="196"/>
    </row>
    <row r="85" spans="1:9" s="261" customFormat="1" ht="12.75" hidden="1" customHeight="1" x14ac:dyDescent="0.2">
      <c r="A85" s="199"/>
      <c r="B85" s="200"/>
      <c r="C85" s="220"/>
      <c r="D85" s="233" t="s">
        <v>290</v>
      </c>
      <c r="E85" s="201"/>
      <c r="F85" s="328"/>
      <c r="G85" s="201"/>
      <c r="H85" s="298"/>
      <c r="I85" s="196"/>
    </row>
    <row r="86" spans="1:9" s="261" customFormat="1" ht="12.75" hidden="1" customHeight="1" x14ac:dyDescent="0.2">
      <c r="A86" s="199"/>
      <c r="B86" s="200"/>
      <c r="C86" s="220"/>
      <c r="D86" s="233" t="s">
        <v>259</v>
      </c>
      <c r="E86" s="201"/>
      <c r="F86" s="328"/>
      <c r="G86" s="201"/>
      <c r="H86" s="260"/>
      <c r="I86" s="318"/>
    </row>
    <row r="87" spans="1:9" s="261" customFormat="1" ht="12.75" hidden="1" customHeight="1" x14ac:dyDescent="0.2">
      <c r="A87" s="199"/>
      <c r="B87" s="200"/>
      <c r="C87" s="220"/>
      <c r="D87" s="233" t="s">
        <v>291</v>
      </c>
      <c r="E87" s="201"/>
      <c r="F87" s="328"/>
      <c r="G87" s="201"/>
      <c r="H87" s="298"/>
    </row>
    <row r="88" spans="1:9" s="261" customFormat="1" ht="12.75" hidden="1" customHeight="1" x14ac:dyDescent="0.2">
      <c r="A88" s="199"/>
      <c r="B88" s="200"/>
      <c r="C88" s="229"/>
      <c r="D88" s="315" t="s">
        <v>320</v>
      </c>
      <c r="E88" s="201"/>
      <c r="F88" s="328"/>
      <c r="G88" s="201"/>
      <c r="H88" s="298"/>
      <c r="I88" s="196"/>
    </row>
    <row r="89" spans="1:9" s="261" customFormat="1" ht="12.75" hidden="1" customHeight="1" x14ac:dyDescent="0.2">
      <c r="A89" s="199"/>
      <c r="B89" s="200"/>
      <c r="C89" s="229"/>
      <c r="D89" s="315" t="s">
        <v>362</v>
      </c>
      <c r="E89" s="201"/>
      <c r="F89" s="328"/>
      <c r="G89" s="201"/>
      <c r="H89" s="298"/>
      <c r="I89" s="308"/>
    </row>
    <row r="90" spans="1:9" s="261" customFormat="1" ht="12.75" customHeight="1" x14ac:dyDescent="0.2">
      <c r="A90" s="195">
        <f>A80+1</f>
        <v>8</v>
      </c>
      <c r="B90" s="196" t="s">
        <v>166</v>
      </c>
      <c r="C90" s="219" t="s">
        <v>198</v>
      </c>
      <c r="D90" s="495" t="str">
        <f>$D$5</f>
        <v>FTE FEB 2024</v>
      </c>
      <c r="E90" s="198">
        <f>'2941'!I$142</f>
        <v>783933.27</v>
      </c>
      <c r="F90" s="329"/>
      <c r="G90" s="198">
        <f>SUBTOTAL(109,E90:F98)</f>
        <v>783933.27</v>
      </c>
      <c r="H90" s="298"/>
      <c r="I90" s="196"/>
    </row>
    <row r="91" spans="1:9" s="261" customFormat="1" ht="12.75" hidden="1" customHeight="1" x14ac:dyDescent="0.2">
      <c r="A91" s="195"/>
      <c r="B91" s="196"/>
      <c r="C91" s="219"/>
      <c r="D91" s="232" t="s">
        <v>280</v>
      </c>
      <c r="E91" s="198"/>
      <c r="F91" s="329"/>
      <c r="G91" s="198"/>
      <c r="H91" s="298"/>
      <c r="I91" s="196"/>
    </row>
    <row r="92" spans="1:9" s="261" customFormat="1" ht="12.75" hidden="1" customHeight="1" x14ac:dyDescent="0.2">
      <c r="A92" s="195"/>
      <c r="B92" s="196"/>
      <c r="C92" s="219"/>
      <c r="D92" s="342" t="s">
        <v>475</v>
      </c>
      <c r="E92" s="198"/>
      <c r="F92" s="329"/>
      <c r="G92" s="198"/>
      <c r="H92" s="260"/>
      <c r="I92" s="231"/>
    </row>
    <row r="93" spans="1:9" s="261" customFormat="1" ht="12.75" hidden="1" customHeight="1" x14ac:dyDescent="0.2">
      <c r="A93" s="195"/>
      <c r="B93" s="196"/>
      <c r="C93" s="219"/>
      <c r="D93" s="232" t="s">
        <v>282</v>
      </c>
      <c r="E93" s="198"/>
      <c r="F93" s="329"/>
      <c r="G93" s="198"/>
      <c r="H93" s="298"/>
      <c r="I93" s="196"/>
    </row>
    <row r="94" spans="1:9" s="261" customFormat="1" ht="12.75" hidden="1" customHeight="1" x14ac:dyDescent="0.2">
      <c r="A94" s="195"/>
      <c r="B94" s="196"/>
      <c r="C94" s="219"/>
      <c r="D94" s="232" t="s">
        <v>281</v>
      </c>
      <c r="E94" s="198"/>
      <c r="F94" s="329"/>
      <c r="G94" s="198"/>
      <c r="H94" s="298"/>
      <c r="I94" s="196"/>
    </row>
    <row r="95" spans="1:9" s="261" customFormat="1" ht="12.75" hidden="1" customHeight="1" x14ac:dyDescent="0.2">
      <c r="A95" s="195"/>
      <c r="B95" s="196"/>
      <c r="C95" s="219"/>
      <c r="D95" s="232" t="s">
        <v>290</v>
      </c>
      <c r="E95" s="198"/>
      <c r="F95" s="329"/>
      <c r="G95" s="198"/>
      <c r="H95" s="298"/>
      <c r="I95" s="196"/>
    </row>
    <row r="96" spans="1:9" s="261" customFormat="1" ht="12.75" hidden="1" customHeight="1" x14ac:dyDescent="0.2">
      <c r="A96" s="195"/>
      <c r="B96" s="196"/>
      <c r="C96" s="219"/>
      <c r="D96" s="232" t="s">
        <v>259</v>
      </c>
      <c r="E96" s="198"/>
      <c r="F96" s="329"/>
      <c r="G96" s="198"/>
      <c r="H96" s="260"/>
      <c r="I96" s="318"/>
    </row>
    <row r="97" spans="1:12" s="261" customFormat="1" ht="12.75" hidden="1" customHeight="1" x14ac:dyDescent="0.2">
      <c r="A97" s="195"/>
      <c r="B97" s="196"/>
      <c r="C97" s="219"/>
      <c r="D97" s="232" t="s">
        <v>319</v>
      </c>
      <c r="E97" s="198"/>
      <c r="F97" s="329"/>
      <c r="G97" s="198"/>
      <c r="H97" s="298"/>
      <c r="I97" s="308"/>
    </row>
    <row r="98" spans="1:12" s="261" customFormat="1" ht="12.75" hidden="1" customHeight="1" x14ac:dyDescent="0.2">
      <c r="A98" s="195"/>
      <c r="B98" s="196"/>
      <c r="C98" s="219"/>
      <c r="D98" s="278" t="s">
        <v>320</v>
      </c>
      <c r="E98" s="198"/>
      <c r="F98" s="329"/>
      <c r="G98" s="198"/>
      <c r="H98" s="260"/>
      <c r="I98" s="308"/>
      <c r="J98" s="343"/>
      <c r="K98" s="198"/>
      <c r="L98" s="241"/>
    </row>
    <row r="99" spans="1:12" s="261" customFormat="1" ht="12.75" customHeight="1" x14ac:dyDescent="0.2">
      <c r="A99" s="199">
        <f>A90+1</f>
        <v>9</v>
      </c>
      <c r="B99" s="200" t="s">
        <v>167</v>
      </c>
      <c r="C99" s="263" t="s">
        <v>312</v>
      </c>
      <c r="D99" s="279" t="str">
        <f>$D$5</f>
        <v>FTE FEB 2024</v>
      </c>
      <c r="E99" s="201">
        <f>'3083'!I$142</f>
        <v>353278.31</v>
      </c>
      <c r="F99" s="328"/>
      <c r="G99" s="201">
        <f>SUBTOTAL(109,E99:F106)</f>
        <v>353278.31</v>
      </c>
      <c r="H99" s="260"/>
      <c r="I99" s="308"/>
      <c r="J99" s="343"/>
      <c r="K99" s="198"/>
      <c r="L99" s="241"/>
    </row>
    <row r="100" spans="1:12" s="261" customFormat="1" ht="12.75" hidden="1" customHeight="1" x14ac:dyDescent="0.2">
      <c r="A100" s="199"/>
      <c r="B100" s="200"/>
      <c r="C100" s="220"/>
      <c r="D100" s="233" t="s">
        <v>280</v>
      </c>
      <c r="E100" s="201"/>
      <c r="F100" s="328"/>
      <c r="G100" s="201"/>
      <c r="H100" s="298"/>
      <c r="I100" s="196"/>
    </row>
    <row r="101" spans="1:12" s="261" customFormat="1" ht="12.75" hidden="1" customHeight="1" x14ac:dyDescent="0.2">
      <c r="A101" s="199"/>
      <c r="B101" s="200"/>
      <c r="C101" s="220"/>
      <c r="D101" s="374" t="s">
        <v>475</v>
      </c>
      <c r="E101" s="201"/>
      <c r="F101" s="328"/>
      <c r="G101" s="201"/>
      <c r="H101" s="298"/>
      <c r="I101" s="196"/>
    </row>
    <row r="102" spans="1:12" s="261" customFormat="1" ht="12.75" hidden="1" customHeight="1" x14ac:dyDescent="0.2">
      <c r="A102" s="199"/>
      <c r="B102" s="200"/>
      <c r="C102" s="220"/>
      <c r="D102" s="233" t="s">
        <v>282</v>
      </c>
      <c r="E102" s="201"/>
      <c r="F102" s="328"/>
      <c r="G102" s="201"/>
      <c r="H102" s="260"/>
      <c r="I102" s="231"/>
    </row>
    <row r="103" spans="1:12" s="261" customFormat="1" ht="12.75" hidden="1" customHeight="1" x14ac:dyDescent="0.2">
      <c r="A103" s="199"/>
      <c r="B103" s="200"/>
      <c r="C103" s="220"/>
      <c r="D103" s="233" t="s">
        <v>281</v>
      </c>
      <c r="E103" s="201"/>
      <c r="F103" s="328"/>
      <c r="G103" s="201"/>
      <c r="H103" s="298"/>
      <c r="I103" s="196"/>
    </row>
    <row r="104" spans="1:12" s="261" customFormat="1" ht="12.75" hidden="1" customHeight="1" x14ac:dyDescent="0.2">
      <c r="A104" s="199"/>
      <c r="B104" s="200"/>
      <c r="C104" s="220"/>
      <c r="D104" s="280" t="s">
        <v>290</v>
      </c>
      <c r="E104" s="201"/>
      <c r="F104" s="328"/>
      <c r="G104" s="201"/>
      <c r="H104" s="298"/>
      <c r="I104" s="196"/>
    </row>
    <row r="105" spans="1:12" s="261" customFormat="1" ht="12.75" hidden="1" customHeight="1" x14ac:dyDescent="0.2">
      <c r="A105" s="199"/>
      <c r="B105" s="200"/>
      <c r="C105" s="220"/>
      <c r="D105" s="233" t="s">
        <v>259</v>
      </c>
      <c r="E105" s="201"/>
      <c r="F105" s="328"/>
      <c r="G105" s="201"/>
      <c r="H105" s="298"/>
      <c r="I105" s="196"/>
    </row>
    <row r="106" spans="1:12" s="261" customFormat="1" ht="12.75" hidden="1" customHeight="1" x14ac:dyDescent="0.2">
      <c r="A106" s="199"/>
      <c r="B106" s="200"/>
      <c r="C106" s="220"/>
      <c r="D106" s="280" t="s">
        <v>320</v>
      </c>
      <c r="E106" s="201"/>
      <c r="F106" s="328"/>
      <c r="G106" s="201"/>
      <c r="H106" s="260"/>
      <c r="I106" s="318"/>
    </row>
    <row r="107" spans="1:12" s="261" customFormat="1" ht="12.75" customHeight="1" x14ac:dyDescent="0.2">
      <c r="A107" s="195">
        <f>A99+1</f>
        <v>10</v>
      </c>
      <c r="B107" s="196" t="s">
        <v>168</v>
      </c>
      <c r="C107" s="262" t="s">
        <v>361</v>
      </c>
      <c r="D107" s="495" t="str">
        <f>$D$5</f>
        <v>FTE FEB 2024</v>
      </c>
      <c r="E107" s="198">
        <f>'3345'!I$142</f>
        <v>114233.79</v>
      </c>
      <c r="F107" s="329"/>
      <c r="G107" s="198">
        <f>SUBTOTAL(109,E107:F113)</f>
        <v>114233.79</v>
      </c>
      <c r="H107" s="260"/>
      <c r="I107" s="318"/>
    </row>
    <row r="108" spans="1:12" s="261" customFormat="1" ht="12.75" hidden="1" customHeight="1" x14ac:dyDescent="0.2">
      <c r="A108" s="195"/>
      <c r="B108" s="196"/>
      <c r="C108" s="262"/>
      <c r="D108" s="232" t="s">
        <v>280</v>
      </c>
      <c r="E108" s="198"/>
      <c r="F108" s="329"/>
      <c r="G108" s="198"/>
      <c r="H108" s="260"/>
      <c r="I108" s="318"/>
    </row>
    <row r="109" spans="1:12" s="261" customFormat="1" ht="12.75" hidden="1" customHeight="1" x14ac:dyDescent="0.2">
      <c r="A109" s="195"/>
      <c r="B109" s="196"/>
      <c r="C109" s="262"/>
      <c r="D109" s="232" t="s">
        <v>475</v>
      </c>
      <c r="E109" s="198"/>
      <c r="F109" s="329"/>
      <c r="G109" s="198"/>
      <c r="H109" s="298"/>
      <c r="I109" s="196"/>
    </row>
    <row r="110" spans="1:12" s="261" customFormat="1" ht="12.75" hidden="1" customHeight="1" x14ac:dyDescent="0.2">
      <c r="A110" s="195"/>
      <c r="B110" s="196"/>
      <c r="C110" s="219"/>
      <c r="D110" s="232" t="s">
        <v>281</v>
      </c>
      <c r="E110" s="198"/>
      <c r="F110" s="329"/>
      <c r="G110" s="198"/>
      <c r="H110" s="298"/>
      <c r="I110" s="196"/>
    </row>
    <row r="111" spans="1:12" s="261" customFormat="1" ht="12.75" hidden="1" customHeight="1" x14ac:dyDescent="0.2">
      <c r="A111" s="195"/>
      <c r="B111" s="196"/>
      <c r="C111" s="219"/>
      <c r="D111" s="232" t="s">
        <v>290</v>
      </c>
      <c r="E111" s="198"/>
      <c r="F111" s="329"/>
      <c r="G111" s="198"/>
      <c r="H111" s="260"/>
      <c r="I111" s="231"/>
    </row>
    <row r="112" spans="1:12" s="261" customFormat="1" ht="12.75" hidden="1" customHeight="1" x14ac:dyDescent="0.2">
      <c r="A112" s="195"/>
      <c r="B112" s="196"/>
      <c r="C112" s="219"/>
      <c r="D112" s="232" t="s">
        <v>259</v>
      </c>
      <c r="E112" s="198"/>
      <c r="F112" s="329"/>
      <c r="G112" s="198"/>
      <c r="H112" s="298"/>
      <c r="I112" s="196"/>
    </row>
    <row r="113" spans="1:9" s="261" customFormat="1" ht="12.75" hidden="1" customHeight="1" x14ac:dyDescent="0.2">
      <c r="A113" s="195"/>
      <c r="B113" s="196"/>
      <c r="C113" s="219"/>
      <c r="D113" s="278" t="s">
        <v>320</v>
      </c>
      <c r="E113" s="198"/>
      <c r="F113" s="329"/>
      <c r="G113" s="198"/>
      <c r="H113" s="298"/>
      <c r="I113" s="196"/>
    </row>
    <row r="114" spans="1:9" s="261" customFormat="1" ht="12.75" customHeight="1" x14ac:dyDescent="0.2">
      <c r="A114" s="199">
        <f>A107+1</f>
        <v>11</v>
      </c>
      <c r="B114" s="200" t="s">
        <v>169</v>
      </c>
      <c r="C114" s="220" t="s">
        <v>201</v>
      </c>
      <c r="D114" s="279" t="str">
        <f>$D$5</f>
        <v>FTE FEB 2024</v>
      </c>
      <c r="E114" s="201">
        <f>'3381'!I$142</f>
        <v>731395.38</v>
      </c>
      <c r="F114" s="328"/>
      <c r="G114" s="201">
        <f>SUBTOTAL(109,E114:F122)</f>
        <v>731395.38</v>
      </c>
      <c r="H114" s="298"/>
      <c r="I114" s="196"/>
    </row>
    <row r="115" spans="1:9" s="261" customFormat="1" ht="12.75" hidden="1" customHeight="1" x14ac:dyDescent="0.2">
      <c r="A115" s="199"/>
      <c r="B115" s="200"/>
      <c r="C115" s="220"/>
      <c r="D115" s="233" t="s">
        <v>280</v>
      </c>
      <c r="E115" s="201"/>
      <c r="F115" s="328"/>
      <c r="G115" s="201"/>
      <c r="H115" s="260"/>
      <c r="I115" s="318"/>
    </row>
    <row r="116" spans="1:9" ht="12.75" hidden="1" customHeight="1" x14ac:dyDescent="0.2">
      <c r="A116" s="199"/>
      <c r="B116" s="200"/>
      <c r="C116" s="220"/>
      <c r="D116" s="374" t="s">
        <v>475</v>
      </c>
      <c r="E116" s="201"/>
      <c r="F116" s="328"/>
      <c r="G116" s="201"/>
      <c r="H116" s="299"/>
      <c r="I116" s="196"/>
    </row>
    <row r="117" spans="1:9" s="261" customFormat="1" ht="12.75" hidden="1" customHeight="1" x14ac:dyDescent="0.2">
      <c r="A117" s="199"/>
      <c r="B117" s="200"/>
      <c r="C117" s="220"/>
      <c r="D117" s="233" t="s">
        <v>282</v>
      </c>
      <c r="E117" s="201"/>
      <c r="F117" s="328"/>
      <c r="G117" s="201"/>
      <c r="H117" s="298"/>
      <c r="I117" s="196"/>
    </row>
    <row r="118" spans="1:9" s="261" customFormat="1" ht="12.75" hidden="1" customHeight="1" x14ac:dyDescent="0.2">
      <c r="A118" s="199"/>
      <c r="B118" s="200"/>
      <c r="C118" s="220"/>
      <c r="D118" s="233" t="s">
        <v>281</v>
      </c>
      <c r="E118" s="201"/>
      <c r="F118" s="328"/>
      <c r="G118" s="201"/>
      <c r="H118" s="298"/>
      <c r="I118" s="196"/>
    </row>
    <row r="119" spans="1:9" s="261" customFormat="1" ht="12.75" hidden="1" customHeight="1" x14ac:dyDescent="0.2">
      <c r="A119" s="199"/>
      <c r="B119" s="200"/>
      <c r="C119" s="220"/>
      <c r="D119" s="233" t="s">
        <v>290</v>
      </c>
      <c r="E119" s="201"/>
      <c r="F119" s="328"/>
      <c r="G119" s="201"/>
      <c r="H119" s="298"/>
      <c r="I119" s="196"/>
    </row>
    <row r="120" spans="1:9" s="261" customFormat="1" ht="12.75" hidden="1" customHeight="1" x14ac:dyDescent="0.2">
      <c r="A120" s="199"/>
      <c r="B120" s="200"/>
      <c r="C120" s="220"/>
      <c r="D120" s="233" t="s">
        <v>259</v>
      </c>
      <c r="E120" s="201"/>
      <c r="F120" s="328"/>
      <c r="G120" s="201"/>
      <c r="H120" s="298"/>
      <c r="I120" s="196"/>
    </row>
    <row r="121" spans="1:9" s="261" customFormat="1" ht="12.75" hidden="1" customHeight="1" x14ac:dyDescent="0.2">
      <c r="A121" s="199"/>
      <c r="B121" s="200"/>
      <c r="C121" s="220"/>
      <c r="D121" s="233" t="s">
        <v>333</v>
      </c>
      <c r="E121" s="201"/>
      <c r="F121" s="328"/>
      <c r="G121" s="201"/>
      <c r="H121" s="298"/>
      <c r="I121" s="196"/>
    </row>
    <row r="122" spans="1:9" s="261" customFormat="1" ht="12.75" hidden="1" customHeight="1" x14ac:dyDescent="0.2">
      <c r="A122" s="199"/>
      <c r="B122" s="200"/>
      <c r="C122" s="220"/>
      <c r="D122" s="280" t="s">
        <v>320</v>
      </c>
      <c r="E122" s="201"/>
      <c r="F122" s="328"/>
      <c r="G122" s="201"/>
      <c r="H122" s="260"/>
      <c r="I122" s="318"/>
    </row>
    <row r="123" spans="1:9" s="261" customFormat="1" ht="12.75" customHeight="1" x14ac:dyDescent="0.2">
      <c r="A123" s="195">
        <f>A114+1</f>
        <v>12</v>
      </c>
      <c r="B123" s="196" t="s">
        <v>170</v>
      </c>
      <c r="C123" s="219" t="s">
        <v>203</v>
      </c>
      <c r="D123" s="495" t="str">
        <f>$D$5</f>
        <v>FTE FEB 2024</v>
      </c>
      <c r="E123" s="198">
        <f>'3382'!I$142</f>
        <v>173819.32</v>
      </c>
      <c r="F123" s="329"/>
      <c r="G123" s="198">
        <f>SUBTOTAL(109,E123:F131)</f>
        <v>173819.32</v>
      </c>
      <c r="H123" s="260"/>
      <c r="I123" s="318"/>
    </row>
    <row r="124" spans="1:9" s="261" customFormat="1" ht="12.75" hidden="1" customHeight="1" x14ac:dyDescent="0.2">
      <c r="A124" s="195"/>
      <c r="B124" s="196"/>
      <c r="C124" s="219"/>
      <c r="D124" s="232" t="s">
        <v>280</v>
      </c>
      <c r="E124" s="198"/>
      <c r="F124" s="329"/>
      <c r="G124" s="198"/>
      <c r="H124" s="298"/>
      <c r="I124" s="196"/>
    </row>
    <row r="125" spans="1:9" s="261" customFormat="1" ht="12.75" hidden="1" customHeight="1" x14ac:dyDescent="0.2">
      <c r="A125" s="195"/>
      <c r="B125" s="196"/>
      <c r="C125" s="219"/>
      <c r="D125" s="342" t="s">
        <v>475</v>
      </c>
      <c r="E125" s="198"/>
      <c r="F125" s="329"/>
      <c r="G125" s="198"/>
      <c r="H125" s="298"/>
      <c r="I125" s="196"/>
    </row>
    <row r="126" spans="1:9" s="261" customFormat="1" ht="12.75" hidden="1" customHeight="1" x14ac:dyDescent="0.2">
      <c r="A126" s="195"/>
      <c r="B126" s="196"/>
      <c r="C126" s="219"/>
      <c r="D126" s="232" t="s">
        <v>282</v>
      </c>
      <c r="E126" s="198"/>
      <c r="F126" s="329"/>
      <c r="G126" s="198"/>
      <c r="H126" s="260"/>
      <c r="I126" s="231"/>
    </row>
    <row r="127" spans="1:9" s="261" customFormat="1" ht="12.75" hidden="1" customHeight="1" x14ac:dyDescent="0.2">
      <c r="A127" s="195"/>
      <c r="B127" s="196"/>
      <c r="C127" s="219"/>
      <c r="D127" s="232" t="s">
        <v>281</v>
      </c>
      <c r="E127" s="198"/>
      <c r="F127" s="329"/>
      <c r="G127" s="198"/>
      <c r="H127" s="298"/>
      <c r="I127" s="196"/>
    </row>
    <row r="128" spans="1:9" s="261" customFormat="1" ht="12.75" hidden="1" customHeight="1" x14ac:dyDescent="0.2">
      <c r="A128" s="195"/>
      <c r="B128" s="196"/>
      <c r="C128" s="219"/>
      <c r="D128" s="232" t="s">
        <v>290</v>
      </c>
      <c r="E128" s="198"/>
      <c r="F128" s="329"/>
      <c r="G128" s="198"/>
      <c r="H128" s="298"/>
      <c r="I128" s="196"/>
    </row>
    <row r="129" spans="1:16" s="261" customFormat="1" ht="12.75" hidden="1" customHeight="1" x14ac:dyDescent="0.2">
      <c r="A129" s="195"/>
      <c r="B129" s="196"/>
      <c r="C129" s="219"/>
      <c r="D129" s="232" t="s">
        <v>259</v>
      </c>
      <c r="E129" s="198"/>
      <c r="F129" s="329"/>
      <c r="G129" s="198"/>
      <c r="H129" s="298"/>
      <c r="I129" s="196"/>
    </row>
    <row r="130" spans="1:16" s="261" customFormat="1" ht="12.75" hidden="1" customHeight="1" x14ac:dyDescent="0.2">
      <c r="A130" s="195"/>
      <c r="B130" s="196"/>
      <c r="C130" s="219"/>
      <c r="D130" s="232" t="s">
        <v>319</v>
      </c>
      <c r="E130" s="198"/>
      <c r="F130" s="329"/>
      <c r="G130" s="198"/>
      <c r="H130" s="260"/>
      <c r="I130" s="318"/>
    </row>
    <row r="131" spans="1:16" s="261" customFormat="1" ht="12.75" hidden="1" customHeight="1" x14ac:dyDescent="0.2">
      <c r="A131" s="195"/>
      <c r="B131" s="196"/>
      <c r="C131" s="231"/>
      <c r="D131" s="278" t="s">
        <v>320</v>
      </c>
      <c r="E131" s="198"/>
      <c r="F131" s="329"/>
      <c r="G131" s="198"/>
      <c r="H131" s="260"/>
      <c r="I131" s="320"/>
    </row>
    <row r="132" spans="1:16" ht="12.75" customHeight="1" x14ac:dyDescent="0.2">
      <c r="A132" s="199">
        <f>A123+1</f>
        <v>13</v>
      </c>
      <c r="B132" s="200" t="s">
        <v>171</v>
      </c>
      <c r="C132" s="220" t="s">
        <v>205</v>
      </c>
      <c r="D132" s="279" t="str">
        <f>$D$5</f>
        <v>FTE FEB 2024</v>
      </c>
      <c r="E132" s="201">
        <f>'3391'!I$142</f>
        <v>22492.77</v>
      </c>
      <c r="F132" s="328"/>
      <c r="G132" s="201">
        <f>SUBTOTAL(109,E132:F140)</f>
        <v>22492.77</v>
      </c>
      <c r="H132" s="299"/>
      <c r="I132" s="196"/>
    </row>
    <row r="133" spans="1:16" s="261" customFormat="1" ht="12.75" hidden="1" customHeight="1" x14ac:dyDescent="0.2">
      <c r="A133" s="199"/>
      <c r="B133" s="200"/>
      <c r="C133" s="220"/>
      <c r="D133" s="233" t="s">
        <v>280</v>
      </c>
      <c r="E133" s="201"/>
      <c r="F133" s="328"/>
      <c r="G133" s="201"/>
      <c r="H133" s="298"/>
      <c r="I133" s="196"/>
      <c r="P133" s="319"/>
    </row>
    <row r="134" spans="1:16" s="261" customFormat="1" ht="12.75" hidden="1" customHeight="1" x14ac:dyDescent="0.2">
      <c r="A134" s="199"/>
      <c r="B134" s="200"/>
      <c r="C134" s="220"/>
      <c r="D134" s="233" t="s">
        <v>475</v>
      </c>
      <c r="E134" s="201"/>
      <c r="F134" s="328"/>
      <c r="G134" s="201"/>
      <c r="H134" s="298"/>
      <c r="I134" s="196"/>
    </row>
    <row r="135" spans="1:16" s="261" customFormat="1" ht="12.75" hidden="1" customHeight="1" x14ac:dyDescent="0.2">
      <c r="A135" s="199"/>
      <c r="B135" s="200"/>
      <c r="C135" s="220"/>
      <c r="D135" s="374" t="s">
        <v>337</v>
      </c>
      <c r="E135" s="201"/>
      <c r="F135" s="328"/>
      <c r="G135" s="201"/>
      <c r="H135" s="260"/>
      <c r="I135" s="231"/>
    </row>
    <row r="136" spans="1:16" s="261" customFormat="1" ht="12.75" hidden="1" customHeight="1" x14ac:dyDescent="0.2">
      <c r="A136" s="199"/>
      <c r="B136" s="200"/>
      <c r="C136" s="220"/>
      <c r="D136" s="233" t="s">
        <v>282</v>
      </c>
      <c r="E136" s="201"/>
      <c r="F136" s="328"/>
      <c r="G136" s="201"/>
      <c r="H136" s="298"/>
      <c r="I136" s="196"/>
    </row>
    <row r="137" spans="1:16" s="261" customFormat="1" ht="12.75" hidden="1" customHeight="1" x14ac:dyDescent="0.2">
      <c r="A137" s="199"/>
      <c r="B137" s="200"/>
      <c r="C137" s="220"/>
      <c r="D137" s="233" t="s">
        <v>281</v>
      </c>
      <c r="E137" s="201"/>
      <c r="F137" s="328"/>
      <c r="G137" s="201"/>
      <c r="H137" s="298"/>
      <c r="I137" s="196"/>
    </row>
    <row r="138" spans="1:16" s="261" customFormat="1" ht="12.75" hidden="1" customHeight="1" x14ac:dyDescent="0.2">
      <c r="A138" s="199"/>
      <c r="B138" s="200"/>
      <c r="C138" s="220"/>
      <c r="D138" s="233" t="s">
        <v>290</v>
      </c>
      <c r="E138" s="201"/>
      <c r="F138" s="328"/>
      <c r="G138" s="201"/>
      <c r="H138" s="298"/>
      <c r="I138" s="196"/>
    </row>
    <row r="139" spans="1:16" s="261" customFormat="1" ht="12.75" hidden="1" customHeight="1" x14ac:dyDescent="0.2">
      <c r="A139" s="199"/>
      <c r="B139" s="200"/>
      <c r="C139" s="220"/>
      <c r="D139" s="233" t="s">
        <v>259</v>
      </c>
      <c r="E139" s="201"/>
      <c r="F139" s="328"/>
      <c r="G139" s="201"/>
      <c r="H139" s="260"/>
      <c r="I139" s="318"/>
    </row>
    <row r="140" spans="1:16" s="261" customFormat="1" ht="12.75" hidden="1" customHeight="1" x14ac:dyDescent="0.2">
      <c r="A140" s="199"/>
      <c r="B140" s="200"/>
      <c r="C140" s="220"/>
      <c r="D140" s="280" t="s">
        <v>320</v>
      </c>
      <c r="E140" s="201"/>
      <c r="F140" s="328"/>
      <c r="G140" s="201"/>
      <c r="H140" s="298"/>
      <c r="I140" s="318"/>
    </row>
    <row r="141" spans="1:16" ht="12.75" customHeight="1" x14ac:dyDescent="0.2">
      <c r="A141" s="195">
        <f>A132+1</f>
        <v>14</v>
      </c>
      <c r="B141" s="196" t="s">
        <v>172</v>
      </c>
      <c r="C141" s="219" t="s">
        <v>206</v>
      </c>
      <c r="D141" s="495" t="str">
        <f>$D$5</f>
        <v>FTE FEB 2024</v>
      </c>
      <c r="E141" s="198">
        <f>'3394'!I$142</f>
        <v>143516.54999999999</v>
      </c>
      <c r="F141" s="329"/>
      <c r="G141" s="198">
        <f>SUBTOTAL(109,E141:F150)</f>
        <v>143516.54999999999</v>
      </c>
      <c r="H141" s="299"/>
      <c r="I141" s="196"/>
    </row>
    <row r="142" spans="1:16" s="261" customFormat="1" ht="12.75" hidden="1" customHeight="1" x14ac:dyDescent="0.2">
      <c r="A142" s="195"/>
      <c r="B142" s="196"/>
      <c r="C142" s="219"/>
      <c r="D142" s="232" t="s">
        <v>280</v>
      </c>
      <c r="E142" s="198"/>
      <c r="F142" s="329"/>
      <c r="G142" s="198"/>
      <c r="H142" s="298"/>
      <c r="I142" s="286"/>
    </row>
    <row r="143" spans="1:16" s="261" customFormat="1" ht="12.75" hidden="1" customHeight="1" x14ac:dyDescent="0.2">
      <c r="A143" s="195"/>
      <c r="B143" s="196"/>
      <c r="C143" s="219"/>
      <c r="D143" s="342" t="s">
        <v>475</v>
      </c>
      <c r="E143" s="198"/>
      <c r="F143" s="329"/>
      <c r="G143" s="198"/>
      <c r="H143" s="298"/>
      <c r="I143" s="286"/>
    </row>
    <row r="144" spans="1:16" s="261" customFormat="1" ht="12.75" hidden="1" customHeight="1" x14ac:dyDescent="0.2">
      <c r="A144" s="195"/>
      <c r="B144" s="196"/>
      <c r="C144" s="219"/>
      <c r="D144" s="232" t="s">
        <v>282</v>
      </c>
      <c r="E144" s="198"/>
      <c r="F144" s="329"/>
      <c r="G144" s="198"/>
      <c r="H144" s="260"/>
      <c r="I144" s="231"/>
    </row>
    <row r="145" spans="1:9" s="261" customFormat="1" ht="12.75" hidden="1" customHeight="1" x14ac:dyDescent="0.2">
      <c r="A145" s="195"/>
      <c r="B145" s="196"/>
      <c r="C145" s="219"/>
      <c r="D145" s="232" t="s">
        <v>281</v>
      </c>
      <c r="E145" s="198"/>
      <c r="F145" s="329"/>
      <c r="G145" s="198"/>
      <c r="H145" s="260"/>
      <c r="I145" s="231"/>
    </row>
    <row r="146" spans="1:9" s="261" customFormat="1" ht="12.75" hidden="1" customHeight="1" x14ac:dyDescent="0.2">
      <c r="A146" s="195"/>
      <c r="B146" s="196"/>
      <c r="C146" s="219"/>
      <c r="D146" s="232" t="s">
        <v>290</v>
      </c>
      <c r="E146" s="198"/>
      <c r="F146" s="329"/>
      <c r="G146" s="198"/>
      <c r="H146" s="298"/>
      <c r="I146" s="286"/>
    </row>
    <row r="147" spans="1:9" s="261" customFormat="1" ht="12.75" hidden="1" customHeight="1" x14ac:dyDescent="0.2">
      <c r="A147" s="195"/>
      <c r="B147" s="196"/>
      <c r="C147" s="219"/>
      <c r="D147" s="232" t="s">
        <v>259</v>
      </c>
      <c r="E147" s="198"/>
      <c r="F147" s="329"/>
      <c r="G147" s="198"/>
      <c r="H147" s="298"/>
      <c r="I147" s="286"/>
    </row>
    <row r="148" spans="1:9" s="261" customFormat="1" ht="12.75" hidden="1" customHeight="1" x14ac:dyDescent="0.2">
      <c r="A148" s="195"/>
      <c r="B148" s="196"/>
      <c r="C148" s="219"/>
      <c r="D148" s="232" t="s">
        <v>333</v>
      </c>
      <c r="E148" s="198"/>
      <c r="F148" s="329"/>
      <c r="G148" s="198"/>
      <c r="H148" s="298"/>
      <c r="I148" s="286"/>
    </row>
    <row r="149" spans="1:9" s="261" customFormat="1" ht="12.75" hidden="1" customHeight="1" x14ac:dyDescent="0.2">
      <c r="A149" s="195"/>
      <c r="B149" s="196"/>
      <c r="C149" s="219"/>
      <c r="D149" s="278" t="s">
        <v>363</v>
      </c>
      <c r="E149" s="198"/>
      <c r="F149" s="329"/>
      <c r="G149" s="198"/>
      <c r="H149" s="260"/>
      <c r="I149" s="318"/>
    </row>
    <row r="150" spans="1:9" s="261" customFormat="1" ht="12.75" hidden="1" customHeight="1" x14ac:dyDescent="0.2">
      <c r="A150" s="195"/>
      <c r="B150" s="196"/>
      <c r="C150" s="219"/>
      <c r="D150" s="278" t="s">
        <v>364</v>
      </c>
      <c r="E150" s="198"/>
      <c r="F150" s="329"/>
      <c r="G150" s="198"/>
      <c r="H150" s="260"/>
      <c r="I150" s="318"/>
    </row>
    <row r="151" spans="1:9" s="261" customFormat="1" ht="12.75" customHeight="1" x14ac:dyDescent="0.2">
      <c r="A151" s="199">
        <f>A141+1</f>
        <v>15</v>
      </c>
      <c r="B151" s="200" t="s">
        <v>173</v>
      </c>
      <c r="C151" s="263" t="s">
        <v>288</v>
      </c>
      <c r="D151" s="279" t="str">
        <f>$D$5</f>
        <v>FTE FEB 2024</v>
      </c>
      <c r="E151" s="201">
        <f>'3395'!I$142</f>
        <v>375403.27</v>
      </c>
      <c r="F151" s="328"/>
      <c r="G151" s="201">
        <f>SUBTOTAL(109,E151:F159)</f>
        <v>375403.27</v>
      </c>
      <c r="H151" s="298"/>
      <c r="I151" s="286"/>
    </row>
    <row r="152" spans="1:9" s="261" customFormat="1" ht="12.75" hidden="1" customHeight="1" x14ac:dyDescent="0.2">
      <c r="A152" s="199"/>
      <c r="B152" s="200"/>
      <c r="C152" s="220"/>
      <c r="D152" s="233" t="s">
        <v>280</v>
      </c>
      <c r="E152" s="201"/>
      <c r="F152" s="328"/>
      <c r="G152" s="201"/>
      <c r="H152" s="298"/>
      <c r="I152" s="286"/>
    </row>
    <row r="153" spans="1:9" s="261" customFormat="1" ht="12.75" hidden="1" customHeight="1" x14ac:dyDescent="0.2">
      <c r="A153" s="199"/>
      <c r="B153" s="200"/>
      <c r="C153" s="220"/>
      <c r="D153" s="374" t="s">
        <v>475</v>
      </c>
      <c r="E153" s="201"/>
      <c r="F153" s="328"/>
      <c r="G153" s="201"/>
      <c r="H153" s="260"/>
      <c r="I153" s="231"/>
    </row>
    <row r="154" spans="1:9" s="261" customFormat="1" ht="12.75" hidden="1" customHeight="1" x14ac:dyDescent="0.2">
      <c r="A154" s="199"/>
      <c r="B154" s="200"/>
      <c r="C154" s="220"/>
      <c r="D154" s="233" t="s">
        <v>282</v>
      </c>
      <c r="E154" s="201"/>
      <c r="F154" s="328"/>
      <c r="G154" s="201"/>
      <c r="H154" s="298"/>
      <c r="I154" s="286"/>
    </row>
    <row r="155" spans="1:9" s="261" customFormat="1" ht="12.75" hidden="1" customHeight="1" x14ac:dyDescent="0.2">
      <c r="A155" s="199"/>
      <c r="B155" s="200"/>
      <c r="C155" s="220"/>
      <c r="D155" s="233" t="s">
        <v>281</v>
      </c>
      <c r="E155" s="201"/>
      <c r="F155" s="328"/>
      <c r="G155" s="201"/>
      <c r="H155" s="298"/>
      <c r="I155" s="286"/>
    </row>
    <row r="156" spans="1:9" s="261" customFormat="1" ht="12.75" hidden="1" customHeight="1" x14ac:dyDescent="0.2">
      <c r="A156" s="199"/>
      <c r="B156" s="200"/>
      <c r="C156" s="220"/>
      <c r="D156" s="233" t="s">
        <v>290</v>
      </c>
      <c r="E156" s="201"/>
      <c r="F156" s="328"/>
      <c r="G156" s="201"/>
      <c r="H156" s="298"/>
      <c r="I156" s="286"/>
    </row>
    <row r="157" spans="1:9" s="261" customFormat="1" ht="12.75" hidden="1" customHeight="1" x14ac:dyDescent="0.2">
      <c r="A157" s="199"/>
      <c r="B157" s="200"/>
      <c r="C157" s="220"/>
      <c r="D157" s="233" t="s">
        <v>259</v>
      </c>
      <c r="E157" s="201"/>
      <c r="F157" s="328"/>
      <c r="G157" s="201"/>
      <c r="H157" s="260"/>
      <c r="I157" s="318"/>
    </row>
    <row r="158" spans="1:9" s="261" customFormat="1" ht="12.75" hidden="1" customHeight="1" x14ac:dyDescent="0.2">
      <c r="A158" s="199"/>
      <c r="B158" s="200"/>
      <c r="C158" s="220"/>
      <c r="D158" s="315" t="s">
        <v>433</v>
      </c>
      <c r="E158" s="201"/>
      <c r="F158" s="328"/>
      <c r="G158" s="201"/>
      <c r="H158" s="298"/>
      <c r="I158" s="320"/>
    </row>
    <row r="159" spans="1:9" s="261" customFormat="1" ht="12.75" hidden="1" customHeight="1" x14ac:dyDescent="0.2">
      <c r="A159" s="332"/>
      <c r="B159" s="200"/>
      <c r="C159" s="220"/>
      <c r="D159" s="315" t="s">
        <v>320</v>
      </c>
      <c r="E159" s="201"/>
      <c r="F159" s="328"/>
      <c r="G159" s="201"/>
      <c r="H159" s="298"/>
      <c r="I159" s="320"/>
    </row>
    <row r="160" spans="1:9" s="261" customFormat="1" ht="12.75" customHeight="1" x14ac:dyDescent="0.2">
      <c r="A160" s="195">
        <f>A151+1</f>
        <v>16</v>
      </c>
      <c r="B160" s="196" t="s">
        <v>174</v>
      </c>
      <c r="C160" s="262" t="s">
        <v>228</v>
      </c>
      <c r="D160" s="495" t="str">
        <f>$D$5</f>
        <v>FTE FEB 2024</v>
      </c>
      <c r="E160" s="198">
        <f>'3396'!I$142</f>
        <v>429910.37</v>
      </c>
      <c r="F160" s="329"/>
      <c r="G160" s="198">
        <f>SUBTOTAL(109,E160:F167)</f>
        <v>429910.37</v>
      </c>
      <c r="H160" s="298"/>
      <c r="I160" s="286"/>
    </row>
    <row r="161" spans="1:11" s="261" customFormat="1" ht="12.75" hidden="1" customHeight="1" x14ac:dyDescent="0.2">
      <c r="A161" s="195"/>
      <c r="B161" s="196"/>
      <c r="C161" s="262"/>
      <c r="D161" s="232" t="s">
        <v>280</v>
      </c>
      <c r="E161" s="198"/>
      <c r="F161" s="329"/>
      <c r="G161" s="198"/>
      <c r="H161" s="298"/>
      <c r="I161" s="286"/>
    </row>
    <row r="162" spans="1:11" s="261" customFormat="1" ht="12.75" hidden="1" customHeight="1" x14ac:dyDescent="0.2">
      <c r="A162" s="195"/>
      <c r="B162" s="196"/>
      <c r="C162" s="262"/>
      <c r="D162" s="232" t="s">
        <v>475</v>
      </c>
      <c r="E162" s="198"/>
      <c r="F162" s="329"/>
      <c r="G162" s="198"/>
      <c r="H162" s="298"/>
      <c r="I162" s="286"/>
    </row>
    <row r="163" spans="1:11" s="261" customFormat="1" ht="12.75" hidden="1" customHeight="1" x14ac:dyDescent="0.2">
      <c r="A163" s="195"/>
      <c r="B163" s="196"/>
      <c r="C163" s="262"/>
      <c r="D163" s="232" t="s">
        <v>281</v>
      </c>
      <c r="E163" s="198"/>
      <c r="F163" s="329"/>
      <c r="G163" s="198"/>
      <c r="H163" s="260"/>
      <c r="I163" s="231"/>
    </row>
    <row r="164" spans="1:11" s="261" customFormat="1" ht="12.75" hidden="1" customHeight="1" x14ac:dyDescent="0.2">
      <c r="A164" s="195"/>
      <c r="B164" s="196"/>
      <c r="C164" s="262"/>
      <c r="D164" s="232" t="s">
        <v>290</v>
      </c>
      <c r="E164" s="198"/>
      <c r="F164" s="329"/>
      <c r="G164" s="198"/>
      <c r="H164" s="298"/>
      <c r="I164" s="286"/>
    </row>
    <row r="165" spans="1:11" s="261" customFormat="1" ht="12.75" hidden="1" customHeight="1" x14ac:dyDescent="0.2">
      <c r="A165" s="195"/>
      <c r="B165" s="196"/>
      <c r="C165" s="219"/>
      <c r="D165" s="232" t="s">
        <v>259</v>
      </c>
      <c r="E165" s="198"/>
      <c r="F165" s="329"/>
      <c r="G165" s="198"/>
      <c r="H165" s="298"/>
      <c r="I165" s="286"/>
    </row>
    <row r="166" spans="1:11" s="261" customFormat="1" ht="12.75" hidden="1" customHeight="1" x14ac:dyDescent="0.2">
      <c r="A166" s="195"/>
      <c r="B166" s="196"/>
      <c r="C166" s="219"/>
      <c r="D166" s="232" t="s">
        <v>333</v>
      </c>
      <c r="E166" s="198"/>
      <c r="F166" s="329"/>
      <c r="G166" s="198"/>
      <c r="H166" s="298"/>
      <c r="I166" s="286"/>
    </row>
    <row r="167" spans="1:11" s="261" customFormat="1" ht="12.75" hidden="1" customHeight="1" x14ac:dyDescent="0.2">
      <c r="A167" s="195"/>
      <c r="B167" s="196"/>
      <c r="C167" s="219"/>
      <c r="D167" s="278" t="s">
        <v>320</v>
      </c>
      <c r="E167" s="198"/>
      <c r="F167" s="329"/>
      <c r="G167" s="198"/>
      <c r="H167" s="260"/>
      <c r="I167" s="318"/>
    </row>
    <row r="168" spans="1:11" s="261" customFormat="1" ht="12.75" customHeight="1" x14ac:dyDescent="0.2">
      <c r="A168" s="199">
        <f>A160+1</f>
        <v>17</v>
      </c>
      <c r="B168" s="200" t="s">
        <v>175</v>
      </c>
      <c r="C168" s="220" t="s">
        <v>196</v>
      </c>
      <c r="D168" s="279" t="str">
        <f>$D$5</f>
        <v>FTE FEB 2024</v>
      </c>
      <c r="E168" s="201">
        <f>'3398'!I$142</f>
        <v>75553.37</v>
      </c>
      <c r="F168" s="328"/>
      <c r="G168" s="201">
        <f>SUBTOTAL(109,E168:F174)</f>
        <v>75553.37</v>
      </c>
      <c r="H168" s="298"/>
      <c r="I168" s="320"/>
    </row>
    <row r="169" spans="1:11" ht="12.75" hidden="1" customHeight="1" x14ac:dyDescent="0.2">
      <c r="A169" s="199"/>
      <c r="B169" s="200"/>
      <c r="C169" s="220"/>
      <c r="D169" s="233" t="s">
        <v>280</v>
      </c>
      <c r="E169" s="201"/>
      <c r="F169" s="328"/>
      <c r="G169" s="201"/>
      <c r="H169" s="299"/>
      <c r="I169" s="333"/>
    </row>
    <row r="170" spans="1:11" s="261" customFormat="1" ht="12.75" hidden="1" customHeight="1" x14ac:dyDescent="0.2">
      <c r="A170" s="199"/>
      <c r="B170" s="200"/>
      <c r="C170" s="220"/>
      <c r="D170" s="233" t="s">
        <v>475</v>
      </c>
      <c r="E170" s="201"/>
      <c r="F170" s="328"/>
      <c r="G170" s="201"/>
      <c r="H170" s="298"/>
      <c r="I170" s="286"/>
      <c r="K170" s="319"/>
    </row>
    <row r="171" spans="1:11" s="261" customFormat="1" ht="12.75" hidden="1" customHeight="1" x14ac:dyDescent="0.2">
      <c r="A171" s="199"/>
      <c r="B171" s="200"/>
      <c r="C171" s="220"/>
      <c r="D171" s="233" t="s">
        <v>281</v>
      </c>
      <c r="E171" s="201"/>
      <c r="F171" s="328"/>
      <c r="G171" s="201"/>
      <c r="H171" s="298"/>
      <c r="I171" s="286"/>
    </row>
    <row r="172" spans="1:11" s="261" customFormat="1" ht="12.75" hidden="1" customHeight="1" x14ac:dyDescent="0.2">
      <c r="A172" s="199"/>
      <c r="B172" s="200"/>
      <c r="C172" s="229"/>
      <c r="D172" s="233" t="s">
        <v>290</v>
      </c>
      <c r="E172" s="201"/>
      <c r="F172" s="328"/>
      <c r="G172" s="201"/>
      <c r="H172" s="298"/>
    </row>
    <row r="173" spans="1:11" s="261" customFormat="1" ht="12.75" hidden="1" customHeight="1" x14ac:dyDescent="0.2">
      <c r="A173" s="199"/>
      <c r="B173" s="200"/>
      <c r="C173" s="220"/>
      <c r="D173" s="233" t="s">
        <v>259</v>
      </c>
      <c r="E173" s="201"/>
      <c r="F173" s="328"/>
      <c r="G173" s="201"/>
      <c r="H173" s="298"/>
    </row>
    <row r="174" spans="1:11" s="261" customFormat="1" ht="12.75" hidden="1" customHeight="1" x14ac:dyDescent="0.2">
      <c r="A174" s="199"/>
      <c r="B174" s="200"/>
      <c r="C174" s="229"/>
      <c r="D174" s="280" t="s">
        <v>320</v>
      </c>
      <c r="E174" s="201"/>
      <c r="F174" s="328"/>
      <c r="G174" s="201"/>
      <c r="H174" s="298"/>
    </row>
    <row r="175" spans="1:11" s="261" customFormat="1" ht="12.75" customHeight="1" x14ac:dyDescent="0.2">
      <c r="A175" s="195">
        <f>A168+1</f>
        <v>18</v>
      </c>
      <c r="B175" s="196" t="s">
        <v>176</v>
      </c>
      <c r="C175" s="219" t="s">
        <v>190</v>
      </c>
      <c r="D175" s="495" t="str">
        <f>$D$5</f>
        <v>FTE FEB 2024</v>
      </c>
      <c r="E175" s="198">
        <f>'3400'!I$142</f>
        <v>82154.64</v>
      </c>
      <c r="F175" s="329"/>
      <c r="G175" s="198">
        <f>SUBTOTAL(109,E175:F182)</f>
        <v>82154.64</v>
      </c>
      <c r="H175" s="260"/>
      <c r="I175" s="318"/>
    </row>
    <row r="176" spans="1:11" s="261" customFormat="1" ht="12.75" hidden="1" customHeight="1" x14ac:dyDescent="0.2">
      <c r="A176" s="195"/>
      <c r="B176" s="196"/>
      <c r="C176" s="219"/>
      <c r="D176" s="232" t="s">
        <v>280</v>
      </c>
      <c r="E176" s="198"/>
      <c r="F176" s="329"/>
      <c r="G176" s="198"/>
      <c r="H176" s="298"/>
      <c r="I176" s="320"/>
    </row>
    <row r="177" spans="1:9" s="261" customFormat="1" ht="12.75" hidden="1" customHeight="1" x14ac:dyDescent="0.2">
      <c r="A177" s="195"/>
      <c r="B177" s="196"/>
      <c r="C177" s="219"/>
      <c r="D177" s="342" t="s">
        <v>475</v>
      </c>
      <c r="E177" s="198"/>
      <c r="F177" s="329"/>
      <c r="G177" s="198"/>
      <c r="H177" s="298"/>
      <c r="I177" s="286"/>
    </row>
    <row r="178" spans="1:9" s="261" customFormat="1" ht="12.75" hidden="1" customHeight="1" x14ac:dyDescent="0.2">
      <c r="A178" s="195"/>
      <c r="B178" s="196"/>
      <c r="C178" s="219"/>
      <c r="D178" s="232" t="s">
        <v>282</v>
      </c>
      <c r="E178" s="198"/>
      <c r="F178" s="329"/>
      <c r="G178" s="198"/>
      <c r="H178" s="298"/>
      <c r="I178" s="286"/>
    </row>
    <row r="179" spans="1:9" s="261" customFormat="1" ht="12.75" hidden="1" customHeight="1" x14ac:dyDescent="0.2">
      <c r="A179" s="195"/>
      <c r="B179" s="196"/>
      <c r="C179" s="219"/>
      <c r="D179" s="232" t="s">
        <v>281</v>
      </c>
      <c r="E179" s="198"/>
      <c r="F179" s="329"/>
      <c r="G179" s="198"/>
      <c r="H179" s="298"/>
      <c r="I179" s="286"/>
    </row>
    <row r="180" spans="1:9" s="261" customFormat="1" ht="12.75" hidden="1" customHeight="1" x14ac:dyDescent="0.2">
      <c r="A180" s="195"/>
      <c r="B180" s="196"/>
      <c r="C180" s="219"/>
      <c r="D180" s="232" t="s">
        <v>290</v>
      </c>
      <c r="E180" s="198"/>
      <c r="F180" s="329"/>
      <c r="G180" s="198"/>
      <c r="H180" s="298"/>
    </row>
    <row r="181" spans="1:9" s="261" customFormat="1" ht="12.75" hidden="1" customHeight="1" x14ac:dyDescent="0.2">
      <c r="A181" s="195"/>
      <c r="B181" s="196"/>
      <c r="C181" s="219"/>
      <c r="D181" s="232" t="s">
        <v>259</v>
      </c>
      <c r="E181" s="198"/>
      <c r="F181" s="329"/>
      <c r="G181" s="198"/>
      <c r="H181" s="298"/>
      <c r="I181" s="188"/>
    </row>
    <row r="182" spans="1:9" ht="12.75" hidden="1" customHeight="1" x14ac:dyDescent="0.2">
      <c r="A182" s="195"/>
      <c r="B182" s="196"/>
      <c r="C182" s="219"/>
      <c r="D182" s="278" t="s">
        <v>320</v>
      </c>
      <c r="E182" s="198"/>
      <c r="F182" s="329"/>
      <c r="G182" s="198"/>
      <c r="H182" s="299"/>
    </row>
    <row r="183" spans="1:9" s="261" customFormat="1" ht="12.75" customHeight="1" x14ac:dyDescent="0.2">
      <c r="A183" s="199">
        <f>A175+1</f>
        <v>19</v>
      </c>
      <c r="B183" s="200" t="s">
        <v>177</v>
      </c>
      <c r="C183" s="220" t="s">
        <v>207</v>
      </c>
      <c r="D183" s="279" t="str">
        <f>$D$5</f>
        <v>FTE FEB 2024</v>
      </c>
      <c r="E183" s="201">
        <f>'3401'!I$142</f>
        <v>245661.04</v>
      </c>
      <c r="F183" s="328"/>
      <c r="G183" s="201">
        <f>SUBTOTAL(109,E183:F193)</f>
        <v>245661.04</v>
      </c>
      <c r="H183" s="260"/>
      <c r="I183" s="318"/>
    </row>
    <row r="184" spans="1:9" ht="12.75" hidden="1" customHeight="1" x14ac:dyDescent="0.2">
      <c r="A184" s="199"/>
      <c r="B184" s="200"/>
      <c r="C184" s="220"/>
      <c r="D184" s="233" t="s">
        <v>280</v>
      </c>
      <c r="E184" s="201"/>
      <c r="F184" s="328"/>
      <c r="G184" s="201"/>
      <c r="H184" s="299"/>
      <c r="I184" s="286"/>
    </row>
    <row r="185" spans="1:9" s="261" customFormat="1" ht="12.75" hidden="1" customHeight="1" x14ac:dyDescent="0.2">
      <c r="A185" s="199"/>
      <c r="B185" s="200"/>
      <c r="C185" s="220"/>
      <c r="D185" s="374" t="s">
        <v>475</v>
      </c>
      <c r="E185" s="201"/>
      <c r="F185" s="328"/>
      <c r="G185" s="201"/>
      <c r="H185" s="298"/>
      <c r="I185" s="286"/>
    </row>
    <row r="186" spans="1:9" s="261" customFormat="1" ht="12.75" hidden="1" customHeight="1" x14ac:dyDescent="0.2">
      <c r="A186" s="199"/>
      <c r="B186" s="200"/>
      <c r="C186" s="220"/>
      <c r="D186" s="233" t="s">
        <v>339</v>
      </c>
      <c r="E186" s="201"/>
      <c r="F186" s="328"/>
      <c r="G186" s="201"/>
      <c r="H186" s="298"/>
      <c r="I186" s="286"/>
    </row>
    <row r="187" spans="1:9" s="261" customFormat="1" ht="12.75" hidden="1" customHeight="1" x14ac:dyDescent="0.2">
      <c r="A187" s="199"/>
      <c r="B187" s="200"/>
      <c r="C187" s="220"/>
      <c r="D187" s="233" t="s">
        <v>340</v>
      </c>
      <c r="E187" s="201"/>
      <c r="F187" s="328"/>
      <c r="G187" s="201"/>
      <c r="H187" s="260"/>
      <c r="I187" s="231"/>
    </row>
    <row r="188" spans="1:9" s="261" customFormat="1" ht="12.75" hidden="1" customHeight="1" x14ac:dyDescent="0.2">
      <c r="A188" s="199"/>
      <c r="B188" s="200"/>
      <c r="C188" s="220"/>
      <c r="D188" s="233" t="s">
        <v>282</v>
      </c>
      <c r="E188" s="201"/>
      <c r="F188" s="328"/>
      <c r="G188" s="201"/>
      <c r="H188" s="298"/>
    </row>
    <row r="189" spans="1:9" s="261" customFormat="1" ht="12.75" hidden="1" customHeight="1" x14ac:dyDescent="0.2">
      <c r="A189" s="199"/>
      <c r="B189" s="200"/>
      <c r="C189" s="220"/>
      <c r="D189" s="233" t="s">
        <v>281</v>
      </c>
      <c r="E189" s="201"/>
      <c r="F189" s="328"/>
      <c r="G189" s="201"/>
      <c r="H189" s="298"/>
    </row>
    <row r="190" spans="1:9" s="261" customFormat="1" ht="12.75" hidden="1" customHeight="1" x14ac:dyDescent="0.2">
      <c r="A190" s="199"/>
      <c r="B190" s="200"/>
      <c r="C190" s="220"/>
      <c r="D190" s="233" t="s">
        <v>290</v>
      </c>
      <c r="E190" s="201"/>
      <c r="F190" s="328"/>
      <c r="G190" s="201"/>
      <c r="H190" s="298"/>
      <c r="I190" s="196"/>
    </row>
    <row r="191" spans="1:9" s="261" customFormat="1" ht="12.75" hidden="1" customHeight="1" x14ac:dyDescent="0.2">
      <c r="A191" s="199"/>
      <c r="B191" s="200"/>
      <c r="C191" s="220"/>
      <c r="D191" s="233" t="s">
        <v>259</v>
      </c>
      <c r="E191" s="201"/>
      <c r="F191" s="328"/>
      <c r="G191" s="201"/>
      <c r="H191" s="260"/>
      <c r="I191" s="318"/>
    </row>
    <row r="192" spans="1:9" s="261" customFormat="1" ht="12.75" hidden="1" customHeight="1" x14ac:dyDescent="0.2">
      <c r="A192" s="199"/>
      <c r="B192" s="200"/>
      <c r="C192" s="229"/>
      <c r="D192" s="315" t="s">
        <v>334</v>
      </c>
      <c r="E192" s="201"/>
      <c r="F192" s="328"/>
      <c r="G192" s="201"/>
      <c r="H192" s="260"/>
      <c r="I192" s="318"/>
    </row>
    <row r="193" spans="1:9" s="261" customFormat="1" ht="12.75" hidden="1" customHeight="1" x14ac:dyDescent="0.2">
      <c r="A193" s="199"/>
      <c r="B193" s="200"/>
      <c r="C193" s="220"/>
      <c r="D193" s="280" t="s">
        <v>320</v>
      </c>
      <c r="E193" s="201"/>
      <c r="F193" s="328"/>
      <c r="G193" s="201"/>
      <c r="H193" s="298"/>
      <c r="I193" s="196"/>
    </row>
    <row r="194" spans="1:9" s="261" customFormat="1" ht="12.75" customHeight="1" x14ac:dyDescent="0.2">
      <c r="A194" s="195">
        <f>A183+1</f>
        <v>20</v>
      </c>
      <c r="B194" s="196" t="s">
        <v>178</v>
      </c>
      <c r="C194" s="219" t="s">
        <v>208</v>
      </c>
      <c r="D194" s="495" t="str">
        <f>$D$5</f>
        <v>FTE FEB 2024</v>
      </c>
      <c r="E194" s="198">
        <f>'3413'!I$142</f>
        <v>283058.8</v>
      </c>
      <c r="F194" s="329"/>
      <c r="G194" s="198">
        <f>SUBTOTAL(109,E194:F201)</f>
        <v>283058.8</v>
      </c>
      <c r="H194" s="298"/>
      <c r="I194" s="196"/>
    </row>
    <row r="195" spans="1:9" s="261" customFormat="1" ht="12.75" hidden="1" customHeight="1" x14ac:dyDescent="0.2">
      <c r="A195" s="195"/>
      <c r="B195" s="196"/>
      <c r="C195" s="219"/>
      <c r="D195" s="232" t="s">
        <v>280</v>
      </c>
      <c r="E195" s="198"/>
      <c r="F195" s="329"/>
      <c r="G195" s="198"/>
      <c r="H195" s="298"/>
      <c r="I195" s="196"/>
    </row>
    <row r="196" spans="1:9" s="261" customFormat="1" ht="12.75" hidden="1" customHeight="1" x14ac:dyDescent="0.2">
      <c r="A196" s="195"/>
      <c r="B196" s="196"/>
      <c r="C196" s="219"/>
      <c r="D196" s="342" t="s">
        <v>475</v>
      </c>
      <c r="E196" s="198"/>
      <c r="F196" s="329"/>
      <c r="G196" s="198"/>
      <c r="H196" s="298"/>
      <c r="I196" s="196"/>
    </row>
    <row r="197" spans="1:9" s="261" customFormat="1" ht="12.75" hidden="1" customHeight="1" x14ac:dyDescent="0.2">
      <c r="A197" s="195"/>
      <c r="B197" s="196"/>
      <c r="C197" s="219"/>
      <c r="D197" s="232" t="s">
        <v>282</v>
      </c>
      <c r="E197" s="198"/>
      <c r="F197" s="329"/>
      <c r="G197" s="198"/>
      <c r="H197" s="298"/>
      <c r="I197" s="196"/>
    </row>
    <row r="198" spans="1:9" s="261" customFormat="1" ht="12.75" hidden="1" customHeight="1" x14ac:dyDescent="0.2">
      <c r="A198" s="195"/>
      <c r="B198" s="196"/>
      <c r="C198" s="219"/>
      <c r="D198" s="232" t="s">
        <v>281</v>
      </c>
      <c r="E198" s="198"/>
      <c r="F198" s="329"/>
      <c r="G198" s="198"/>
      <c r="H198" s="298"/>
      <c r="I198" s="196"/>
    </row>
    <row r="199" spans="1:9" s="261" customFormat="1" ht="12.75" hidden="1" customHeight="1" x14ac:dyDescent="0.2">
      <c r="A199" s="195"/>
      <c r="B199" s="196"/>
      <c r="C199" s="219"/>
      <c r="D199" s="232" t="s">
        <v>290</v>
      </c>
      <c r="E199" s="198"/>
      <c r="F199" s="329"/>
      <c r="G199" s="198"/>
      <c r="H199" s="298"/>
      <c r="I199" s="196"/>
    </row>
    <row r="200" spans="1:9" s="261" customFormat="1" ht="12.75" hidden="1" customHeight="1" x14ac:dyDescent="0.2">
      <c r="A200" s="195"/>
      <c r="B200" s="196"/>
      <c r="C200" s="219"/>
      <c r="D200" s="232" t="s">
        <v>259</v>
      </c>
      <c r="E200" s="198"/>
      <c r="F200" s="329"/>
      <c r="G200" s="198"/>
      <c r="H200" s="298"/>
      <c r="I200" s="196"/>
    </row>
    <row r="201" spans="1:9" s="261" customFormat="1" ht="12.75" hidden="1" customHeight="1" x14ac:dyDescent="0.2">
      <c r="A201" s="195"/>
      <c r="B201" s="196"/>
      <c r="C201" s="219"/>
      <c r="D201" s="278" t="s">
        <v>320</v>
      </c>
      <c r="E201" s="198"/>
      <c r="F201" s="329"/>
      <c r="G201" s="198"/>
      <c r="H201" s="260"/>
      <c r="I201" s="318"/>
    </row>
    <row r="202" spans="1:9" s="261" customFormat="1" ht="12.75" customHeight="1" x14ac:dyDescent="0.2">
      <c r="A202" s="199">
        <f>A194+1</f>
        <v>21</v>
      </c>
      <c r="B202" s="200" t="s">
        <v>179</v>
      </c>
      <c r="C202" s="220" t="s">
        <v>209</v>
      </c>
      <c r="D202" s="279" t="str">
        <f>$D$5</f>
        <v>FTE FEB 2024</v>
      </c>
      <c r="E202" s="201">
        <f>'3421'!I$142</f>
        <v>243644.19</v>
      </c>
      <c r="F202" s="328"/>
      <c r="G202" s="201">
        <f>SUBTOTAL(109,E202:F212)</f>
        <v>243644.19</v>
      </c>
      <c r="H202" s="298"/>
      <c r="I202" s="323"/>
    </row>
    <row r="203" spans="1:9" s="261" customFormat="1" ht="12.75" hidden="1" customHeight="1" x14ac:dyDescent="0.2">
      <c r="A203" s="199"/>
      <c r="B203" s="200"/>
      <c r="C203" s="220"/>
      <c r="D203" s="233" t="s">
        <v>280</v>
      </c>
      <c r="E203" s="201"/>
      <c r="F203" s="328"/>
      <c r="G203" s="201"/>
      <c r="H203" s="260"/>
      <c r="I203" s="318"/>
    </row>
    <row r="204" spans="1:9" s="261" customFormat="1" ht="12.75" hidden="1" customHeight="1" x14ac:dyDescent="0.2">
      <c r="A204" s="199"/>
      <c r="B204" s="200"/>
      <c r="C204" s="220"/>
      <c r="D204" s="374" t="s">
        <v>349</v>
      </c>
      <c r="E204" s="201"/>
      <c r="F204" s="328"/>
      <c r="G204" s="201"/>
      <c r="H204" s="298"/>
      <c r="I204" s="196"/>
    </row>
    <row r="205" spans="1:9" s="261" customFormat="1" ht="12.75" hidden="1" customHeight="1" x14ac:dyDescent="0.2">
      <c r="A205" s="199"/>
      <c r="B205" s="200"/>
      <c r="C205" s="220"/>
      <c r="D205" s="233" t="s">
        <v>339</v>
      </c>
      <c r="E205" s="201"/>
      <c r="F205" s="328"/>
      <c r="G205" s="201"/>
      <c r="H205" s="298"/>
      <c r="I205" s="196"/>
    </row>
    <row r="206" spans="1:9" s="261" customFormat="1" ht="12.75" hidden="1" customHeight="1" x14ac:dyDescent="0.2">
      <c r="A206" s="199"/>
      <c r="B206" s="200"/>
      <c r="C206" s="220"/>
      <c r="D206" s="233" t="s">
        <v>340</v>
      </c>
      <c r="E206" s="201"/>
      <c r="F206" s="328"/>
      <c r="G206" s="201"/>
      <c r="H206" s="260"/>
      <c r="I206" s="231"/>
    </row>
    <row r="207" spans="1:9" s="261" customFormat="1" ht="12.75" hidden="1" customHeight="1" x14ac:dyDescent="0.2">
      <c r="A207" s="199"/>
      <c r="B207" s="200"/>
      <c r="C207" s="220"/>
      <c r="D207" s="233" t="s">
        <v>282</v>
      </c>
      <c r="E207" s="201"/>
      <c r="F207" s="328"/>
      <c r="G207" s="201"/>
      <c r="H207" s="298"/>
    </row>
    <row r="208" spans="1:9" s="261" customFormat="1" ht="12.75" hidden="1" customHeight="1" x14ac:dyDescent="0.2">
      <c r="A208" s="199"/>
      <c r="B208" s="200"/>
      <c r="C208" s="220"/>
      <c r="D208" s="233" t="s">
        <v>281</v>
      </c>
      <c r="E208" s="201"/>
      <c r="F208" s="328"/>
      <c r="G208" s="201"/>
      <c r="H208" s="298"/>
    </row>
    <row r="209" spans="1:9" s="261" customFormat="1" ht="12.75" hidden="1" customHeight="1" x14ac:dyDescent="0.2">
      <c r="A209" s="199"/>
      <c r="B209" s="200"/>
      <c r="C209" s="220"/>
      <c r="D209" s="233" t="s">
        <v>290</v>
      </c>
      <c r="E209" s="201"/>
      <c r="F209" s="328"/>
      <c r="G209" s="201"/>
      <c r="H209" s="298"/>
    </row>
    <row r="210" spans="1:9" s="261" customFormat="1" ht="12.75" hidden="1" customHeight="1" x14ac:dyDescent="0.2">
      <c r="A210" s="199"/>
      <c r="B210" s="200"/>
      <c r="C210" s="220"/>
      <c r="D210" s="233" t="s">
        <v>259</v>
      </c>
      <c r="E210" s="201"/>
      <c r="F210" s="328"/>
      <c r="G210" s="201"/>
      <c r="H210" s="260"/>
      <c r="I210" s="318"/>
    </row>
    <row r="211" spans="1:9" s="261" customFormat="1" ht="12.75" hidden="1" customHeight="1" x14ac:dyDescent="0.2">
      <c r="A211" s="199"/>
      <c r="B211" s="200"/>
      <c r="C211" s="229"/>
      <c r="D211" s="315" t="s">
        <v>334</v>
      </c>
      <c r="E211" s="201"/>
      <c r="F211" s="328"/>
      <c r="G211" s="201"/>
      <c r="H211" s="260"/>
      <c r="I211" s="318"/>
    </row>
    <row r="212" spans="1:9" s="261" customFormat="1" ht="12.75" hidden="1" customHeight="1" x14ac:dyDescent="0.2">
      <c r="A212" s="199"/>
      <c r="B212" s="200"/>
      <c r="C212" s="220"/>
      <c r="D212" s="280" t="s">
        <v>320</v>
      </c>
      <c r="E212" s="201"/>
      <c r="F212" s="328"/>
      <c r="G212" s="201"/>
      <c r="H212" s="298"/>
    </row>
    <row r="213" spans="1:9" s="261" customFormat="1" ht="12.75" customHeight="1" x14ac:dyDescent="0.2">
      <c r="A213" s="195">
        <f>A202+1</f>
        <v>22</v>
      </c>
      <c r="B213" s="196" t="s">
        <v>180</v>
      </c>
      <c r="C213" s="219" t="s">
        <v>211</v>
      </c>
      <c r="D213" s="495" t="str">
        <f>$D$5</f>
        <v>FTE FEB 2024</v>
      </c>
      <c r="E213" s="198">
        <f>'3431'!I$142</f>
        <v>689658.29</v>
      </c>
      <c r="F213" s="329"/>
      <c r="G213" s="198">
        <f>SUBTOTAL(109,E213:F222)</f>
        <v>689658.29</v>
      </c>
      <c r="H213" s="298"/>
    </row>
    <row r="214" spans="1:9" s="261" customFormat="1" ht="12.75" hidden="1" customHeight="1" x14ac:dyDescent="0.2">
      <c r="A214" s="195"/>
      <c r="B214" s="196"/>
      <c r="C214" s="219"/>
      <c r="D214" s="232" t="s">
        <v>280</v>
      </c>
      <c r="E214" s="198"/>
      <c r="F214" s="329"/>
      <c r="G214" s="198"/>
      <c r="H214" s="298"/>
      <c r="I214" s="196"/>
    </row>
    <row r="215" spans="1:9" s="261" customFormat="1" ht="12.75" hidden="1" customHeight="1" x14ac:dyDescent="0.2">
      <c r="A215" s="195"/>
      <c r="B215" s="196"/>
      <c r="C215" s="219"/>
      <c r="D215" s="342" t="s">
        <v>475</v>
      </c>
      <c r="E215" s="198"/>
      <c r="F215" s="329"/>
      <c r="G215" s="198"/>
      <c r="H215" s="298"/>
      <c r="I215" s="196"/>
    </row>
    <row r="216" spans="1:9" s="261" customFormat="1" ht="12.75" hidden="1" customHeight="1" x14ac:dyDescent="0.2">
      <c r="A216" s="195"/>
      <c r="B216" s="196"/>
      <c r="C216" s="219"/>
      <c r="D216" s="232" t="s">
        <v>282</v>
      </c>
      <c r="E216" s="198"/>
      <c r="F216" s="329"/>
      <c r="G216" s="198"/>
      <c r="H216" s="298"/>
      <c r="I216" s="196"/>
    </row>
    <row r="217" spans="1:9" s="261" customFormat="1" ht="12.75" hidden="1" customHeight="1" x14ac:dyDescent="0.2">
      <c r="A217" s="195"/>
      <c r="B217" s="196"/>
      <c r="C217" s="219"/>
      <c r="D217" s="232" t="s">
        <v>329</v>
      </c>
      <c r="E217" s="198"/>
      <c r="F217" s="329"/>
      <c r="G217" s="198"/>
      <c r="H217" s="298"/>
    </row>
    <row r="218" spans="1:9" s="261" customFormat="1" ht="12.75" hidden="1" customHeight="1" x14ac:dyDescent="0.2">
      <c r="A218" s="195"/>
      <c r="B218" s="196"/>
      <c r="C218" s="219"/>
      <c r="D218" s="232" t="s">
        <v>290</v>
      </c>
      <c r="E218" s="198"/>
      <c r="F218" s="329"/>
      <c r="G218" s="198"/>
      <c r="H218" s="298"/>
      <c r="I218" s="196"/>
    </row>
    <row r="219" spans="1:9" s="261" customFormat="1" ht="12.75" hidden="1" customHeight="1" x14ac:dyDescent="0.2">
      <c r="A219" s="195"/>
      <c r="B219" s="196"/>
      <c r="C219" s="219"/>
      <c r="D219" s="232" t="s">
        <v>259</v>
      </c>
      <c r="E219" s="198"/>
      <c r="F219" s="329"/>
      <c r="G219" s="198"/>
      <c r="H219" s="298"/>
    </row>
    <row r="220" spans="1:9" s="261" customFormat="1" ht="12.75" hidden="1" customHeight="1" x14ac:dyDescent="0.2">
      <c r="A220" s="195"/>
      <c r="B220" s="196"/>
      <c r="C220" s="219"/>
      <c r="D220" s="232" t="s">
        <v>291</v>
      </c>
      <c r="E220" s="198"/>
      <c r="F220" s="329"/>
      <c r="G220" s="198"/>
      <c r="H220" s="260"/>
      <c r="I220" s="318"/>
    </row>
    <row r="221" spans="1:9" s="261" customFormat="1" ht="12.75" hidden="1" customHeight="1" x14ac:dyDescent="0.2">
      <c r="A221" s="195"/>
      <c r="B221" s="196"/>
      <c r="C221" s="231"/>
      <c r="D221" s="343" t="s">
        <v>334</v>
      </c>
      <c r="E221" s="198"/>
      <c r="F221" s="329"/>
      <c r="G221" s="198"/>
      <c r="H221" s="298"/>
      <c r="I221" s="323"/>
    </row>
    <row r="222" spans="1:9" s="261" customFormat="1" ht="12.75" hidden="1" customHeight="1" x14ac:dyDescent="0.2">
      <c r="A222" s="195"/>
      <c r="B222" s="196"/>
      <c r="C222" s="219"/>
      <c r="D222" s="278" t="s">
        <v>336</v>
      </c>
      <c r="E222" s="198"/>
      <c r="F222" s="329"/>
      <c r="G222" s="198"/>
      <c r="H222" s="260"/>
      <c r="I222" s="318"/>
    </row>
    <row r="223" spans="1:9" s="261" customFormat="1" ht="12.75" customHeight="1" x14ac:dyDescent="0.2">
      <c r="A223" s="199">
        <f>A213+1</f>
        <v>23</v>
      </c>
      <c r="B223" s="200">
        <v>3441</v>
      </c>
      <c r="C223" s="263" t="s">
        <v>229</v>
      </c>
      <c r="D223" s="279" t="str">
        <f>$D$5</f>
        <v>FTE FEB 2024</v>
      </c>
      <c r="E223" s="201">
        <f>'3441'!I$142</f>
        <v>346239.61</v>
      </c>
      <c r="F223" s="328"/>
      <c r="G223" s="201">
        <f>SUBTOTAL(109,E223:F231)</f>
        <v>346239.61</v>
      </c>
      <c r="H223" s="298"/>
    </row>
    <row r="224" spans="1:9" s="261" customFormat="1" ht="12.75" hidden="1" customHeight="1" x14ac:dyDescent="0.2">
      <c r="A224" s="199"/>
      <c r="B224" s="200"/>
      <c r="C224" s="263"/>
      <c r="D224" s="233" t="s">
        <v>280</v>
      </c>
      <c r="E224" s="201"/>
      <c r="F224" s="328"/>
      <c r="G224" s="201"/>
      <c r="H224" s="298"/>
    </row>
    <row r="225" spans="1:9" s="261" customFormat="1" ht="12.75" hidden="1" customHeight="1" x14ac:dyDescent="0.2">
      <c r="A225" s="199"/>
      <c r="B225" s="200"/>
      <c r="C225" s="220"/>
      <c r="D225" s="374" t="s">
        <v>475</v>
      </c>
      <c r="E225" s="201"/>
      <c r="F225" s="328"/>
      <c r="G225" s="201"/>
      <c r="H225" s="298"/>
      <c r="I225" s="196"/>
    </row>
    <row r="226" spans="1:9" s="261" customFormat="1" ht="12.75" hidden="1" customHeight="1" x14ac:dyDescent="0.2">
      <c r="A226" s="199"/>
      <c r="B226" s="200"/>
      <c r="C226" s="263"/>
      <c r="D226" s="233" t="s">
        <v>282</v>
      </c>
      <c r="E226" s="201"/>
      <c r="F226" s="328"/>
      <c r="G226" s="201"/>
      <c r="H226" s="298"/>
    </row>
    <row r="227" spans="1:9" s="261" customFormat="1" ht="12.75" hidden="1" customHeight="1" x14ac:dyDescent="0.2">
      <c r="A227" s="199"/>
      <c r="B227" s="200"/>
      <c r="C227" s="220"/>
      <c r="D227" s="233" t="s">
        <v>281</v>
      </c>
      <c r="E227" s="201"/>
      <c r="F227" s="328"/>
      <c r="G227" s="201"/>
      <c r="H227" s="298"/>
      <c r="I227" s="196"/>
    </row>
    <row r="228" spans="1:9" s="261" customFormat="1" ht="12.75" hidden="1" customHeight="1" x14ac:dyDescent="0.2">
      <c r="A228" s="199"/>
      <c r="B228" s="200"/>
      <c r="C228" s="220"/>
      <c r="D228" s="233" t="s">
        <v>290</v>
      </c>
      <c r="E228" s="201"/>
      <c r="F228" s="328"/>
      <c r="G228" s="201"/>
      <c r="H228" s="298"/>
      <c r="I228" s="196"/>
    </row>
    <row r="229" spans="1:9" s="261" customFormat="1" ht="12.75" hidden="1" customHeight="1" x14ac:dyDescent="0.2">
      <c r="A229" s="199"/>
      <c r="B229" s="200"/>
      <c r="C229" s="220"/>
      <c r="D229" s="233" t="s">
        <v>259</v>
      </c>
      <c r="E229" s="201"/>
      <c r="F229" s="328"/>
      <c r="G229" s="201"/>
      <c r="H229" s="298"/>
      <c r="I229" s="318"/>
    </row>
    <row r="230" spans="1:9" s="261" customFormat="1" ht="12.75" hidden="1" customHeight="1" x14ac:dyDescent="0.2">
      <c r="A230" s="199"/>
      <c r="B230" s="200"/>
      <c r="C230" s="220"/>
      <c r="D230" s="233" t="s">
        <v>291</v>
      </c>
      <c r="E230" s="201"/>
      <c r="F230" s="328"/>
      <c r="G230" s="201"/>
      <c r="H230" s="298"/>
      <c r="I230" s="286"/>
    </row>
    <row r="231" spans="1:9" s="261" customFormat="1" ht="12.75" hidden="1" customHeight="1" x14ac:dyDescent="0.2">
      <c r="A231" s="199"/>
      <c r="B231" s="200"/>
      <c r="C231" s="220"/>
      <c r="D231" s="280" t="s">
        <v>320</v>
      </c>
      <c r="E231" s="201"/>
      <c r="F231" s="328"/>
      <c r="G231" s="201"/>
      <c r="H231" s="298"/>
      <c r="I231" s="323"/>
    </row>
    <row r="232" spans="1:9" s="261" customFormat="1" ht="12.75" customHeight="1" x14ac:dyDescent="0.2">
      <c r="A232" s="195">
        <f>A223+1</f>
        <v>24</v>
      </c>
      <c r="B232" s="196">
        <v>3924</v>
      </c>
      <c r="C232" s="262" t="s">
        <v>354</v>
      </c>
      <c r="D232" s="495" t="str">
        <f>$D$5</f>
        <v>FTE FEB 2024</v>
      </c>
      <c r="E232" s="198">
        <f>'3924'!I$142</f>
        <v>285613.34999999998</v>
      </c>
      <c r="F232" s="329"/>
      <c r="G232" s="198">
        <f>SUBTOTAL(109,E232:F241)</f>
        <v>285613.34999999998</v>
      </c>
      <c r="H232" s="298"/>
    </row>
    <row r="233" spans="1:9" s="261" customFormat="1" ht="12.75" hidden="1" customHeight="1" x14ac:dyDescent="0.2">
      <c r="A233" s="195"/>
      <c r="B233" s="196"/>
      <c r="C233" s="219"/>
      <c r="D233" s="232" t="s">
        <v>280</v>
      </c>
      <c r="E233" s="198"/>
      <c r="F233" s="329"/>
      <c r="G233" s="198"/>
      <c r="H233" s="298"/>
    </row>
    <row r="234" spans="1:9" s="261" customFormat="1" ht="12.75" hidden="1" customHeight="1" x14ac:dyDescent="0.2">
      <c r="A234" s="195"/>
      <c r="B234" s="196"/>
      <c r="C234" s="219"/>
      <c r="D234" s="342" t="s">
        <v>475</v>
      </c>
      <c r="E234" s="198"/>
      <c r="F234" s="329"/>
      <c r="G234" s="198"/>
      <c r="H234" s="298"/>
    </row>
    <row r="235" spans="1:9" s="261" customFormat="1" ht="12.75" hidden="1" customHeight="1" x14ac:dyDescent="0.2">
      <c r="A235" s="195"/>
      <c r="B235" s="196"/>
      <c r="C235" s="219"/>
      <c r="D235" s="342" t="s">
        <v>337</v>
      </c>
      <c r="E235" s="198"/>
      <c r="F235" s="329"/>
      <c r="G235" s="198"/>
      <c r="H235" s="260"/>
      <c r="I235" s="231"/>
    </row>
    <row r="236" spans="1:9" s="261" customFormat="1" ht="12.75" hidden="1" customHeight="1" x14ac:dyDescent="0.2">
      <c r="A236" s="195"/>
      <c r="B236" s="196"/>
      <c r="C236" s="219"/>
      <c r="D236" s="232" t="s">
        <v>282</v>
      </c>
      <c r="E236" s="198"/>
      <c r="F236" s="329"/>
      <c r="G236" s="198"/>
      <c r="H236" s="298"/>
    </row>
    <row r="237" spans="1:9" s="261" customFormat="1" ht="12.75" hidden="1" customHeight="1" x14ac:dyDescent="0.2">
      <c r="A237" s="195"/>
      <c r="B237" s="196"/>
      <c r="C237" s="219"/>
      <c r="D237" s="232" t="s">
        <v>281</v>
      </c>
      <c r="E237" s="198"/>
      <c r="F237" s="329"/>
      <c r="G237" s="198"/>
      <c r="H237" s="298"/>
    </row>
    <row r="238" spans="1:9" s="261" customFormat="1" ht="12.75" hidden="1" customHeight="1" x14ac:dyDescent="0.2">
      <c r="A238" s="195"/>
      <c r="B238" s="196"/>
      <c r="C238" s="219"/>
      <c r="D238" s="232" t="s">
        <v>290</v>
      </c>
      <c r="E238" s="198"/>
      <c r="F238" s="329"/>
      <c r="G238" s="198"/>
      <c r="H238" s="298"/>
      <c r="I238" s="196"/>
    </row>
    <row r="239" spans="1:9" s="261" customFormat="1" ht="12.75" hidden="1" customHeight="1" x14ac:dyDescent="0.2">
      <c r="A239" s="195"/>
      <c r="B239" s="196"/>
      <c r="C239" s="219"/>
      <c r="D239" s="232" t="s">
        <v>259</v>
      </c>
      <c r="E239" s="198"/>
      <c r="F239" s="329"/>
      <c r="G239" s="198"/>
      <c r="H239" s="260"/>
      <c r="I239" s="318"/>
    </row>
    <row r="240" spans="1:9" s="261" customFormat="1" ht="12.75" hidden="1" customHeight="1" x14ac:dyDescent="0.2">
      <c r="A240" s="195"/>
      <c r="B240" s="196"/>
      <c r="C240" s="231"/>
      <c r="D240" s="343" t="s">
        <v>334</v>
      </c>
      <c r="E240" s="198"/>
      <c r="F240" s="329"/>
      <c r="G240" s="198"/>
      <c r="H240" s="298"/>
    </row>
    <row r="241" spans="1:9" s="261" customFormat="1" ht="12.75" hidden="1" customHeight="1" x14ac:dyDescent="0.2">
      <c r="A241" s="195"/>
      <c r="B241" s="196"/>
      <c r="C241" s="219"/>
      <c r="D241" s="278" t="s">
        <v>365</v>
      </c>
      <c r="E241" s="198"/>
      <c r="F241" s="329"/>
      <c r="G241" s="198"/>
      <c r="H241" s="298"/>
    </row>
    <row r="242" spans="1:9" s="261" customFormat="1" ht="12.75" customHeight="1" x14ac:dyDescent="0.2">
      <c r="A242" s="199">
        <f>A232+1</f>
        <v>25</v>
      </c>
      <c r="B242" s="200" t="s">
        <v>181</v>
      </c>
      <c r="C242" s="220" t="s">
        <v>192</v>
      </c>
      <c r="D242" s="279" t="str">
        <f>$D$5</f>
        <v>FTE FEB 2024</v>
      </c>
      <c r="E242" s="201">
        <f>'3941'!I$142</f>
        <v>190623.27</v>
      </c>
      <c r="F242" s="328"/>
      <c r="G242" s="201">
        <f>SUBTOTAL(109,E242:F251)</f>
        <v>190623.27</v>
      </c>
      <c r="H242" s="298"/>
    </row>
    <row r="243" spans="1:9" s="261" customFormat="1" ht="12.75" hidden="1" customHeight="1" x14ac:dyDescent="0.2">
      <c r="A243" s="199"/>
      <c r="B243" s="200"/>
      <c r="C243" s="220"/>
      <c r="D243" s="233" t="s">
        <v>280</v>
      </c>
      <c r="E243" s="201"/>
      <c r="F243" s="328"/>
      <c r="G243" s="201"/>
      <c r="H243" s="298"/>
    </row>
    <row r="244" spans="1:9" s="261" customFormat="1" ht="12.75" hidden="1" customHeight="1" x14ac:dyDescent="0.2">
      <c r="A244" s="199"/>
      <c r="B244" s="200"/>
      <c r="C244" s="220"/>
      <c r="D244" s="374" t="s">
        <v>475</v>
      </c>
      <c r="E244" s="201"/>
      <c r="F244" s="328"/>
      <c r="G244" s="201"/>
      <c r="H244" s="298"/>
      <c r="I244" s="196"/>
    </row>
    <row r="245" spans="1:9" s="261" customFormat="1" ht="12.75" hidden="1" customHeight="1" x14ac:dyDescent="0.2">
      <c r="A245" s="199"/>
      <c r="B245" s="200"/>
      <c r="C245" s="220"/>
      <c r="D245" s="233" t="s">
        <v>282</v>
      </c>
      <c r="E245" s="201"/>
      <c r="F245" s="328"/>
      <c r="G245" s="201"/>
      <c r="H245" s="298"/>
      <c r="I245" s="196"/>
    </row>
    <row r="246" spans="1:9" s="261" customFormat="1" ht="12.75" hidden="1" customHeight="1" x14ac:dyDescent="0.2">
      <c r="A246" s="199"/>
      <c r="B246" s="200"/>
      <c r="C246" s="220"/>
      <c r="D246" s="233" t="s">
        <v>281</v>
      </c>
      <c r="E246" s="201"/>
      <c r="F246" s="328"/>
      <c r="G246" s="201"/>
      <c r="H246" s="298"/>
    </row>
    <row r="247" spans="1:9" s="261" customFormat="1" ht="12.75" hidden="1" customHeight="1" x14ac:dyDescent="0.2">
      <c r="A247" s="199"/>
      <c r="B247" s="200"/>
      <c r="C247" s="220"/>
      <c r="D247" s="233" t="s">
        <v>290</v>
      </c>
      <c r="E247" s="201"/>
      <c r="F247" s="328"/>
      <c r="G247" s="201"/>
      <c r="H247" s="298"/>
    </row>
    <row r="248" spans="1:9" s="261" customFormat="1" ht="12.75" hidden="1" customHeight="1" x14ac:dyDescent="0.2">
      <c r="A248" s="199"/>
      <c r="B248" s="200"/>
      <c r="C248" s="220"/>
      <c r="D248" s="233" t="s">
        <v>259</v>
      </c>
      <c r="E248" s="201"/>
      <c r="F248" s="328"/>
      <c r="G248" s="201"/>
      <c r="H248" s="298"/>
    </row>
    <row r="249" spans="1:9" s="261" customFormat="1" ht="12.75" hidden="1" customHeight="1" x14ac:dyDescent="0.2">
      <c r="A249" s="199"/>
      <c r="B249" s="200"/>
      <c r="C249" s="220"/>
      <c r="D249" s="233" t="s">
        <v>315</v>
      </c>
      <c r="E249" s="201"/>
      <c r="F249" s="328"/>
      <c r="G249" s="201"/>
      <c r="H249" s="298"/>
      <c r="I249" s="318"/>
    </row>
    <row r="250" spans="1:9" s="261" customFormat="1" ht="12.75" hidden="1" customHeight="1" x14ac:dyDescent="0.2">
      <c r="A250" s="199"/>
      <c r="B250" s="200"/>
      <c r="C250" s="220"/>
      <c r="D250" s="233" t="s">
        <v>334</v>
      </c>
      <c r="E250" s="201"/>
      <c r="F250" s="328"/>
      <c r="G250" s="201"/>
      <c r="H250" s="298"/>
      <c r="I250" s="323"/>
    </row>
    <row r="251" spans="1:9" s="261" customFormat="1" ht="12.75" hidden="1" customHeight="1" x14ac:dyDescent="0.2">
      <c r="A251" s="199"/>
      <c r="B251" s="200"/>
      <c r="C251" s="220"/>
      <c r="D251" s="233"/>
      <c r="E251" s="201"/>
      <c r="F251" s="328"/>
      <c r="G251" s="201"/>
      <c r="H251" s="298"/>
      <c r="I251" s="318"/>
    </row>
    <row r="252" spans="1:9" s="261" customFormat="1" ht="12.75" customHeight="1" x14ac:dyDescent="0.2">
      <c r="A252" s="195">
        <f>A242+1</f>
        <v>26</v>
      </c>
      <c r="B252" s="196" t="s">
        <v>182</v>
      </c>
      <c r="C252" s="219" t="s">
        <v>202</v>
      </c>
      <c r="D252" s="495" t="str">
        <f>$D$5</f>
        <v>FTE FEB 2024</v>
      </c>
      <c r="E252" s="198">
        <f>'3961'!I$142</f>
        <v>209188.19</v>
      </c>
      <c r="F252" s="329"/>
      <c r="G252" s="198">
        <f>SUBTOTAL(109,E252:F259)</f>
        <v>209188.19</v>
      </c>
      <c r="H252" s="298"/>
    </row>
    <row r="253" spans="1:9" s="261" customFormat="1" ht="12.75" hidden="1" customHeight="1" x14ac:dyDescent="0.2">
      <c r="A253" s="195"/>
      <c r="B253" s="196"/>
      <c r="C253" s="219"/>
      <c r="D253" s="232" t="s">
        <v>280</v>
      </c>
      <c r="E253" s="198"/>
      <c r="F253" s="329"/>
      <c r="G253" s="198"/>
      <c r="H253" s="298"/>
    </row>
    <row r="254" spans="1:9" s="261" customFormat="1" ht="12.75" hidden="1" customHeight="1" x14ac:dyDescent="0.2">
      <c r="A254" s="195"/>
      <c r="B254" s="196"/>
      <c r="C254" s="219"/>
      <c r="D254" s="342" t="s">
        <v>475</v>
      </c>
      <c r="E254" s="198"/>
      <c r="F254" s="329"/>
      <c r="G254" s="198"/>
      <c r="H254" s="298"/>
      <c r="I254" s="196"/>
    </row>
    <row r="255" spans="1:9" s="261" customFormat="1" ht="12.75" hidden="1" customHeight="1" x14ac:dyDescent="0.2">
      <c r="A255" s="195"/>
      <c r="B255" s="196"/>
      <c r="C255" s="219"/>
      <c r="D255" s="232" t="s">
        <v>282</v>
      </c>
      <c r="E255" s="198"/>
      <c r="F255" s="329"/>
      <c r="G255" s="198"/>
      <c r="H255" s="298"/>
    </row>
    <row r="256" spans="1:9" s="261" customFormat="1" ht="12.75" hidden="1" customHeight="1" x14ac:dyDescent="0.2">
      <c r="A256" s="195"/>
      <c r="B256" s="196"/>
      <c r="C256" s="219"/>
      <c r="D256" s="232" t="s">
        <v>281</v>
      </c>
      <c r="E256" s="198"/>
      <c r="F256" s="329"/>
      <c r="G256" s="198"/>
      <c r="H256" s="298"/>
    </row>
    <row r="257" spans="1:9" s="261" customFormat="1" ht="12.75" hidden="1" customHeight="1" x14ac:dyDescent="0.2">
      <c r="A257" s="195"/>
      <c r="B257" s="196"/>
      <c r="C257" s="219"/>
      <c r="D257" s="232" t="s">
        <v>290</v>
      </c>
      <c r="E257" s="198"/>
      <c r="F257" s="329"/>
      <c r="G257" s="198"/>
      <c r="H257" s="298"/>
    </row>
    <row r="258" spans="1:9" s="261" customFormat="1" ht="12.75" hidden="1" customHeight="1" x14ac:dyDescent="0.2">
      <c r="A258" s="195"/>
      <c r="B258" s="196"/>
      <c r="C258" s="219"/>
      <c r="D258" s="232" t="s">
        <v>259</v>
      </c>
      <c r="E258" s="198"/>
      <c r="F258" s="329"/>
      <c r="G258" s="198"/>
      <c r="H258" s="260"/>
      <c r="I258" s="318"/>
    </row>
    <row r="259" spans="1:9" s="261" customFormat="1" ht="12.75" hidden="1" customHeight="1" x14ac:dyDescent="0.2">
      <c r="A259" s="195"/>
      <c r="B259" s="196"/>
      <c r="C259" s="231"/>
      <c r="D259" s="278" t="s">
        <v>335</v>
      </c>
      <c r="E259" s="198"/>
      <c r="F259" s="329"/>
      <c r="G259" s="198"/>
      <c r="H259" s="260"/>
      <c r="I259" s="318"/>
    </row>
    <row r="260" spans="1:9" s="261" customFormat="1" ht="12.75" customHeight="1" x14ac:dyDescent="0.2">
      <c r="A260" s="199">
        <f>A252+1</f>
        <v>27</v>
      </c>
      <c r="B260" s="200" t="s">
        <v>183</v>
      </c>
      <c r="C260" s="220" t="s">
        <v>316</v>
      </c>
      <c r="D260" s="279" t="str">
        <f>$D$5</f>
        <v>FTE FEB 2024</v>
      </c>
      <c r="E260" s="201">
        <f>'3971'!I$142</f>
        <v>489020.22</v>
      </c>
      <c r="F260" s="328"/>
      <c r="G260" s="201">
        <f>SUBTOTAL(109,E260:F267)</f>
        <v>489020.22</v>
      </c>
      <c r="H260" s="260"/>
      <c r="I260" s="318"/>
    </row>
    <row r="261" spans="1:9" s="261" customFormat="1" ht="12.75" hidden="1" customHeight="1" x14ac:dyDescent="0.2">
      <c r="A261" s="199"/>
      <c r="B261" s="200"/>
      <c r="C261" s="220"/>
      <c r="D261" s="233" t="s">
        <v>280</v>
      </c>
      <c r="E261" s="201"/>
      <c r="F261" s="328"/>
      <c r="G261" s="201"/>
      <c r="H261" s="298"/>
    </row>
    <row r="262" spans="1:9" s="261" customFormat="1" ht="12.75" hidden="1" customHeight="1" x14ac:dyDescent="0.2">
      <c r="A262" s="199"/>
      <c r="B262" s="200"/>
      <c r="C262" s="220"/>
      <c r="D262" s="374" t="s">
        <v>475</v>
      </c>
      <c r="E262" s="201"/>
      <c r="F262" s="328"/>
      <c r="G262" s="201"/>
      <c r="H262" s="298"/>
    </row>
    <row r="263" spans="1:9" s="261" customFormat="1" ht="12.75" hidden="1" customHeight="1" x14ac:dyDescent="0.2">
      <c r="A263" s="199"/>
      <c r="B263" s="200"/>
      <c r="C263" s="220"/>
      <c r="D263" s="233" t="s">
        <v>282</v>
      </c>
      <c r="E263" s="201"/>
      <c r="F263" s="328"/>
      <c r="G263" s="201"/>
      <c r="H263" s="298"/>
    </row>
    <row r="264" spans="1:9" s="261" customFormat="1" ht="12.75" hidden="1" customHeight="1" x14ac:dyDescent="0.2">
      <c r="A264" s="199"/>
      <c r="B264" s="200"/>
      <c r="C264" s="220"/>
      <c r="D264" s="233" t="s">
        <v>281</v>
      </c>
      <c r="E264" s="201"/>
      <c r="F264" s="328"/>
      <c r="G264" s="201"/>
      <c r="H264" s="298"/>
      <c r="I264" s="196"/>
    </row>
    <row r="265" spans="1:9" s="261" customFormat="1" ht="12.75" hidden="1" customHeight="1" x14ac:dyDescent="0.2">
      <c r="A265" s="199"/>
      <c r="B265" s="200"/>
      <c r="C265" s="220"/>
      <c r="D265" s="233" t="s">
        <v>290</v>
      </c>
      <c r="E265" s="201"/>
      <c r="F265" s="328"/>
      <c r="G265" s="201"/>
      <c r="H265" s="298"/>
    </row>
    <row r="266" spans="1:9" s="261" customFormat="1" ht="12.75" hidden="1" customHeight="1" x14ac:dyDescent="0.2">
      <c r="A266" s="199"/>
      <c r="B266" s="200"/>
      <c r="C266" s="220"/>
      <c r="D266" s="233" t="s">
        <v>259</v>
      </c>
      <c r="E266" s="201"/>
      <c r="F266" s="328"/>
      <c r="G266" s="201"/>
      <c r="H266" s="298"/>
    </row>
    <row r="267" spans="1:9" s="261" customFormat="1" ht="12.75" hidden="1" customHeight="1" x14ac:dyDescent="0.2">
      <c r="A267" s="199"/>
      <c r="B267" s="200"/>
      <c r="C267" s="220"/>
      <c r="D267" s="280" t="s">
        <v>341</v>
      </c>
      <c r="E267" s="201"/>
      <c r="F267" s="328"/>
      <c r="G267" s="201"/>
      <c r="H267" s="298"/>
      <c r="I267" s="188"/>
    </row>
    <row r="268" spans="1:9" s="261" customFormat="1" ht="12.75" customHeight="1" x14ac:dyDescent="0.2">
      <c r="A268" s="195">
        <f>A260+1</f>
        <v>28</v>
      </c>
      <c r="B268" s="196" t="s">
        <v>184</v>
      </c>
      <c r="C268" s="219" t="s">
        <v>220</v>
      </c>
      <c r="D268" s="495" t="str">
        <f>$D$5</f>
        <v>FTE FEB 2024</v>
      </c>
      <c r="E268" s="366">
        <f>'4001'!I$142</f>
        <v>490981.12</v>
      </c>
      <c r="F268" s="329"/>
      <c r="G268" s="198">
        <f>SUBTOTAL(109,E268:F276)</f>
        <v>490981.12</v>
      </c>
      <c r="H268" s="298"/>
      <c r="I268" s="318"/>
    </row>
    <row r="269" spans="1:9" ht="12.75" hidden="1" customHeight="1" x14ac:dyDescent="0.2">
      <c r="A269" s="195"/>
      <c r="B269" s="196"/>
      <c r="C269" s="219"/>
      <c r="D269" s="232" t="s">
        <v>280</v>
      </c>
      <c r="E269" s="198"/>
      <c r="F269" s="329"/>
      <c r="G269" s="198"/>
      <c r="H269" s="299"/>
      <c r="I269" s="261"/>
    </row>
    <row r="270" spans="1:9" s="261" customFormat="1" ht="12.75" hidden="1" customHeight="1" x14ac:dyDescent="0.2">
      <c r="A270" s="195"/>
      <c r="B270" s="196"/>
      <c r="C270" s="219"/>
      <c r="D270" s="342" t="s">
        <v>475</v>
      </c>
      <c r="E270" s="198"/>
      <c r="F270" s="329"/>
      <c r="G270" s="198"/>
      <c r="H270" s="298"/>
    </row>
    <row r="271" spans="1:9" s="261" customFormat="1" ht="12.75" hidden="1" customHeight="1" x14ac:dyDescent="0.2">
      <c r="A271" s="195"/>
      <c r="B271" s="196"/>
      <c r="C271" s="219"/>
      <c r="D271" s="232" t="s">
        <v>282</v>
      </c>
      <c r="E271" s="198"/>
      <c r="F271" s="329"/>
      <c r="G271" s="198"/>
      <c r="H271" s="298"/>
    </row>
    <row r="272" spans="1:9" s="261" customFormat="1" ht="12.75" hidden="1" customHeight="1" x14ac:dyDescent="0.2">
      <c r="A272" s="195"/>
      <c r="B272" s="196"/>
      <c r="C272" s="219"/>
      <c r="D272" s="232" t="s">
        <v>281</v>
      </c>
      <c r="E272" s="198"/>
      <c r="F272" s="329"/>
      <c r="G272" s="198"/>
      <c r="H272" s="298"/>
      <c r="I272" s="196"/>
    </row>
    <row r="273" spans="1:9" s="261" customFormat="1" ht="12.75" hidden="1" customHeight="1" x14ac:dyDescent="0.2">
      <c r="A273" s="195"/>
      <c r="B273" s="196"/>
      <c r="C273" s="219"/>
      <c r="D273" s="232" t="s">
        <v>290</v>
      </c>
      <c r="E273" s="198"/>
      <c r="F273" s="329"/>
      <c r="G273" s="198"/>
      <c r="H273" s="298"/>
    </row>
    <row r="274" spans="1:9" s="261" customFormat="1" ht="12.75" hidden="1" customHeight="1" x14ac:dyDescent="0.2">
      <c r="A274" s="195"/>
      <c r="B274" s="196"/>
      <c r="C274" s="219"/>
      <c r="D274" s="232" t="s">
        <v>259</v>
      </c>
      <c r="E274" s="198"/>
      <c r="F274" s="329"/>
      <c r="G274" s="198"/>
      <c r="H274" s="298"/>
    </row>
    <row r="275" spans="1:9" s="261" customFormat="1" ht="12.75" hidden="1" customHeight="1" x14ac:dyDescent="0.2">
      <c r="A275" s="195"/>
      <c r="B275" s="196"/>
      <c r="C275" s="219"/>
      <c r="D275" s="232" t="s">
        <v>334</v>
      </c>
      <c r="E275" s="198"/>
      <c r="F275" s="329"/>
      <c r="G275" s="198"/>
      <c r="H275" s="298"/>
    </row>
    <row r="276" spans="1:9" s="261" customFormat="1" ht="12.75" hidden="1" customHeight="1" x14ac:dyDescent="0.2">
      <c r="A276" s="195"/>
      <c r="B276" s="196"/>
      <c r="C276" s="219"/>
      <c r="D276" s="278" t="s">
        <v>320</v>
      </c>
      <c r="E276" s="198"/>
      <c r="F276" s="329"/>
      <c r="G276" s="198"/>
      <c r="H276" s="260"/>
      <c r="I276" s="318"/>
    </row>
    <row r="277" spans="1:9" s="261" customFormat="1" ht="12.75" customHeight="1" x14ac:dyDescent="0.2">
      <c r="A277" s="199">
        <f>A268+1</f>
        <v>29</v>
      </c>
      <c r="B277" s="200">
        <v>4002</v>
      </c>
      <c r="C277" s="220" t="s">
        <v>219</v>
      </c>
      <c r="D277" s="279" t="str">
        <f>$D$5</f>
        <v>FTE FEB 2024</v>
      </c>
      <c r="E277" s="201">
        <f>'4002'!I$142</f>
        <v>755316.58</v>
      </c>
      <c r="F277" s="328"/>
      <c r="G277" s="201">
        <f>SUBTOTAL(109,E277:F286)</f>
        <v>755316.58</v>
      </c>
      <c r="H277" s="298"/>
    </row>
    <row r="278" spans="1:9" s="261" customFormat="1" ht="12.75" hidden="1" customHeight="1" x14ac:dyDescent="0.2">
      <c r="A278" s="199"/>
      <c r="B278" s="200"/>
      <c r="C278" s="220"/>
      <c r="D278" s="233" t="s">
        <v>280</v>
      </c>
      <c r="E278" s="201"/>
      <c r="F278" s="328"/>
      <c r="G278" s="201"/>
      <c r="H278" s="298"/>
    </row>
    <row r="279" spans="1:9" s="261" customFormat="1" ht="12.75" hidden="1" customHeight="1" x14ac:dyDescent="0.2">
      <c r="A279" s="199"/>
      <c r="B279" s="200"/>
      <c r="C279" s="220"/>
      <c r="D279" s="374" t="s">
        <v>475</v>
      </c>
      <c r="E279" s="201"/>
      <c r="F279" s="328"/>
      <c r="G279" s="201"/>
      <c r="H279" s="298"/>
    </row>
    <row r="280" spans="1:9" s="261" customFormat="1" ht="12.75" hidden="1" customHeight="1" x14ac:dyDescent="0.2">
      <c r="A280" s="199"/>
      <c r="B280" s="200"/>
      <c r="C280" s="220"/>
      <c r="D280" s="233" t="s">
        <v>282</v>
      </c>
      <c r="E280" s="201"/>
      <c r="F280" s="328"/>
      <c r="G280" s="201"/>
      <c r="H280" s="298"/>
      <c r="I280" s="196"/>
    </row>
    <row r="281" spans="1:9" s="261" customFormat="1" ht="12.75" hidden="1" customHeight="1" x14ac:dyDescent="0.2">
      <c r="A281" s="199"/>
      <c r="B281" s="200"/>
      <c r="C281" s="220"/>
      <c r="D281" s="233" t="s">
        <v>281</v>
      </c>
      <c r="E281" s="201"/>
      <c r="F281" s="328"/>
      <c r="G281" s="201"/>
      <c r="H281" s="298"/>
    </row>
    <row r="282" spans="1:9" s="261" customFormat="1" ht="12.75" hidden="1" customHeight="1" x14ac:dyDescent="0.2">
      <c r="A282" s="199"/>
      <c r="B282" s="200"/>
      <c r="C282" s="220"/>
      <c r="D282" s="233" t="s">
        <v>290</v>
      </c>
      <c r="E282" s="201"/>
      <c r="F282" s="328"/>
      <c r="G282" s="201"/>
      <c r="H282" s="298"/>
    </row>
    <row r="283" spans="1:9" s="261" customFormat="1" ht="12.75" hidden="1" customHeight="1" x14ac:dyDescent="0.2">
      <c r="A283" s="199"/>
      <c r="B283" s="200"/>
      <c r="C283" s="220"/>
      <c r="D283" s="233" t="s">
        <v>259</v>
      </c>
      <c r="E283" s="201"/>
      <c r="F283" s="328"/>
      <c r="G283" s="201"/>
      <c r="H283" s="298"/>
    </row>
    <row r="284" spans="1:9" s="261" customFormat="1" ht="12.75" hidden="1" customHeight="1" x14ac:dyDescent="0.2">
      <c r="A284" s="199"/>
      <c r="B284" s="200"/>
      <c r="C284" s="220"/>
      <c r="D284" s="233" t="s">
        <v>333</v>
      </c>
      <c r="E284" s="201"/>
      <c r="F284" s="328"/>
      <c r="G284" s="201"/>
      <c r="H284" s="260"/>
      <c r="I284" s="318"/>
    </row>
    <row r="285" spans="1:9" s="261" customFormat="1" ht="12.75" hidden="1" customHeight="1" x14ac:dyDescent="0.2">
      <c r="A285" s="199"/>
      <c r="B285" s="200"/>
      <c r="C285" s="220"/>
      <c r="D285" s="233" t="s">
        <v>334</v>
      </c>
      <c r="E285" s="201"/>
      <c r="F285" s="328"/>
      <c r="G285" s="201"/>
      <c r="H285" s="298"/>
      <c r="I285" s="318"/>
    </row>
    <row r="286" spans="1:9" s="261" customFormat="1" ht="12.75" hidden="1" customHeight="1" x14ac:dyDescent="0.2">
      <c r="A286" s="199"/>
      <c r="B286" s="200"/>
      <c r="C286" s="220"/>
      <c r="D286" s="233" t="s">
        <v>330</v>
      </c>
      <c r="E286" s="201"/>
      <c r="F286" s="328"/>
      <c r="G286" s="201"/>
      <c r="H286" s="298"/>
    </row>
    <row r="287" spans="1:9" s="261" customFormat="1" ht="12.75" customHeight="1" x14ac:dyDescent="0.2">
      <c r="A287" s="195">
        <f>A277+1</f>
        <v>30</v>
      </c>
      <c r="B287" s="196">
        <v>4012</v>
      </c>
      <c r="C287" s="219" t="s">
        <v>222</v>
      </c>
      <c r="D287" s="495" t="str">
        <f>$D$5</f>
        <v>FTE FEB 2024</v>
      </c>
      <c r="E287" s="198">
        <f>'4012'!I$142</f>
        <v>398692.25</v>
      </c>
      <c r="F287" s="329"/>
      <c r="G287" s="198">
        <f>SUBTOTAL(109,E287:F294)</f>
        <v>398692.25</v>
      </c>
      <c r="H287" s="298"/>
    </row>
    <row r="288" spans="1:9" s="261" customFormat="1" ht="12.75" hidden="1" customHeight="1" x14ac:dyDescent="0.2">
      <c r="A288" s="195"/>
      <c r="B288" s="196"/>
      <c r="C288" s="219"/>
      <c r="D288" s="232" t="s">
        <v>280</v>
      </c>
      <c r="E288" s="198"/>
      <c r="F288" s="329"/>
      <c r="G288" s="198"/>
      <c r="H288" s="298"/>
    </row>
    <row r="289" spans="1:9" s="261" customFormat="1" ht="12.75" hidden="1" customHeight="1" x14ac:dyDescent="0.2">
      <c r="A289" s="195"/>
      <c r="B289" s="196"/>
      <c r="C289" s="219"/>
      <c r="D289" s="232" t="s">
        <v>475</v>
      </c>
      <c r="E289" s="198"/>
      <c r="F289" s="329"/>
      <c r="G289" s="198"/>
      <c r="H289" s="298"/>
      <c r="I289" s="196"/>
    </row>
    <row r="290" spans="1:9" s="261" customFormat="1" ht="12.75" hidden="1" customHeight="1" x14ac:dyDescent="0.2">
      <c r="A290" s="195"/>
      <c r="B290" s="196"/>
      <c r="C290" s="219"/>
      <c r="D290" s="232" t="s">
        <v>329</v>
      </c>
      <c r="E290" s="198"/>
      <c r="F290" s="329"/>
      <c r="G290" s="198"/>
      <c r="H290" s="298"/>
    </row>
    <row r="291" spans="1:9" s="261" customFormat="1" ht="12.75" hidden="1" customHeight="1" x14ac:dyDescent="0.2">
      <c r="A291" s="195"/>
      <c r="B291" s="196"/>
      <c r="C291" s="219"/>
      <c r="D291" s="232" t="s">
        <v>290</v>
      </c>
      <c r="E291" s="198"/>
      <c r="F291" s="329"/>
      <c r="G291" s="198"/>
      <c r="H291" s="298"/>
    </row>
    <row r="292" spans="1:9" s="261" customFormat="1" ht="12.75" hidden="1" customHeight="1" x14ac:dyDescent="0.2">
      <c r="A292" s="195"/>
      <c r="B292" s="196"/>
      <c r="C292" s="219"/>
      <c r="D292" s="232" t="s">
        <v>259</v>
      </c>
      <c r="E292" s="198"/>
      <c r="F292" s="329"/>
      <c r="G292" s="198"/>
      <c r="H292" s="298"/>
    </row>
    <row r="293" spans="1:9" s="261" customFormat="1" ht="12.75" hidden="1" customHeight="1" x14ac:dyDescent="0.2">
      <c r="A293" s="195"/>
      <c r="B293" s="196"/>
      <c r="C293" s="219"/>
      <c r="D293" s="232" t="s">
        <v>291</v>
      </c>
      <c r="E293" s="198"/>
      <c r="F293" s="329"/>
      <c r="G293" s="198"/>
      <c r="H293" s="298"/>
    </row>
    <row r="294" spans="1:9" s="261" customFormat="1" ht="12.75" hidden="1" customHeight="1" x14ac:dyDescent="0.2">
      <c r="A294" s="195"/>
      <c r="B294" s="196"/>
      <c r="C294" s="219"/>
      <c r="D294" s="278" t="s">
        <v>320</v>
      </c>
      <c r="E294" s="198"/>
      <c r="F294" s="329"/>
      <c r="G294" s="198"/>
      <c r="H294" s="298"/>
      <c r="I294" s="320"/>
    </row>
    <row r="295" spans="1:9" s="261" customFormat="1" ht="12.75" customHeight="1" x14ac:dyDescent="0.2">
      <c r="A295" s="199">
        <f>A287+1</f>
        <v>31</v>
      </c>
      <c r="B295" s="200">
        <v>4013</v>
      </c>
      <c r="C295" s="220" t="s">
        <v>224</v>
      </c>
      <c r="D295" s="279" t="str">
        <f>$D$5</f>
        <v>FTE FEB 2024</v>
      </c>
      <c r="E295" s="201">
        <f>'4013'!I$142</f>
        <v>600691.22</v>
      </c>
      <c r="F295" s="328"/>
      <c r="G295" s="201">
        <f>SUBTOTAL(109,E295:F303)</f>
        <v>600691.22</v>
      </c>
      <c r="H295" s="298"/>
      <c r="I295" s="320"/>
    </row>
    <row r="296" spans="1:9" s="261" customFormat="1" ht="12.75" hidden="1" customHeight="1" x14ac:dyDescent="0.2">
      <c r="A296" s="199"/>
      <c r="B296" s="200"/>
      <c r="C296" s="220"/>
      <c r="D296" s="233" t="s">
        <v>280</v>
      </c>
      <c r="E296" s="201"/>
      <c r="F296" s="328"/>
      <c r="G296" s="201"/>
      <c r="H296" s="298"/>
    </row>
    <row r="297" spans="1:9" s="261" customFormat="1" ht="12.75" hidden="1" customHeight="1" x14ac:dyDescent="0.2">
      <c r="A297" s="199"/>
      <c r="B297" s="200"/>
      <c r="C297" s="220"/>
      <c r="D297" s="374" t="s">
        <v>475</v>
      </c>
      <c r="E297" s="201"/>
      <c r="F297" s="328"/>
      <c r="G297" s="201"/>
      <c r="H297" s="298"/>
    </row>
    <row r="298" spans="1:9" s="261" customFormat="1" ht="12.75" hidden="1" customHeight="1" x14ac:dyDescent="0.2">
      <c r="A298" s="199"/>
      <c r="B298" s="200"/>
      <c r="C298" s="220"/>
      <c r="D298" s="233" t="s">
        <v>282</v>
      </c>
      <c r="E298" s="201"/>
      <c r="F298" s="328"/>
      <c r="G298" s="201"/>
      <c r="H298" s="298"/>
    </row>
    <row r="299" spans="1:9" s="261" customFormat="1" ht="12.75" hidden="1" customHeight="1" x14ac:dyDescent="0.2">
      <c r="A299" s="199"/>
      <c r="B299" s="200"/>
      <c r="C299" s="220"/>
      <c r="D299" s="233" t="s">
        <v>329</v>
      </c>
      <c r="E299" s="201"/>
      <c r="F299" s="328"/>
      <c r="G299" s="201"/>
      <c r="H299" s="298"/>
    </row>
    <row r="300" spans="1:9" s="261" customFormat="1" ht="12.75" hidden="1" customHeight="1" x14ac:dyDescent="0.2">
      <c r="A300" s="199"/>
      <c r="B300" s="200"/>
      <c r="C300" s="220"/>
      <c r="D300" s="233" t="s">
        <v>290</v>
      </c>
      <c r="E300" s="201"/>
      <c r="F300" s="328"/>
      <c r="G300" s="201"/>
      <c r="H300" s="298"/>
    </row>
    <row r="301" spans="1:9" s="261" customFormat="1" ht="12.75" hidden="1" customHeight="1" x14ac:dyDescent="0.2">
      <c r="A301" s="199"/>
      <c r="B301" s="200"/>
      <c r="C301" s="220"/>
      <c r="D301" s="233" t="s">
        <v>259</v>
      </c>
      <c r="E301" s="201"/>
      <c r="F301" s="328"/>
      <c r="G301" s="201"/>
      <c r="H301" s="298"/>
    </row>
    <row r="302" spans="1:9" s="261" customFormat="1" ht="12.75" hidden="1" customHeight="1" x14ac:dyDescent="0.2">
      <c r="A302" s="199"/>
      <c r="B302" s="200"/>
      <c r="C302" s="220"/>
      <c r="D302" s="233" t="s">
        <v>334</v>
      </c>
      <c r="E302" s="201"/>
      <c r="F302" s="328"/>
      <c r="G302" s="201"/>
      <c r="H302" s="260"/>
      <c r="I302" s="318"/>
    </row>
    <row r="303" spans="1:9" s="261" customFormat="1" ht="12.75" hidden="1" customHeight="1" x14ac:dyDescent="0.2">
      <c r="A303" s="199"/>
      <c r="B303" s="200"/>
      <c r="C303" s="220"/>
      <c r="D303" s="233" t="s">
        <v>320</v>
      </c>
      <c r="E303" s="201"/>
      <c r="F303" s="328"/>
      <c r="G303" s="201"/>
      <c r="H303" s="298"/>
      <c r="I303" s="308"/>
    </row>
    <row r="304" spans="1:9" s="261" customFormat="1" ht="12.75" customHeight="1" x14ac:dyDescent="0.2">
      <c r="A304" s="195">
        <f>A295+1</f>
        <v>32</v>
      </c>
      <c r="B304" s="196">
        <v>4020</v>
      </c>
      <c r="C304" s="262" t="s">
        <v>322</v>
      </c>
      <c r="D304" s="495" t="str">
        <f>$D$5</f>
        <v>FTE FEB 2024</v>
      </c>
      <c r="E304" s="198">
        <f>'4020'!I$142</f>
        <v>750382.59</v>
      </c>
      <c r="F304" s="329"/>
      <c r="G304" s="198">
        <f>SUBTOTAL(109,E304:F312)</f>
        <v>750382.59</v>
      </c>
      <c r="H304" s="298"/>
      <c r="I304" s="308"/>
    </row>
    <row r="305" spans="1:9" s="261" customFormat="1" ht="12.75" hidden="1" customHeight="1" x14ac:dyDescent="0.2">
      <c r="A305" s="195"/>
      <c r="B305" s="196"/>
      <c r="C305" s="219"/>
      <c r="D305" s="232" t="s">
        <v>280</v>
      </c>
      <c r="E305" s="198"/>
      <c r="F305" s="329"/>
      <c r="G305" s="198"/>
      <c r="H305" s="298"/>
    </row>
    <row r="306" spans="1:9" s="261" customFormat="1" ht="12.75" hidden="1" customHeight="1" x14ac:dyDescent="0.2">
      <c r="A306" s="195"/>
      <c r="B306" s="196"/>
      <c r="C306" s="219"/>
      <c r="D306" s="342" t="s">
        <v>475</v>
      </c>
      <c r="E306" s="198"/>
      <c r="F306" s="329"/>
      <c r="G306" s="198"/>
      <c r="H306" s="298"/>
    </row>
    <row r="307" spans="1:9" s="261" customFormat="1" ht="12.75" hidden="1" customHeight="1" x14ac:dyDescent="0.2">
      <c r="A307" s="195"/>
      <c r="B307" s="196"/>
      <c r="C307" s="219"/>
      <c r="D307" s="232" t="s">
        <v>282</v>
      </c>
      <c r="E307" s="198"/>
      <c r="F307" s="329"/>
      <c r="G307" s="198"/>
      <c r="H307" s="298"/>
      <c r="I307" s="196"/>
    </row>
    <row r="308" spans="1:9" s="261" customFormat="1" ht="12.75" hidden="1" customHeight="1" x14ac:dyDescent="0.2">
      <c r="A308" s="195"/>
      <c r="B308" s="196"/>
      <c r="C308" s="219"/>
      <c r="D308" s="232" t="s">
        <v>329</v>
      </c>
      <c r="E308" s="198"/>
      <c r="F308" s="329"/>
      <c r="G308" s="198"/>
      <c r="H308" s="298"/>
    </row>
    <row r="309" spans="1:9" s="261" customFormat="1" ht="12.75" hidden="1" customHeight="1" x14ac:dyDescent="0.2">
      <c r="A309" s="195"/>
      <c r="B309" s="196"/>
      <c r="C309" s="219"/>
      <c r="D309" s="232" t="s">
        <v>290</v>
      </c>
      <c r="E309" s="198"/>
      <c r="F309" s="329"/>
      <c r="G309" s="198"/>
      <c r="H309" s="298"/>
    </row>
    <row r="310" spans="1:9" s="261" customFormat="1" ht="12.75" hidden="1" customHeight="1" x14ac:dyDescent="0.2">
      <c r="A310" s="195"/>
      <c r="B310" s="196"/>
      <c r="C310" s="219"/>
      <c r="D310" s="232" t="s">
        <v>259</v>
      </c>
      <c r="E310" s="198"/>
      <c r="F310" s="329"/>
      <c r="G310" s="198"/>
      <c r="H310" s="298"/>
    </row>
    <row r="311" spans="1:9" s="261" customFormat="1" ht="12.75" hidden="1" customHeight="1" x14ac:dyDescent="0.2">
      <c r="A311" s="195"/>
      <c r="B311" s="196"/>
      <c r="C311" s="219"/>
      <c r="D311" s="232" t="s">
        <v>333</v>
      </c>
      <c r="E311" s="198"/>
      <c r="F311" s="329"/>
      <c r="G311" s="198"/>
      <c r="H311" s="298"/>
    </row>
    <row r="312" spans="1:9" s="261" customFormat="1" ht="12.75" hidden="1" customHeight="1" x14ac:dyDescent="0.2">
      <c r="A312" s="195"/>
      <c r="B312" s="196"/>
      <c r="C312" s="219"/>
      <c r="D312" s="278" t="s">
        <v>320</v>
      </c>
      <c r="E312" s="198"/>
      <c r="F312" s="329"/>
      <c r="G312" s="198"/>
      <c r="H312" s="298"/>
      <c r="I312" s="320"/>
    </row>
    <row r="313" spans="1:9" s="261" customFormat="1" ht="12.75" customHeight="1" x14ac:dyDescent="0.2">
      <c r="A313" s="199">
        <f>A304+1</f>
        <v>33</v>
      </c>
      <c r="B313" s="200">
        <v>4030</v>
      </c>
      <c r="C313" s="220" t="s">
        <v>311</v>
      </c>
      <c r="D313" s="279" t="str">
        <f>$D$5</f>
        <v>FTE FEB 2024</v>
      </c>
      <c r="E313" s="201">
        <f>'4030'!I$142</f>
        <v>193200.35</v>
      </c>
      <c r="F313" s="328"/>
      <c r="G313" s="201">
        <f>SUBTOTAL(109,E313:F322)</f>
        <v>193200.35</v>
      </c>
      <c r="H313" s="298"/>
    </row>
    <row r="314" spans="1:9" s="261" customFormat="1" ht="12.75" hidden="1" customHeight="1" x14ac:dyDescent="0.2">
      <c r="A314" s="199"/>
      <c r="B314" s="200"/>
      <c r="C314" s="220"/>
      <c r="D314" s="233" t="s">
        <v>280</v>
      </c>
      <c r="E314" s="201"/>
      <c r="F314" s="328"/>
      <c r="G314" s="201"/>
      <c r="H314" s="298"/>
    </row>
    <row r="315" spans="1:9" s="261" customFormat="1" ht="12.75" hidden="1" customHeight="1" x14ac:dyDescent="0.2">
      <c r="A315" s="199"/>
      <c r="B315" s="200"/>
      <c r="C315" s="220"/>
      <c r="D315" s="374" t="s">
        <v>475</v>
      </c>
      <c r="E315" s="201"/>
      <c r="F315" s="328"/>
      <c r="G315" s="201"/>
      <c r="H315" s="298"/>
    </row>
    <row r="316" spans="1:9" s="261" customFormat="1" ht="12.75" hidden="1" customHeight="1" x14ac:dyDescent="0.2">
      <c r="A316" s="199"/>
      <c r="B316" s="200"/>
      <c r="C316" s="220"/>
      <c r="D316" s="374" t="s">
        <v>337</v>
      </c>
      <c r="E316" s="201"/>
      <c r="F316" s="328"/>
      <c r="G316" s="201"/>
      <c r="H316" s="298"/>
      <c r="I316" s="196"/>
    </row>
    <row r="317" spans="1:9" s="261" customFormat="1" ht="12.75" hidden="1" customHeight="1" x14ac:dyDescent="0.2">
      <c r="A317" s="199"/>
      <c r="B317" s="200"/>
      <c r="C317" s="220"/>
      <c r="D317" s="233" t="s">
        <v>282</v>
      </c>
      <c r="E317" s="201"/>
      <c r="F317" s="328"/>
      <c r="G317" s="201"/>
      <c r="H317" s="298"/>
    </row>
    <row r="318" spans="1:9" s="261" customFormat="1" ht="12.75" hidden="1" customHeight="1" x14ac:dyDescent="0.2">
      <c r="A318" s="199"/>
      <c r="B318" s="200"/>
      <c r="C318" s="220"/>
      <c r="D318" s="233" t="s">
        <v>281</v>
      </c>
      <c r="E318" s="201"/>
      <c r="F318" s="328"/>
      <c r="G318" s="201"/>
      <c r="H318" s="298"/>
    </row>
    <row r="319" spans="1:9" s="261" customFormat="1" ht="12.75" hidden="1" customHeight="1" x14ac:dyDescent="0.2">
      <c r="A319" s="199"/>
      <c r="B319" s="200"/>
      <c r="C319" s="220"/>
      <c r="D319" s="233" t="s">
        <v>290</v>
      </c>
      <c r="E319" s="201"/>
      <c r="F319" s="328"/>
      <c r="G319" s="201"/>
      <c r="H319" s="298"/>
    </row>
    <row r="320" spans="1:9" s="261" customFormat="1" ht="12.75" hidden="1" customHeight="1" x14ac:dyDescent="0.2">
      <c r="A320" s="199"/>
      <c r="B320" s="200"/>
      <c r="C320" s="220"/>
      <c r="D320" s="233" t="s">
        <v>259</v>
      </c>
      <c r="E320" s="201"/>
      <c r="F320" s="328"/>
      <c r="G320" s="201"/>
      <c r="H320" s="260"/>
      <c r="I320" s="318"/>
    </row>
    <row r="321" spans="1:9" s="261" customFormat="1" ht="12.75" hidden="1" customHeight="1" x14ac:dyDescent="0.2">
      <c r="A321" s="199"/>
      <c r="B321" s="200"/>
      <c r="C321" s="220"/>
      <c r="D321" s="233" t="s">
        <v>334</v>
      </c>
      <c r="E321" s="201"/>
      <c r="F321" s="328"/>
      <c r="G321" s="201"/>
      <c r="H321" s="298"/>
      <c r="I321" s="320"/>
    </row>
    <row r="322" spans="1:9" s="261" customFormat="1" ht="12.75" hidden="1" customHeight="1" x14ac:dyDescent="0.2">
      <c r="A322" s="199"/>
      <c r="B322" s="200"/>
      <c r="C322" s="220"/>
      <c r="D322" s="233" t="s">
        <v>320</v>
      </c>
      <c r="E322" s="201"/>
      <c r="F322" s="328"/>
      <c r="G322" s="201"/>
      <c r="H322" s="298"/>
    </row>
    <row r="323" spans="1:9" s="261" customFormat="1" ht="12.75" customHeight="1" x14ac:dyDescent="0.2">
      <c r="A323" s="195">
        <f>A313+1</f>
        <v>34</v>
      </c>
      <c r="B323" s="196">
        <v>4031</v>
      </c>
      <c r="C323" s="262" t="s">
        <v>327</v>
      </c>
      <c r="D323" s="495" t="str">
        <f>$D$5</f>
        <v>FTE FEB 2024</v>
      </c>
      <c r="E323" s="198">
        <f>'4031'!I$142</f>
        <v>423255.56</v>
      </c>
      <c r="F323" s="329"/>
      <c r="G323" s="198">
        <f>SUBTOTAL(109,E323:F332)</f>
        <v>423255.56</v>
      </c>
      <c r="H323" s="298"/>
    </row>
    <row r="324" spans="1:9" s="261" customFormat="1" ht="12.75" hidden="1" customHeight="1" x14ac:dyDescent="0.2">
      <c r="A324" s="195"/>
      <c r="B324" s="196"/>
      <c r="C324" s="219"/>
      <c r="D324" s="232" t="s">
        <v>280</v>
      </c>
      <c r="E324" s="198"/>
      <c r="F324" s="329"/>
      <c r="G324" s="198"/>
      <c r="H324" s="298"/>
    </row>
    <row r="325" spans="1:9" s="261" customFormat="1" ht="12.75" hidden="1" customHeight="1" x14ac:dyDescent="0.2">
      <c r="A325" s="195"/>
      <c r="B325" s="196"/>
      <c r="C325" s="219"/>
      <c r="D325" s="342" t="s">
        <v>475</v>
      </c>
      <c r="E325" s="198"/>
      <c r="F325" s="329"/>
      <c r="G325" s="198"/>
      <c r="H325" s="298"/>
      <c r="I325" s="196"/>
    </row>
    <row r="326" spans="1:9" s="261" customFormat="1" ht="12.75" hidden="1" customHeight="1" x14ac:dyDescent="0.2">
      <c r="A326" s="195"/>
      <c r="B326" s="196"/>
      <c r="C326" s="219"/>
      <c r="D326" s="342" t="s">
        <v>337</v>
      </c>
      <c r="E326" s="198"/>
      <c r="F326" s="329"/>
      <c r="G326" s="198"/>
      <c r="H326" s="298"/>
      <c r="I326" s="196"/>
    </row>
    <row r="327" spans="1:9" s="261" customFormat="1" ht="12.75" hidden="1" customHeight="1" x14ac:dyDescent="0.2">
      <c r="A327" s="195"/>
      <c r="B327" s="196"/>
      <c r="C327" s="219"/>
      <c r="D327" s="232" t="s">
        <v>282</v>
      </c>
      <c r="E327" s="198"/>
      <c r="F327" s="329"/>
      <c r="G327" s="198"/>
      <c r="H327" s="298"/>
    </row>
    <row r="328" spans="1:9" s="261" customFormat="1" ht="12.75" hidden="1" customHeight="1" x14ac:dyDescent="0.2">
      <c r="A328" s="195"/>
      <c r="B328" s="196"/>
      <c r="C328" s="219"/>
      <c r="D328" s="232" t="s">
        <v>281</v>
      </c>
      <c r="E328" s="198"/>
      <c r="F328" s="329"/>
      <c r="G328" s="198"/>
      <c r="H328" s="298"/>
    </row>
    <row r="329" spans="1:9" s="261" customFormat="1" ht="12.75" hidden="1" customHeight="1" x14ac:dyDescent="0.2">
      <c r="A329" s="195"/>
      <c r="B329" s="196"/>
      <c r="C329" s="219"/>
      <c r="D329" s="232" t="s">
        <v>290</v>
      </c>
      <c r="E329" s="198"/>
      <c r="F329" s="329"/>
      <c r="G329" s="198"/>
      <c r="H329" s="298"/>
    </row>
    <row r="330" spans="1:9" s="261" customFormat="1" ht="12.75" hidden="1" customHeight="1" x14ac:dyDescent="0.2">
      <c r="A330" s="195"/>
      <c r="B330" s="196"/>
      <c r="C330" s="219"/>
      <c r="D330" s="232" t="s">
        <v>259</v>
      </c>
      <c r="E330" s="198"/>
      <c r="F330" s="329"/>
      <c r="G330" s="198"/>
      <c r="H330" s="298"/>
    </row>
    <row r="331" spans="1:9" s="261" customFormat="1" ht="12.75" hidden="1" customHeight="1" x14ac:dyDescent="0.2">
      <c r="A331" s="195"/>
      <c r="B331" s="196"/>
      <c r="C331" s="219"/>
      <c r="D331" s="232" t="s">
        <v>334</v>
      </c>
      <c r="E331" s="198"/>
      <c r="F331" s="329"/>
      <c r="G331" s="198"/>
      <c r="H331" s="298"/>
      <c r="I331" s="320"/>
    </row>
    <row r="332" spans="1:9" s="261" customFormat="1" ht="12.75" hidden="1" customHeight="1" x14ac:dyDescent="0.2">
      <c r="A332" s="195"/>
      <c r="B332" s="196"/>
      <c r="C332" s="219"/>
      <c r="D332" s="278" t="s">
        <v>320</v>
      </c>
      <c r="E332" s="198"/>
      <c r="F332" s="329"/>
      <c r="G332" s="198"/>
      <c r="H332" s="298"/>
    </row>
    <row r="333" spans="1:9" s="261" customFormat="1" ht="12.75" customHeight="1" x14ac:dyDescent="0.2">
      <c r="A333" s="199">
        <f>A323+1</f>
        <v>35</v>
      </c>
      <c r="B333" s="200">
        <v>4041</v>
      </c>
      <c r="C333" s="220" t="s">
        <v>226</v>
      </c>
      <c r="D333" s="279" t="str">
        <f>$D$5</f>
        <v>FTE FEB 2024</v>
      </c>
      <c r="E333" s="201">
        <f>'4041'!I$142</f>
        <v>65811.55</v>
      </c>
      <c r="F333" s="328"/>
      <c r="G333" s="201">
        <f>SUBTOTAL(109,E333:F343)</f>
        <v>65811.55</v>
      </c>
      <c r="H333" s="298"/>
    </row>
    <row r="334" spans="1:9" s="261" customFormat="1" ht="12.75" hidden="1" customHeight="1" x14ac:dyDescent="0.2">
      <c r="A334" s="199"/>
      <c r="B334" s="200"/>
      <c r="C334" s="220"/>
      <c r="D334" s="233" t="s">
        <v>280</v>
      </c>
      <c r="E334" s="201"/>
      <c r="F334" s="328"/>
      <c r="G334" s="201"/>
      <c r="H334" s="298"/>
    </row>
    <row r="335" spans="1:9" s="261" customFormat="1" ht="12.75" hidden="1" customHeight="1" x14ac:dyDescent="0.2">
      <c r="A335" s="199"/>
      <c r="B335" s="200"/>
      <c r="C335" s="220"/>
      <c r="D335" s="374" t="s">
        <v>475</v>
      </c>
      <c r="E335" s="201"/>
      <c r="F335" s="328"/>
      <c r="G335" s="201"/>
      <c r="H335" s="298"/>
      <c r="I335" s="196"/>
    </row>
    <row r="336" spans="1:9" s="261" customFormat="1" ht="12.75" hidden="1" customHeight="1" x14ac:dyDescent="0.2">
      <c r="A336" s="199"/>
      <c r="B336" s="200"/>
      <c r="C336" s="220"/>
      <c r="D336" s="374" t="s">
        <v>337</v>
      </c>
      <c r="E336" s="201"/>
      <c r="F336" s="328"/>
      <c r="G336" s="201"/>
      <c r="H336" s="298"/>
      <c r="I336" s="196"/>
    </row>
    <row r="337" spans="1:9" s="261" customFormat="1" ht="12.75" hidden="1" customHeight="1" x14ac:dyDescent="0.2">
      <c r="A337" s="199"/>
      <c r="B337" s="200"/>
      <c r="C337" s="220"/>
      <c r="D337" s="233" t="s">
        <v>282</v>
      </c>
      <c r="E337" s="201"/>
      <c r="F337" s="328"/>
      <c r="G337" s="201"/>
      <c r="H337" s="298"/>
    </row>
    <row r="338" spans="1:9" s="261" customFormat="1" ht="12.75" hidden="1" customHeight="1" x14ac:dyDescent="0.2">
      <c r="A338" s="199"/>
      <c r="B338" s="200"/>
      <c r="C338" s="220"/>
      <c r="D338" s="233" t="s">
        <v>281</v>
      </c>
      <c r="E338" s="201"/>
      <c r="F338" s="328"/>
      <c r="G338" s="201"/>
      <c r="H338" s="298"/>
    </row>
    <row r="339" spans="1:9" s="261" customFormat="1" ht="12.75" hidden="1" customHeight="1" x14ac:dyDescent="0.2">
      <c r="A339" s="199"/>
      <c r="B339" s="200"/>
      <c r="C339" s="220"/>
      <c r="D339" s="233" t="s">
        <v>290</v>
      </c>
      <c r="E339" s="201"/>
      <c r="F339" s="328"/>
      <c r="G339" s="201"/>
      <c r="H339" s="298"/>
      <c r="I339" s="196"/>
    </row>
    <row r="340" spans="1:9" s="261" customFormat="1" ht="12.75" hidden="1" customHeight="1" x14ac:dyDescent="0.2">
      <c r="A340" s="199"/>
      <c r="B340" s="200"/>
      <c r="C340" s="220"/>
      <c r="D340" s="233" t="s">
        <v>259</v>
      </c>
      <c r="E340" s="201"/>
      <c r="F340" s="328"/>
      <c r="G340" s="201"/>
      <c r="H340" s="298"/>
      <c r="I340" s="318"/>
    </row>
    <row r="341" spans="1:9" s="261" customFormat="1" ht="12.75" hidden="1" customHeight="1" x14ac:dyDescent="0.2">
      <c r="A341" s="199"/>
      <c r="B341" s="200"/>
      <c r="C341" s="220"/>
      <c r="D341" s="233" t="s">
        <v>291</v>
      </c>
      <c r="E341" s="201"/>
      <c r="F341" s="328"/>
      <c r="G341" s="201"/>
      <c r="H341" s="298"/>
      <c r="I341" s="320"/>
    </row>
    <row r="342" spans="1:9" s="261" customFormat="1" ht="12.75" hidden="1" customHeight="1" x14ac:dyDescent="0.2">
      <c r="A342" s="199"/>
      <c r="B342" s="200"/>
      <c r="C342" s="220"/>
      <c r="D342" s="233" t="s">
        <v>334</v>
      </c>
      <c r="E342" s="201"/>
      <c r="F342" s="328"/>
      <c r="G342" s="201"/>
      <c r="H342" s="298"/>
    </row>
    <row r="343" spans="1:9" s="261" customFormat="1" ht="12.75" hidden="1" customHeight="1" x14ac:dyDescent="0.2">
      <c r="A343" s="199"/>
      <c r="B343" s="200"/>
      <c r="C343" s="220"/>
      <c r="D343" s="233" t="s">
        <v>320</v>
      </c>
      <c r="E343" s="201"/>
      <c r="F343" s="328"/>
      <c r="G343" s="201"/>
      <c r="H343" s="298"/>
    </row>
    <row r="344" spans="1:9" s="261" customFormat="1" ht="12.75" customHeight="1" x14ac:dyDescent="0.2">
      <c r="A344" s="195">
        <f>A333+1</f>
        <v>36</v>
      </c>
      <c r="B344" s="264">
        <v>4050</v>
      </c>
      <c r="C344" s="265" t="s">
        <v>217</v>
      </c>
      <c r="D344" s="495" t="str">
        <f>$D$5</f>
        <v>FTE FEB 2024</v>
      </c>
      <c r="E344" s="198">
        <f>'4050'!I$142</f>
        <v>530248.43999999994</v>
      </c>
      <c r="F344" s="329"/>
      <c r="G344" s="198">
        <f>SUBTOTAL(109,E344:F350)</f>
        <v>530248.43999999994</v>
      </c>
      <c r="H344" s="298"/>
    </row>
    <row r="345" spans="1:9" s="261" customFormat="1" ht="12.75" hidden="1" customHeight="1" x14ac:dyDescent="0.2">
      <c r="A345" s="195"/>
      <c r="B345" s="264"/>
      <c r="C345" s="265"/>
      <c r="D345" s="232" t="s">
        <v>280</v>
      </c>
      <c r="E345" s="198"/>
      <c r="F345" s="329"/>
      <c r="G345" s="198"/>
      <c r="H345" s="298"/>
      <c r="I345" s="196"/>
    </row>
    <row r="346" spans="1:9" s="261" customFormat="1" ht="12.75" hidden="1" customHeight="1" x14ac:dyDescent="0.2">
      <c r="A346" s="195"/>
      <c r="B346" s="264"/>
      <c r="C346" s="265"/>
      <c r="D346" s="232" t="s">
        <v>475</v>
      </c>
      <c r="E346" s="198"/>
      <c r="F346" s="329"/>
      <c r="G346" s="198"/>
      <c r="H346" s="298"/>
      <c r="I346" s="196"/>
    </row>
    <row r="347" spans="1:9" s="261" customFormat="1" ht="12.75" hidden="1" customHeight="1" x14ac:dyDescent="0.2">
      <c r="A347" s="195"/>
      <c r="B347" s="196"/>
      <c r="C347" s="219"/>
      <c r="D347" s="232" t="s">
        <v>281</v>
      </c>
      <c r="E347" s="198"/>
      <c r="F347" s="329"/>
      <c r="G347" s="198"/>
      <c r="H347" s="298"/>
    </row>
    <row r="348" spans="1:9" s="261" customFormat="1" ht="12.75" hidden="1" customHeight="1" x14ac:dyDescent="0.2">
      <c r="A348" s="195"/>
      <c r="B348" s="196"/>
      <c r="C348" s="219"/>
      <c r="D348" s="232" t="s">
        <v>290</v>
      </c>
      <c r="E348" s="198"/>
      <c r="F348" s="329"/>
      <c r="G348" s="198"/>
      <c r="H348" s="298"/>
    </row>
    <row r="349" spans="1:9" s="261" customFormat="1" ht="12.75" hidden="1" customHeight="1" x14ac:dyDescent="0.2">
      <c r="A349" s="195"/>
      <c r="B349" s="196"/>
      <c r="C349" s="219"/>
      <c r="D349" s="232" t="s">
        <v>259</v>
      </c>
      <c r="E349" s="198"/>
      <c r="F349" s="329"/>
      <c r="G349" s="198"/>
      <c r="H349" s="298"/>
    </row>
    <row r="350" spans="1:9" s="261" customFormat="1" ht="12.75" hidden="1" customHeight="1" x14ac:dyDescent="0.2">
      <c r="A350" s="195"/>
      <c r="B350" s="196"/>
      <c r="C350" s="219"/>
      <c r="D350" s="278" t="s">
        <v>320</v>
      </c>
      <c r="E350" s="198"/>
      <c r="F350" s="329"/>
      <c r="G350" s="198"/>
      <c r="H350" s="298"/>
    </row>
    <row r="351" spans="1:9" s="261" customFormat="1" ht="12.75" customHeight="1" x14ac:dyDescent="0.2">
      <c r="A351" s="199">
        <f>A344+1</f>
        <v>37</v>
      </c>
      <c r="B351" s="200">
        <v>4051</v>
      </c>
      <c r="C351" s="220" t="s">
        <v>215</v>
      </c>
      <c r="D351" s="279" t="str">
        <f>$D$5</f>
        <v>FTE FEB 2024</v>
      </c>
      <c r="E351" s="201">
        <f>'4051'!I$142</f>
        <v>586577.81999999995</v>
      </c>
      <c r="F351" s="328"/>
      <c r="G351" s="201">
        <f>SUBTOTAL(109,E351:F359)</f>
        <v>586577.81999999995</v>
      </c>
      <c r="H351" s="298"/>
    </row>
    <row r="352" spans="1:9" s="261" customFormat="1" ht="12.75" hidden="1" customHeight="1" x14ac:dyDescent="0.2">
      <c r="A352" s="199"/>
      <c r="B352" s="200"/>
      <c r="C352" s="220"/>
      <c r="D352" s="233" t="s">
        <v>280</v>
      </c>
      <c r="E352" s="201"/>
      <c r="F352" s="328"/>
      <c r="G352" s="201"/>
      <c r="H352" s="298"/>
      <c r="I352" s="320"/>
    </row>
    <row r="353" spans="1:9" s="261" customFormat="1" ht="12.75" hidden="1" customHeight="1" x14ac:dyDescent="0.2">
      <c r="A353" s="199"/>
      <c r="B353" s="200"/>
      <c r="C353" s="220"/>
      <c r="D353" s="233" t="s">
        <v>475</v>
      </c>
      <c r="E353" s="201"/>
      <c r="F353" s="328"/>
      <c r="G353" s="201"/>
      <c r="H353" s="298"/>
    </row>
    <row r="354" spans="1:9" s="261" customFormat="1" ht="12.75" hidden="1" customHeight="1" x14ac:dyDescent="0.2">
      <c r="A354" s="199"/>
      <c r="B354" s="200"/>
      <c r="C354" s="220"/>
      <c r="D354" s="233" t="s">
        <v>281</v>
      </c>
      <c r="E354" s="201"/>
      <c r="F354" s="328"/>
      <c r="G354" s="201"/>
      <c r="H354" s="298"/>
    </row>
    <row r="355" spans="1:9" s="261" customFormat="1" ht="12.75" hidden="1" customHeight="1" x14ac:dyDescent="0.2">
      <c r="A355" s="199"/>
      <c r="B355" s="200"/>
      <c r="C355" s="220"/>
      <c r="D355" s="233" t="s">
        <v>290</v>
      </c>
      <c r="E355" s="201"/>
      <c r="F355" s="328"/>
      <c r="G355" s="201"/>
      <c r="H355" s="298"/>
    </row>
    <row r="356" spans="1:9" s="261" customFormat="1" ht="12.75" hidden="1" customHeight="1" x14ac:dyDescent="0.2">
      <c r="A356" s="199"/>
      <c r="B356" s="200"/>
      <c r="C356" s="220"/>
      <c r="D356" s="233" t="s">
        <v>259</v>
      </c>
      <c r="E356" s="201"/>
      <c r="F356" s="328"/>
      <c r="G356" s="201"/>
      <c r="H356" s="298"/>
    </row>
    <row r="357" spans="1:9" s="261" customFormat="1" ht="12.75" hidden="1" customHeight="1" x14ac:dyDescent="0.2">
      <c r="A357" s="199"/>
      <c r="B357" s="200"/>
      <c r="C357" s="220"/>
      <c r="D357" s="233" t="s">
        <v>291</v>
      </c>
      <c r="E357" s="201"/>
      <c r="F357" s="328"/>
      <c r="G357" s="201"/>
      <c r="H357" s="298"/>
    </row>
    <row r="358" spans="1:9" s="261" customFormat="1" ht="12.75" hidden="1" customHeight="1" x14ac:dyDescent="0.2">
      <c r="A358" s="199"/>
      <c r="B358" s="200"/>
      <c r="C358" s="220"/>
      <c r="D358" s="233" t="s">
        <v>333</v>
      </c>
      <c r="E358" s="201"/>
      <c r="F358" s="328"/>
      <c r="G358" s="201"/>
      <c r="H358" s="298"/>
    </row>
    <row r="359" spans="1:9" s="261" customFormat="1" ht="12.75" hidden="1" customHeight="1" x14ac:dyDescent="0.2">
      <c r="A359" s="199"/>
      <c r="B359" s="200"/>
      <c r="C359" s="220"/>
      <c r="D359" s="233" t="s">
        <v>331</v>
      </c>
      <c r="E359" s="201"/>
      <c r="F359" s="328"/>
      <c r="G359" s="201"/>
      <c r="H359" s="298"/>
      <c r="I359" s="318"/>
    </row>
    <row r="360" spans="1:9" s="261" customFormat="1" ht="12.75" customHeight="1" x14ac:dyDescent="0.2">
      <c r="A360" s="195">
        <f>A351+1</f>
        <v>38</v>
      </c>
      <c r="B360" s="264">
        <v>4061</v>
      </c>
      <c r="C360" s="266" t="s">
        <v>324</v>
      </c>
      <c r="D360" s="495" t="str">
        <f>$D$5</f>
        <v>FTE FEB 2024</v>
      </c>
      <c r="E360" s="198">
        <f>'4061'!I$142</f>
        <v>619789.93999999994</v>
      </c>
      <c r="F360" s="329"/>
      <c r="G360" s="198">
        <f>SUBTOTAL(109,E360:F368)</f>
        <v>619789.93999999994</v>
      </c>
      <c r="H360" s="298"/>
    </row>
    <row r="361" spans="1:9" s="261" customFormat="1" ht="12.75" hidden="1" customHeight="1" x14ac:dyDescent="0.2">
      <c r="A361" s="195"/>
      <c r="B361" s="264"/>
      <c r="C361" s="265"/>
      <c r="D361" s="232" t="s">
        <v>280</v>
      </c>
      <c r="E361" s="198"/>
      <c r="F361" s="329"/>
      <c r="G361" s="198"/>
      <c r="H361" s="298"/>
    </row>
    <row r="362" spans="1:9" s="261" customFormat="1" ht="12.75" hidden="1" customHeight="1" x14ac:dyDescent="0.2">
      <c r="A362" s="195"/>
      <c r="B362" s="196"/>
      <c r="C362" s="219"/>
      <c r="D362" s="342" t="s">
        <v>475</v>
      </c>
      <c r="E362" s="198"/>
      <c r="F362" s="329"/>
      <c r="G362" s="198"/>
      <c r="H362" s="298"/>
    </row>
    <row r="363" spans="1:9" s="261" customFormat="1" ht="12.75" hidden="1" customHeight="1" x14ac:dyDescent="0.2">
      <c r="A363" s="195"/>
      <c r="B363" s="264"/>
      <c r="C363" s="265"/>
      <c r="D363" s="232" t="s">
        <v>280</v>
      </c>
      <c r="E363" s="198"/>
      <c r="F363" s="329"/>
      <c r="G363" s="198"/>
      <c r="H363" s="298"/>
    </row>
    <row r="364" spans="1:9" s="261" customFormat="1" ht="12.75" hidden="1" customHeight="1" x14ac:dyDescent="0.2">
      <c r="A364" s="195"/>
      <c r="B364" s="264"/>
      <c r="C364" s="265"/>
      <c r="D364" s="232" t="s">
        <v>282</v>
      </c>
      <c r="E364" s="198"/>
      <c r="F364" s="329"/>
      <c r="G364" s="198"/>
      <c r="H364" s="298"/>
    </row>
    <row r="365" spans="1:9" s="261" customFormat="1" ht="12.75" hidden="1" customHeight="1" x14ac:dyDescent="0.2">
      <c r="A365" s="195"/>
      <c r="B365" s="196"/>
      <c r="C365" s="219"/>
      <c r="D365" s="232" t="s">
        <v>281</v>
      </c>
      <c r="E365" s="198"/>
      <c r="F365" s="329"/>
      <c r="G365" s="198"/>
      <c r="H365" s="298"/>
    </row>
    <row r="366" spans="1:9" s="261" customFormat="1" ht="12.75" hidden="1" customHeight="1" x14ac:dyDescent="0.2">
      <c r="A366" s="195"/>
      <c r="B366" s="196"/>
      <c r="C366" s="219"/>
      <c r="D366" s="232" t="s">
        <v>290</v>
      </c>
      <c r="E366" s="198"/>
      <c r="F366" s="329"/>
      <c r="G366" s="198"/>
      <c r="H366" s="298"/>
    </row>
    <row r="367" spans="1:9" s="261" customFormat="1" ht="12.75" hidden="1" customHeight="1" x14ac:dyDescent="0.2">
      <c r="A367" s="195"/>
      <c r="B367" s="196"/>
      <c r="C367" s="219"/>
      <c r="D367" s="232" t="s">
        <v>259</v>
      </c>
      <c r="E367" s="198"/>
      <c r="F367" s="329"/>
      <c r="G367" s="198"/>
      <c r="H367" s="298"/>
    </row>
    <row r="368" spans="1:9" s="261" customFormat="1" ht="12.75" hidden="1" customHeight="1" x14ac:dyDescent="0.2">
      <c r="A368" s="195"/>
      <c r="B368" s="196"/>
      <c r="C368" s="219"/>
      <c r="D368" s="438" t="s">
        <v>434</v>
      </c>
      <c r="E368" s="437"/>
      <c r="F368" s="329"/>
      <c r="G368" s="198"/>
      <c r="H368" s="298"/>
      <c r="I368" s="320"/>
    </row>
    <row r="369" spans="1:9" s="261" customFormat="1" ht="12.75" customHeight="1" x14ac:dyDescent="0.2">
      <c r="A369" s="199">
        <f>A360+1</f>
        <v>39</v>
      </c>
      <c r="B369" s="200">
        <v>4080</v>
      </c>
      <c r="C369" s="220" t="s">
        <v>239</v>
      </c>
      <c r="D369" s="279" t="str">
        <f>$D$5</f>
        <v>FTE FEB 2024</v>
      </c>
      <c r="E369" s="201">
        <f>'4080'!I$142</f>
        <v>183453.74</v>
      </c>
      <c r="F369" s="328"/>
      <c r="G369" s="201">
        <f>SUBTOTAL(109,E369:F375)</f>
        <v>183453.74</v>
      </c>
      <c r="H369" s="298"/>
    </row>
    <row r="370" spans="1:9" s="261" customFormat="1" ht="12.75" hidden="1" customHeight="1" x14ac:dyDescent="0.2">
      <c r="A370" s="199"/>
      <c r="B370" s="200"/>
      <c r="C370" s="220"/>
      <c r="D370" s="233" t="s">
        <v>280</v>
      </c>
      <c r="E370" s="201"/>
      <c r="F370" s="328"/>
      <c r="G370" s="201"/>
      <c r="H370" s="298"/>
    </row>
    <row r="371" spans="1:9" s="261" customFormat="1" ht="12.75" hidden="1" customHeight="1" x14ac:dyDescent="0.2">
      <c r="A371" s="199"/>
      <c r="B371" s="200"/>
      <c r="C371" s="220"/>
      <c r="D371" s="233" t="s">
        <v>475</v>
      </c>
      <c r="E371" s="201"/>
      <c r="F371" s="328"/>
      <c r="G371" s="201"/>
      <c r="H371" s="298"/>
    </row>
    <row r="372" spans="1:9" s="261" customFormat="1" ht="12.75" hidden="1" customHeight="1" x14ac:dyDescent="0.2">
      <c r="A372" s="199"/>
      <c r="B372" s="200"/>
      <c r="C372" s="220"/>
      <c r="D372" s="233" t="s">
        <v>281</v>
      </c>
      <c r="E372" s="201"/>
      <c r="F372" s="328"/>
      <c r="G372" s="201"/>
      <c r="H372" s="298"/>
      <c r="I372" s="196"/>
    </row>
    <row r="373" spans="1:9" s="261" customFormat="1" ht="12.75" hidden="1" customHeight="1" x14ac:dyDescent="0.2">
      <c r="A373" s="199"/>
      <c r="B373" s="200"/>
      <c r="C373" s="220"/>
      <c r="D373" s="233" t="s">
        <v>290</v>
      </c>
      <c r="E373" s="201"/>
      <c r="F373" s="328"/>
      <c r="G373" s="201"/>
      <c r="H373" s="298"/>
    </row>
    <row r="374" spans="1:9" s="261" customFormat="1" ht="12.75" hidden="1" customHeight="1" x14ac:dyDescent="0.2">
      <c r="A374" s="199"/>
      <c r="B374" s="200"/>
      <c r="C374" s="220"/>
      <c r="D374" s="233" t="s">
        <v>259</v>
      </c>
      <c r="E374" s="201"/>
      <c r="F374" s="328"/>
      <c r="G374" s="201"/>
      <c r="H374" s="298"/>
    </row>
    <row r="375" spans="1:9" s="261" customFormat="1" ht="12.75" hidden="1" customHeight="1" x14ac:dyDescent="0.2">
      <c r="A375" s="199"/>
      <c r="B375" s="200"/>
      <c r="C375" s="220"/>
      <c r="D375" s="233" t="s">
        <v>320</v>
      </c>
      <c r="E375" s="201"/>
      <c r="F375" s="328"/>
      <c r="G375" s="201"/>
      <c r="H375" s="298"/>
      <c r="I375" s="196"/>
    </row>
    <row r="376" spans="1:9" s="261" customFormat="1" ht="12.75" customHeight="1" x14ac:dyDescent="0.2">
      <c r="A376" s="195">
        <f>1+A369</f>
        <v>40</v>
      </c>
      <c r="B376" s="264">
        <v>4081</v>
      </c>
      <c r="C376" s="266" t="s">
        <v>235</v>
      </c>
      <c r="D376" s="495" t="str">
        <f>$D$5</f>
        <v>FTE FEB 2024</v>
      </c>
      <c r="E376" s="198">
        <f>'4081'!I$142</f>
        <v>59815.79</v>
      </c>
      <c r="F376" s="329"/>
      <c r="G376" s="198">
        <f>SUBTOTAL(109,E376:F384)</f>
        <v>59815.79</v>
      </c>
      <c r="H376" s="298"/>
    </row>
    <row r="377" spans="1:9" s="261" customFormat="1" ht="12.75" hidden="1" customHeight="1" x14ac:dyDescent="0.2">
      <c r="A377" s="195"/>
      <c r="B377" s="264"/>
      <c r="C377" s="266"/>
      <c r="D377" s="232" t="s">
        <v>280</v>
      </c>
      <c r="E377" s="198"/>
      <c r="F377" s="329"/>
      <c r="G377" s="198"/>
      <c r="H377" s="298"/>
      <c r="I377" s="318"/>
    </row>
    <row r="378" spans="1:9" s="261" customFormat="1" ht="12.75" hidden="1" customHeight="1" x14ac:dyDescent="0.2">
      <c r="A378" s="195"/>
      <c r="B378" s="196"/>
      <c r="C378" s="219"/>
      <c r="D378" s="342" t="s">
        <v>475</v>
      </c>
      <c r="E378" s="198"/>
      <c r="F378" s="329"/>
      <c r="G378" s="198"/>
      <c r="H378" s="298"/>
      <c r="I378" s="318"/>
    </row>
    <row r="379" spans="1:9" s="261" customFormat="1" ht="12.75" hidden="1" customHeight="1" x14ac:dyDescent="0.2">
      <c r="A379" s="195"/>
      <c r="B379" s="264"/>
      <c r="C379" s="266"/>
      <c r="D379" s="232" t="s">
        <v>282</v>
      </c>
      <c r="E379" s="198"/>
      <c r="F379" s="329"/>
      <c r="G379" s="198"/>
      <c r="H379" s="298"/>
    </row>
    <row r="380" spans="1:9" s="261" customFormat="1" ht="12.75" hidden="1" customHeight="1" x14ac:dyDescent="0.2">
      <c r="A380" s="195"/>
      <c r="B380" s="264"/>
      <c r="C380" s="266"/>
      <c r="D380" s="232" t="s">
        <v>281</v>
      </c>
      <c r="E380" s="198"/>
      <c r="F380" s="329"/>
      <c r="G380" s="198"/>
      <c r="H380" s="298"/>
    </row>
    <row r="381" spans="1:9" s="261" customFormat="1" ht="12.75" hidden="1" customHeight="1" x14ac:dyDescent="0.2">
      <c r="A381" s="195"/>
      <c r="B381" s="264"/>
      <c r="C381" s="266"/>
      <c r="D381" s="232" t="s">
        <v>290</v>
      </c>
      <c r="E381" s="198"/>
      <c r="F381" s="329"/>
      <c r="G381" s="198"/>
      <c r="H381" s="298"/>
    </row>
    <row r="382" spans="1:9" s="261" customFormat="1" ht="12.75" hidden="1" customHeight="1" x14ac:dyDescent="0.2">
      <c r="A382" s="195"/>
      <c r="B382" s="196"/>
      <c r="C382" s="219"/>
      <c r="D382" s="232" t="s">
        <v>259</v>
      </c>
      <c r="E382" s="198"/>
      <c r="F382" s="329"/>
      <c r="G382" s="198"/>
      <c r="H382" s="298"/>
    </row>
    <row r="383" spans="1:9" s="261" customFormat="1" ht="12.75" hidden="1" customHeight="1" x14ac:dyDescent="0.2">
      <c r="A383" s="195"/>
      <c r="B383" s="196"/>
      <c r="C383" s="219"/>
      <c r="D383" s="232" t="s">
        <v>334</v>
      </c>
      <c r="E383" s="198"/>
      <c r="F383" s="329"/>
      <c r="G383" s="198"/>
      <c r="H383" s="298"/>
    </row>
    <row r="384" spans="1:9" s="261" customFormat="1" ht="12.75" hidden="1" customHeight="1" x14ac:dyDescent="0.2">
      <c r="A384" s="195"/>
      <c r="B384" s="196"/>
      <c r="C384" s="219"/>
      <c r="D384" s="278" t="s">
        <v>320</v>
      </c>
      <c r="E384" s="198"/>
      <c r="F384" s="329"/>
      <c r="G384" s="198"/>
      <c r="H384" s="298"/>
    </row>
    <row r="385" spans="1:12" s="261" customFormat="1" ht="12.75" customHeight="1" x14ac:dyDescent="0.2">
      <c r="A385" s="199">
        <f>1+A376</f>
        <v>41</v>
      </c>
      <c r="B385" s="200">
        <v>4090</v>
      </c>
      <c r="C385" s="220" t="s">
        <v>276</v>
      </c>
      <c r="D385" s="279" t="str">
        <f>$D$5</f>
        <v>FTE FEB 2024</v>
      </c>
      <c r="E385" s="201">
        <f>'4090'!I$142</f>
        <v>208044.08</v>
      </c>
      <c r="F385" s="328"/>
      <c r="G385" s="201">
        <f>SUBTOTAL(109,E385:F394)</f>
        <v>208044.08</v>
      </c>
      <c r="H385" s="298"/>
    </row>
    <row r="386" spans="1:12" s="261" customFormat="1" ht="12.75" hidden="1" customHeight="1" x14ac:dyDescent="0.2">
      <c r="A386" s="199"/>
      <c r="B386" s="200"/>
      <c r="C386" s="220"/>
      <c r="D386" s="233" t="s">
        <v>280</v>
      </c>
      <c r="E386" s="201"/>
      <c r="F386" s="328"/>
      <c r="G386" s="201"/>
      <c r="H386" s="298"/>
      <c r="L386" s="319"/>
    </row>
    <row r="387" spans="1:12" s="261" customFormat="1" ht="12.75" hidden="1" customHeight="1" x14ac:dyDescent="0.2">
      <c r="A387" s="199"/>
      <c r="B387" s="200"/>
      <c r="C387" s="220"/>
      <c r="D387" s="374" t="s">
        <v>338</v>
      </c>
      <c r="E387" s="201"/>
      <c r="F387" s="328"/>
      <c r="G387" s="201"/>
      <c r="H387" s="298"/>
    </row>
    <row r="388" spans="1:12" s="261" customFormat="1" ht="12.75" hidden="1" customHeight="1" x14ac:dyDescent="0.2">
      <c r="A388" s="199"/>
      <c r="B388" s="200"/>
      <c r="C388" s="220"/>
      <c r="D388" s="374" t="s">
        <v>337</v>
      </c>
      <c r="E388" s="201"/>
      <c r="F388" s="328"/>
      <c r="G388" s="201"/>
      <c r="H388" s="298"/>
      <c r="I388" s="196"/>
    </row>
    <row r="389" spans="1:12" s="261" customFormat="1" ht="12.75" hidden="1" customHeight="1" x14ac:dyDescent="0.2">
      <c r="A389" s="199"/>
      <c r="B389" s="200"/>
      <c r="C389" s="220"/>
      <c r="D389" s="233" t="s">
        <v>282</v>
      </c>
      <c r="E389" s="201"/>
      <c r="F389" s="328"/>
      <c r="G389" s="201"/>
      <c r="H389" s="298"/>
    </row>
    <row r="390" spans="1:12" s="261" customFormat="1" ht="12.75" hidden="1" customHeight="1" x14ac:dyDescent="0.2">
      <c r="A390" s="199"/>
      <c r="B390" s="200"/>
      <c r="C390" s="220"/>
      <c r="D390" s="233" t="s">
        <v>281</v>
      </c>
      <c r="E390" s="201"/>
      <c r="F390" s="328"/>
      <c r="G390" s="201"/>
      <c r="H390" s="298"/>
    </row>
    <row r="391" spans="1:12" s="261" customFormat="1" ht="12.75" hidden="1" customHeight="1" x14ac:dyDescent="0.2">
      <c r="A391" s="199"/>
      <c r="B391" s="200"/>
      <c r="C391" s="220"/>
      <c r="D391" s="233" t="s">
        <v>290</v>
      </c>
      <c r="E391" s="201"/>
      <c r="F391" s="328"/>
      <c r="G391" s="201"/>
      <c r="H391" s="298"/>
    </row>
    <row r="392" spans="1:12" s="261" customFormat="1" ht="12.75" hidden="1" customHeight="1" x14ac:dyDescent="0.2">
      <c r="A392" s="199"/>
      <c r="B392" s="200"/>
      <c r="C392" s="220"/>
      <c r="D392" s="233" t="s">
        <v>259</v>
      </c>
      <c r="E392" s="201"/>
      <c r="F392" s="328"/>
      <c r="G392" s="201"/>
      <c r="H392" s="298"/>
      <c r="I392" s="318"/>
    </row>
    <row r="393" spans="1:12" s="261" customFormat="1" ht="12.75" hidden="1" customHeight="1" x14ac:dyDescent="0.2">
      <c r="A393" s="199"/>
      <c r="B393" s="200"/>
      <c r="C393" s="220"/>
      <c r="D393" s="233" t="s">
        <v>334</v>
      </c>
      <c r="E393" s="201"/>
      <c r="F393" s="328"/>
      <c r="G393" s="201"/>
      <c r="H393" s="298"/>
      <c r="I393" s="320"/>
    </row>
    <row r="394" spans="1:12" s="261" customFormat="1" ht="12.75" hidden="1" customHeight="1" x14ac:dyDescent="0.2">
      <c r="A394" s="199"/>
      <c r="B394" s="200"/>
      <c r="C394" s="220"/>
      <c r="D394" s="233" t="s">
        <v>476</v>
      </c>
      <c r="E394" s="201"/>
      <c r="F394" s="328"/>
      <c r="G394" s="201"/>
      <c r="H394" s="298"/>
      <c r="I394" s="318"/>
    </row>
    <row r="395" spans="1:12" s="261" customFormat="1" ht="12.75" customHeight="1" x14ac:dyDescent="0.2">
      <c r="A395" s="195">
        <f>1+A385</f>
        <v>42</v>
      </c>
      <c r="B395" s="264">
        <v>4091</v>
      </c>
      <c r="C395" s="266" t="s">
        <v>277</v>
      </c>
      <c r="D395" s="495" t="str">
        <f>$D$5</f>
        <v>FTE FEB 2024</v>
      </c>
      <c r="E395" s="198">
        <f>'4091'!I$142</f>
        <v>293833.34999999998</v>
      </c>
      <c r="F395" s="329"/>
      <c r="G395" s="198">
        <f>SUBTOTAL(109,E395:F404)</f>
        <v>293833.34999999998</v>
      </c>
      <c r="H395" s="298"/>
      <c r="L395" s="319"/>
    </row>
    <row r="396" spans="1:12" s="261" customFormat="1" ht="12.75" hidden="1" customHeight="1" x14ac:dyDescent="0.2">
      <c r="A396" s="195"/>
      <c r="B396" s="264"/>
      <c r="C396" s="266"/>
      <c r="D396" s="232" t="s">
        <v>280</v>
      </c>
      <c r="E396" s="198"/>
      <c r="F396" s="329"/>
      <c r="G396" s="198"/>
      <c r="H396" s="298"/>
    </row>
    <row r="397" spans="1:12" s="261" customFormat="1" ht="12.75" hidden="1" customHeight="1" x14ac:dyDescent="0.2">
      <c r="A397" s="195"/>
      <c r="B397" s="196"/>
      <c r="C397" s="219"/>
      <c r="D397" s="342" t="s">
        <v>475</v>
      </c>
      <c r="E397" s="198"/>
      <c r="F397" s="329"/>
      <c r="G397" s="198"/>
      <c r="H397" s="298"/>
      <c r="I397" s="196"/>
    </row>
    <row r="398" spans="1:12" s="261" customFormat="1" ht="12.75" hidden="1" customHeight="1" x14ac:dyDescent="0.2">
      <c r="A398" s="195"/>
      <c r="B398" s="264"/>
      <c r="C398" s="266"/>
      <c r="D398" s="232" t="s">
        <v>282</v>
      </c>
      <c r="E398" s="198"/>
      <c r="F398" s="329"/>
      <c r="G398" s="198"/>
      <c r="H398" s="298"/>
      <c r="I398" s="196"/>
    </row>
    <row r="399" spans="1:12" s="261" customFormat="1" ht="12.75" hidden="1" customHeight="1" x14ac:dyDescent="0.2">
      <c r="A399" s="195"/>
      <c r="B399" s="264"/>
      <c r="C399" s="266"/>
      <c r="D399" s="232" t="s">
        <v>281</v>
      </c>
      <c r="E399" s="198"/>
      <c r="F399" s="329"/>
      <c r="G399" s="198"/>
      <c r="H399" s="298"/>
    </row>
    <row r="400" spans="1:12" s="261" customFormat="1" ht="12.75" hidden="1" customHeight="1" x14ac:dyDescent="0.2">
      <c r="A400" s="195"/>
      <c r="B400" s="264"/>
      <c r="C400" s="266"/>
      <c r="D400" s="232" t="s">
        <v>290</v>
      </c>
      <c r="E400" s="198"/>
      <c r="F400" s="329"/>
      <c r="G400" s="198"/>
      <c r="H400" s="298"/>
    </row>
    <row r="401" spans="1:13" s="261" customFormat="1" ht="12.75" hidden="1" customHeight="1" x14ac:dyDescent="0.2">
      <c r="A401" s="195"/>
      <c r="B401" s="196"/>
      <c r="C401" s="219"/>
      <c r="D401" s="232" t="s">
        <v>259</v>
      </c>
      <c r="E401" s="198"/>
      <c r="F401" s="329"/>
      <c r="G401" s="198"/>
      <c r="H401" s="298"/>
    </row>
    <row r="402" spans="1:13" s="261" customFormat="1" ht="12.75" hidden="1" customHeight="1" x14ac:dyDescent="0.2">
      <c r="A402" s="195"/>
      <c r="B402" s="196"/>
      <c r="C402" s="219"/>
      <c r="D402" s="232" t="s">
        <v>334</v>
      </c>
      <c r="E402" s="198"/>
      <c r="F402" s="329"/>
      <c r="G402" s="198"/>
      <c r="H402" s="298"/>
    </row>
    <row r="403" spans="1:13" s="261" customFormat="1" ht="12.75" hidden="1" customHeight="1" x14ac:dyDescent="0.2">
      <c r="A403" s="195"/>
      <c r="B403" s="196"/>
      <c r="C403" s="219"/>
      <c r="D403" s="278" t="s">
        <v>477</v>
      </c>
      <c r="E403" s="198"/>
      <c r="F403" s="329"/>
      <c r="G403" s="198"/>
      <c r="H403" s="298"/>
    </row>
    <row r="404" spans="1:13" s="261" customFormat="1" ht="12.75" hidden="1" customHeight="1" x14ac:dyDescent="0.2">
      <c r="A404" s="195"/>
      <c r="B404" s="196"/>
      <c r="C404" s="219"/>
      <c r="D404" s="278" t="s">
        <v>366</v>
      </c>
      <c r="E404" s="198"/>
      <c r="F404" s="329"/>
      <c r="G404" s="198"/>
      <c r="H404" s="298"/>
    </row>
    <row r="405" spans="1:13" s="261" customFormat="1" ht="12.75" customHeight="1" x14ac:dyDescent="0.2">
      <c r="A405" s="199">
        <f>1+A395</f>
        <v>43</v>
      </c>
      <c r="B405" s="200">
        <v>4100</v>
      </c>
      <c r="C405" s="220" t="s">
        <v>269</v>
      </c>
      <c r="D405" s="279" t="str">
        <f>$D$5</f>
        <v>FTE FEB 2024</v>
      </c>
      <c r="E405" s="201">
        <f>'4100'!I$142</f>
        <v>262233.98</v>
      </c>
      <c r="F405" s="328"/>
      <c r="G405" s="201">
        <f>SUBTOTAL(109,E405:F413)</f>
        <v>262233.98</v>
      </c>
      <c r="H405" s="298"/>
      <c r="M405" s="319"/>
    </row>
    <row r="406" spans="1:13" s="261" customFormat="1" ht="12.75" hidden="1" customHeight="1" x14ac:dyDescent="0.2">
      <c r="A406" s="199"/>
      <c r="B406" s="200"/>
      <c r="C406" s="220"/>
      <c r="D406" s="233" t="s">
        <v>280</v>
      </c>
      <c r="E406" s="201"/>
      <c r="F406" s="328"/>
      <c r="G406" s="201"/>
      <c r="H406" s="298"/>
    </row>
    <row r="407" spans="1:13" s="261" customFormat="1" ht="12.75" hidden="1" customHeight="1" x14ac:dyDescent="0.2">
      <c r="A407" s="199"/>
      <c r="B407" s="200"/>
      <c r="C407" s="220"/>
      <c r="D407" s="374" t="s">
        <v>475</v>
      </c>
      <c r="E407" s="201"/>
      <c r="F407" s="328"/>
      <c r="G407" s="201"/>
      <c r="H407" s="298"/>
      <c r="I407" s="196"/>
    </row>
    <row r="408" spans="1:13" s="261" customFormat="1" ht="12.75" hidden="1" customHeight="1" x14ac:dyDescent="0.2">
      <c r="A408" s="199"/>
      <c r="B408" s="200"/>
      <c r="C408" s="220"/>
      <c r="D408" s="233" t="s">
        <v>282</v>
      </c>
      <c r="E408" s="201"/>
      <c r="F408" s="328"/>
      <c r="G408" s="201"/>
      <c r="H408" s="298"/>
    </row>
    <row r="409" spans="1:13" s="261" customFormat="1" ht="12.75" hidden="1" customHeight="1" x14ac:dyDescent="0.2">
      <c r="A409" s="199"/>
      <c r="B409" s="200"/>
      <c r="C409" s="220"/>
      <c r="D409" s="233" t="s">
        <v>281</v>
      </c>
      <c r="E409" s="201"/>
      <c r="F409" s="328"/>
      <c r="G409" s="201"/>
      <c r="H409" s="298"/>
    </row>
    <row r="410" spans="1:13" s="261" customFormat="1" ht="12.75" hidden="1" customHeight="1" x14ac:dyDescent="0.2">
      <c r="A410" s="199"/>
      <c r="B410" s="200"/>
      <c r="C410" s="220"/>
      <c r="D410" s="233" t="s">
        <v>290</v>
      </c>
      <c r="E410" s="201"/>
      <c r="F410" s="328"/>
      <c r="G410" s="201"/>
      <c r="H410" s="298"/>
    </row>
    <row r="411" spans="1:13" s="261" customFormat="1" ht="12.75" hidden="1" customHeight="1" x14ac:dyDescent="0.2">
      <c r="A411" s="199"/>
      <c r="B411" s="200"/>
      <c r="C411" s="220"/>
      <c r="D411" s="233" t="s">
        <v>259</v>
      </c>
      <c r="E411" s="201"/>
      <c r="F411" s="328"/>
      <c r="G411" s="201"/>
      <c r="H411" s="298"/>
      <c r="I411" s="318"/>
    </row>
    <row r="412" spans="1:13" s="261" customFormat="1" ht="12.75" hidden="1" customHeight="1" x14ac:dyDescent="0.2">
      <c r="A412" s="199"/>
      <c r="B412" s="200"/>
      <c r="C412" s="220"/>
      <c r="D412" s="233" t="s">
        <v>334</v>
      </c>
      <c r="E412" s="201"/>
      <c r="F412" s="328"/>
      <c r="G412" s="201"/>
      <c r="H412" s="298"/>
      <c r="I412" s="320"/>
    </row>
    <row r="413" spans="1:13" s="261" customFormat="1" ht="12.75" hidden="1" customHeight="1" x14ac:dyDescent="0.2">
      <c r="A413" s="199"/>
      <c r="B413" s="200"/>
      <c r="C413" s="220"/>
      <c r="D413" s="233" t="s">
        <v>320</v>
      </c>
      <c r="E413" s="201"/>
      <c r="F413" s="328"/>
      <c r="G413" s="201"/>
      <c r="H413" s="298"/>
    </row>
    <row r="414" spans="1:13" s="261" customFormat="1" ht="12.75" customHeight="1" x14ac:dyDescent="0.2">
      <c r="A414" s="195">
        <f>1+A405</f>
        <v>44</v>
      </c>
      <c r="B414" s="264">
        <v>4102</v>
      </c>
      <c r="C414" s="266" t="s">
        <v>284</v>
      </c>
      <c r="D414" s="495" t="str">
        <f>$D$5</f>
        <v>FTE FEB 2024</v>
      </c>
      <c r="E414" s="198">
        <f>'4102'!I$142</f>
        <v>73911.67</v>
      </c>
      <c r="F414" s="329"/>
      <c r="G414" s="198">
        <f>SUBTOTAL(109,E414:F421)</f>
        <v>73911.67</v>
      </c>
      <c r="H414" s="298"/>
    </row>
    <row r="415" spans="1:13" s="261" customFormat="1" ht="12.75" hidden="1" customHeight="1" x14ac:dyDescent="0.2">
      <c r="A415" s="195"/>
      <c r="B415" s="264"/>
      <c r="C415" s="266"/>
      <c r="D415" s="232" t="s">
        <v>280</v>
      </c>
      <c r="E415" s="198"/>
      <c r="F415" s="329"/>
      <c r="G415" s="198"/>
      <c r="H415" s="298"/>
    </row>
    <row r="416" spans="1:13" s="261" customFormat="1" ht="12.75" hidden="1" customHeight="1" x14ac:dyDescent="0.2">
      <c r="A416" s="195"/>
      <c r="B416" s="196"/>
      <c r="C416" s="219"/>
      <c r="D416" s="342" t="s">
        <v>475</v>
      </c>
      <c r="E416" s="198"/>
      <c r="F416" s="329"/>
      <c r="G416" s="198"/>
      <c r="H416" s="298"/>
    </row>
    <row r="417" spans="1:9" s="261" customFormat="1" ht="12.75" hidden="1" customHeight="1" x14ac:dyDescent="0.2">
      <c r="A417" s="195"/>
      <c r="B417" s="264"/>
      <c r="C417" s="266"/>
      <c r="D417" s="232" t="s">
        <v>282</v>
      </c>
      <c r="E417" s="198"/>
      <c r="F417" s="329"/>
      <c r="G417" s="198"/>
      <c r="H417" s="298"/>
      <c r="I417" s="196"/>
    </row>
    <row r="418" spans="1:9" s="261" customFormat="1" ht="12.75" hidden="1" customHeight="1" x14ac:dyDescent="0.2">
      <c r="A418" s="195"/>
      <c r="B418" s="264"/>
      <c r="C418" s="266"/>
      <c r="D418" s="232" t="s">
        <v>281</v>
      </c>
      <c r="E418" s="198"/>
      <c r="F418" s="329"/>
      <c r="G418" s="198"/>
      <c r="H418" s="298"/>
    </row>
    <row r="419" spans="1:9" s="261" customFormat="1" ht="12.75" hidden="1" customHeight="1" x14ac:dyDescent="0.2">
      <c r="A419" s="195"/>
      <c r="B419" s="264"/>
      <c r="C419" s="266"/>
      <c r="D419" s="232" t="s">
        <v>290</v>
      </c>
      <c r="E419" s="198"/>
      <c r="F419" s="329"/>
      <c r="G419" s="198"/>
      <c r="H419" s="298"/>
    </row>
    <row r="420" spans="1:9" s="261" customFormat="1" ht="12.75" hidden="1" customHeight="1" x14ac:dyDescent="0.2">
      <c r="A420" s="195"/>
      <c r="B420" s="196"/>
      <c r="C420" s="219"/>
      <c r="D420" s="232" t="s">
        <v>259</v>
      </c>
      <c r="E420" s="198"/>
      <c r="F420" s="329"/>
      <c r="G420" s="198"/>
      <c r="H420" s="298"/>
    </row>
    <row r="421" spans="1:9" s="261" customFormat="1" ht="12.75" hidden="1" customHeight="1" x14ac:dyDescent="0.2">
      <c r="A421" s="195"/>
      <c r="B421" s="196"/>
      <c r="C421" s="219"/>
      <c r="D421" s="278" t="s">
        <v>320</v>
      </c>
      <c r="E421" s="198"/>
      <c r="F421" s="329"/>
      <c r="G421" s="198"/>
      <c r="H421" s="298"/>
    </row>
    <row r="422" spans="1:9" s="261" customFormat="1" ht="12.75" customHeight="1" x14ac:dyDescent="0.2">
      <c r="A422" s="199">
        <f>A414+1</f>
        <v>45</v>
      </c>
      <c r="B422" s="200">
        <v>4103</v>
      </c>
      <c r="C422" s="220" t="s">
        <v>301</v>
      </c>
      <c r="D422" s="279" t="str">
        <f>$D$5</f>
        <v>FTE FEB 2024</v>
      </c>
      <c r="E422" s="201">
        <f>'4103'!I$142</f>
        <v>696055</v>
      </c>
      <c r="F422" s="328"/>
      <c r="G422" s="201">
        <f>SUBTOTAL(109,E422:F431)</f>
        <v>696055</v>
      </c>
      <c r="H422" s="298"/>
    </row>
    <row r="423" spans="1:9" s="261" customFormat="1" ht="12.75" hidden="1" customHeight="1" x14ac:dyDescent="0.2">
      <c r="A423" s="199"/>
      <c r="B423" s="200"/>
      <c r="C423" s="220"/>
      <c r="D423" s="233" t="s">
        <v>280</v>
      </c>
      <c r="E423" s="201"/>
      <c r="F423" s="328"/>
      <c r="G423" s="201"/>
      <c r="H423" s="298"/>
    </row>
    <row r="424" spans="1:9" s="261" customFormat="1" ht="12.75" hidden="1" customHeight="1" x14ac:dyDescent="0.2">
      <c r="A424" s="199"/>
      <c r="B424" s="200"/>
      <c r="C424" s="220"/>
      <c r="D424" s="374" t="s">
        <v>475</v>
      </c>
      <c r="E424" s="201"/>
      <c r="F424" s="328"/>
      <c r="G424" s="201"/>
      <c r="H424" s="298"/>
    </row>
    <row r="425" spans="1:9" s="261" customFormat="1" ht="12.75" hidden="1" customHeight="1" x14ac:dyDescent="0.2">
      <c r="A425" s="199"/>
      <c r="B425" s="200"/>
      <c r="C425" s="220"/>
      <c r="D425" s="374" t="s">
        <v>337</v>
      </c>
      <c r="E425" s="201"/>
      <c r="F425" s="328"/>
      <c r="G425" s="201"/>
      <c r="H425" s="298"/>
    </row>
    <row r="426" spans="1:9" s="261" customFormat="1" ht="12.75" hidden="1" customHeight="1" x14ac:dyDescent="0.2">
      <c r="A426" s="199"/>
      <c r="B426" s="200"/>
      <c r="C426" s="220"/>
      <c r="D426" s="233" t="s">
        <v>282</v>
      </c>
      <c r="E426" s="201"/>
      <c r="F426" s="328"/>
      <c r="G426" s="201"/>
      <c r="H426" s="298"/>
      <c r="I426" s="196"/>
    </row>
    <row r="427" spans="1:9" s="261" customFormat="1" ht="12.75" hidden="1" customHeight="1" x14ac:dyDescent="0.2">
      <c r="A427" s="199"/>
      <c r="B427" s="200"/>
      <c r="C427" s="220"/>
      <c r="D427" s="233" t="s">
        <v>281</v>
      </c>
      <c r="E427" s="201"/>
      <c r="F427" s="328"/>
      <c r="G427" s="201"/>
      <c r="H427" s="298"/>
    </row>
    <row r="428" spans="1:9" s="261" customFormat="1" ht="12.75" hidden="1" customHeight="1" x14ac:dyDescent="0.2">
      <c r="A428" s="199"/>
      <c r="B428" s="200"/>
      <c r="C428" s="220"/>
      <c r="D428" s="233" t="s">
        <v>290</v>
      </c>
      <c r="E428" s="201"/>
      <c r="F428" s="328"/>
      <c r="G428" s="201"/>
      <c r="H428" s="298"/>
    </row>
    <row r="429" spans="1:9" s="261" customFormat="1" ht="12.75" hidden="1" customHeight="1" x14ac:dyDescent="0.2">
      <c r="A429" s="199"/>
      <c r="B429" s="200"/>
      <c r="C429" s="220"/>
      <c r="D429" s="233" t="s">
        <v>259</v>
      </c>
      <c r="E429" s="201"/>
      <c r="F429" s="328"/>
      <c r="G429" s="201"/>
      <c r="H429" s="298"/>
      <c r="I429" s="188"/>
    </row>
    <row r="430" spans="1:9" s="261" customFormat="1" ht="12.75" hidden="1" customHeight="1" x14ac:dyDescent="0.2">
      <c r="A430" s="199"/>
      <c r="B430" s="200"/>
      <c r="C430" s="220"/>
      <c r="D430" s="233" t="s">
        <v>334</v>
      </c>
      <c r="E430" s="201"/>
      <c r="F430" s="328"/>
      <c r="G430" s="201"/>
      <c r="H430" s="298"/>
      <c r="I430" s="318"/>
    </row>
    <row r="431" spans="1:9" s="261" customFormat="1" ht="12.75" hidden="1" customHeight="1" x14ac:dyDescent="0.2">
      <c r="A431" s="199"/>
      <c r="B431" s="200"/>
      <c r="C431" s="220"/>
      <c r="D431" s="233" t="s">
        <v>320</v>
      </c>
      <c r="E431" s="201"/>
      <c r="F431" s="328"/>
      <c r="G431" s="201"/>
      <c r="H431" s="298"/>
      <c r="I431" s="318"/>
    </row>
    <row r="432" spans="1:9" s="261" customFormat="1" ht="12.75" customHeight="1" x14ac:dyDescent="0.2">
      <c r="A432" s="195">
        <f>1+A422</f>
        <v>46</v>
      </c>
      <c r="B432" s="264">
        <v>4111</v>
      </c>
      <c r="C432" s="266" t="s">
        <v>317</v>
      </c>
      <c r="D432" s="495" t="str">
        <f>$D$5</f>
        <v>FTE FEB 2024</v>
      </c>
      <c r="E432" s="198">
        <f>'4111'!I$142</f>
        <v>195581.88</v>
      </c>
      <c r="F432" s="329"/>
      <c r="G432" s="198">
        <f>SUBTOTAL(109,E432:F440)</f>
        <v>195581.88</v>
      </c>
      <c r="H432" s="298"/>
    </row>
    <row r="433" spans="1:9" s="261" customFormat="1" ht="12.75" hidden="1" customHeight="1" x14ac:dyDescent="0.2">
      <c r="A433" s="195"/>
      <c r="B433" s="264"/>
      <c r="C433" s="266"/>
      <c r="D433" s="232" t="s">
        <v>280</v>
      </c>
      <c r="E433" s="198"/>
      <c r="F433" s="329"/>
      <c r="G433" s="198"/>
      <c r="H433" s="298"/>
    </row>
    <row r="434" spans="1:9" s="261" customFormat="1" ht="12.75" hidden="1" customHeight="1" x14ac:dyDescent="0.2">
      <c r="A434" s="195"/>
      <c r="B434" s="196"/>
      <c r="C434" s="219"/>
      <c r="D434" s="342" t="s">
        <v>475</v>
      </c>
      <c r="E434" s="198"/>
      <c r="F434" s="329"/>
      <c r="G434" s="198"/>
      <c r="H434" s="298"/>
      <c r="I434" s="196"/>
    </row>
    <row r="435" spans="1:9" s="261" customFormat="1" ht="12.75" hidden="1" customHeight="1" x14ac:dyDescent="0.2">
      <c r="A435" s="195"/>
      <c r="B435" s="264"/>
      <c r="C435" s="266"/>
      <c r="D435" s="232" t="s">
        <v>282</v>
      </c>
      <c r="E435" s="198"/>
      <c r="F435" s="329"/>
      <c r="G435" s="198"/>
      <c r="H435" s="298"/>
      <c r="I435" s="196"/>
    </row>
    <row r="436" spans="1:9" s="261" customFormat="1" ht="12.75" hidden="1" customHeight="1" x14ac:dyDescent="0.2">
      <c r="A436" s="195"/>
      <c r="B436" s="264"/>
      <c r="C436" s="266"/>
      <c r="D436" s="232" t="s">
        <v>281</v>
      </c>
      <c r="E436" s="198"/>
      <c r="F436" s="329"/>
      <c r="G436" s="198"/>
      <c r="H436" s="298"/>
    </row>
    <row r="437" spans="1:9" s="261" customFormat="1" ht="12.75" hidden="1" customHeight="1" x14ac:dyDescent="0.2">
      <c r="A437" s="195"/>
      <c r="B437" s="264"/>
      <c r="C437" s="266"/>
      <c r="D437" s="232" t="s">
        <v>290</v>
      </c>
      <c r="E437" s="198"/>
      <c r="F437" s="329"/>
      <c r="G437" s="198"/>
      <c r="H437" s="298"/>
    </row>
    <row r="438" spans="1:9" s="261" customFormat="1" ht="12.75" hidden="1" customHeight="1" x14ac:dyDescent="0.2">
      <c r="A438" s="195"/>
      <c r="B438" s="196"/>
      <c r="C438" s="219"/>
      <c r="D438" s="232" t="s">
        <v>259</v>
      </c>
      <c r="E438" s="198"/>
      <c r="F438" s="329"/>
      <c r="G438" s="198"/>
      <c r="H438" s="298"/>
    </row>
    <row r="439" spans="1:9" s="261" customFormat="1" ht="12.75" hidden="1" customHeight="1" x14ac:dyDescent="0.2">
      <c r="A439" s="195"/>
      <c r="B439" s="196"/>
      <c r="C439" s="219"/>
      <c r="D439" s="232" t="s">
        <v>334</v>
      </c>
      <c r="E439" s="198"/>
      <c r="F439" s="329"/>
      <c r="G439" s="198"/>
      <c r="H439" s="298"/>
    </row>
    <row r="440" spans="1:9" s="261" customFormat="1" ht="1.5" customHeight="1" x14ac:dyDescent="0.2">
      <c r="A440" s="195"/>
      <c r="B440" s="196"/>
      <c r="C440" s="219"/>
      <c r="D440" s="278" t="s">
        <v>320</v>
      </c>
      <c r="E440" s="198"/>
      <c r="F440" s="329"/>
      <c r="G440" s="198"/>
      <c r="H440" s="298"/>
    </row>
    <row r="441" spans="1:9" s="261" customFormat="1" ht="12.75" customHeight="1" x14ac:dyDescent="0.2">
      <c r="A441" s="199">
        <f>1+A432</f>
        <v>47</v>
      </c>
      <c r="B441" s="380">
        <v>4131</v>
      </c>
      <c r="C441" s="381" t="s">
        <v>352</v>
      </c>
      <c r="D441" s="279" t="str">
        <f>$D$5</f>
        <v>FTE FEB 2024</v>
      </c>
      <c r="E441" s="201">
        <f>'4131'!I$142</f>
        <v>61033.45</v>
      </c>
      <c r="F441" s="328"/>
      <c r="G441" s="201">
        <f>SUBTOTAL(109,E441:F449)</f>
        <v>61033.45</v>
      </c>
      <c r="H441" s="298"/>
    </row>
    <row r="442" spans="1:9" s="261" customFormat="1" ht="12.75" hidden="1" customHeight="1" x14ac:dyDescent="0.2">
      <c r="A442" s="199"/>
      <c r="B442" s="380"/>
      <c r="C442" s="381"/>
      <c r="D442" s="233" t="s">
        <v>280</v>
      </c>
      <c r="E442" s="201"/>
      <c r="F442" s="328"/>
      <c r="G442" s="201"/>
      <c r="H442" s="298"/>
    </row>
    <row r="443" spans="1:9" s="261" customFormat="1" ht="12.75" hidden="1" customHeight="1" x14ac:dyDescent="0.2">
      <c r="A443" s="199"/>
      <c r="B443" s="200"/>
      <c r="C443" s="220"/>
      <c r="D443" s="374" t="s">
        <v>338</v>
      </c>
      <c r="E443" s="201"/>
      <c r="F443" s="328"/>
      <c r="G443" s="201"/>
      <c r="H443" s="298"/>
    </row>
    <row r="444" spans="1:9" s="261" customFormat="1" ht="12.75" hidden="1" customHeight="1" x14ac:dyDescent="0.2">
      <c r="A444" s="199"/>
      <c r="B444" s="380"/>
      <c r="C444" s="381"/>
      <c r="D444" s="233" t="s">
        <v>282</v>
      </c>
      <c r="E444" s="201"/>
      <c r="F444" s="328"/>
      <c r="G444" s="201"/>
      <c r="H444" s="298"/>
      <c r="I444" s="196"/>
    </row>
    <row r="445" spans="1:9" s="261" customFormat="1" ht="12.75" hidden="1" customHeight="1" x14ac:dyDescent="0.2">
      <c r="A445" s="199"/>
      <c r="B445" s="380"/>
      <c r="C445" s="381"/>
      <c r="D445" s="233" t="s">
        <v>281</v>
      </c>
      <c r="E445" s="201"/>
      <c r="F445" s="328"/>
      <c r="G445" s="201"/>
      <c r="H445" s="298"/>
    </row>
    <row r="446" spans="1:9" s="261" customFormat="1" ht="12.75" hidden="1" customHeight="1" x14ac:dyDescent="0.2">
      <c r="A446" s="199"/>
      <c r="B446" s="380"/>
      <c r="C446" s="381"/>
      <c r="D446" s="233" t="s">
        <v>290</v>
      </c>
      <c r="E446" s="201"/>
      <c r="F446" s="328"/>
      <c r="G446" s="201"/>
      <c r="H446" s="298"/>
    </row>
    <row r="447" spans="1:9" s="261" customFormat="1" ht="12.75" hidden="1" customHeight="1" x14ac:dyDescent="0.2">
      <c r="A447" s="199"/>
      <c r="B447" s="200"/>
      <c r="C447" s="220"/>
      <c r="D447" s="233" t="s">
        <v>259</v>
      </c>
      <c r="E447" s="201"/>
      <c r="F447" s="328"/>
      <c r="G447" s="201"/>
      <c r="H447" s="298"/>
      <c r="I447" s="188"/>
    </row>
    <row r="448" spans="1:9" s="261" customFormat="1" ht="12.75" hidden="1" customHeight="1" x14ac:dyDescent="0.2">
      <c r="A448" s="199"/>
      <c r="B448" s="200"/>
      <c r="C448" s="220"/>
      <c r="D448" s="233" t="s">
        <v>334</v>
      </c>
      <c r="E448" s="201"/>
      <c r="F448" s="328"/>
      <c r="G448" s="201"/>
      <c r="H448" s="298"/>
      <c r="I448" s="318"/>
    </row>
    <row r="449" spans="1:9" s="261" customFormat="1" ht="12.75" hidden="1" customHeight="1" x14ac:dyDescent="0.2">
      <c r="A449" s="199"/>
      <c r="B449" s="200"/>
      <c r="C449" s="220"/>
      <c r="D449" s="280" t="s">
        <v>320</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16319120.09</v>
      </c>
      <c r="F451" s="203">
        <f>SUBTOTAL(109,F5:F450)</f>
        <v>-87079.039999999994</v>
      </c>
      <c r="G451" s="203">
        <f>ROUND(SUM(G5:G450),2)</f>
        <v>16232041.050000001</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256</v>
      </c>
      <c r="E458" s="202">
        <f>Consolidated!I143</f>
        <v>16319120.09</v>
      </c>
      <c r="F458" s="239"/>
      <c r="G458" s="202">
        <f t="shared" ref="G458:G463" si="0">E458+F458</f>
        <v>16319120.09</v>
      </c>
      <c r="H458" s="298"/>
      <c r="I458" s="320"/>
    </row>
    <row r="459" spans="1:9" s="261" customFormat="1" ht="12.75" hidden="1" customHeight="1" x14ac:dyDescent="0.2">
      <c r="A459" s="188"/>
      <c r="B459" s="188"/>
      <c r="C459" s="188"/>
      <c r="D459" s="197" t="s">
        <v>280</v>
      </c>
      <c r="E459" s="188"/>
      <c r="F459" s="260">
        <f>SUM(SUMIF(D$5:D$450,D459,F$5:F$450))</f>
        <v>0</v>
      </c>
      <c r="G459" s="202">
        <f t="shared" si="0"/>
        <v>0</v>
      </c>
      <c r="H459" s="298"/>
      <c r="I459" s="507"/>
    </row>
    <row r="460" spans="1:9" ht="12.75" hidden="1" customHeight="1" x14ac:dyDescent="0.2">
      <c r="D460" s="503" t="s">
        <v>475</v>
      </c>
      <c r="F460" s="260">
        <f t="shared" ref="F460:F477" si="1">SUM(SUMIF(D$5:D$450,D460,F$5:F$450))</f>
        <v>0</v>
      </c>
      <c r="G460" s="202">
        <f t="shared" si="0"/>
        <v>0</v>
      </c>
      <c r="H460" s="299"/>
    </row>
    <row r="461" spans="1:9" ht="12.75" hidden="1" customHeight="1" x14ac:dyDescent="0.2">
      <c r="D461" s="197" t="s">
        <v>339</v>
      </c>
      <c r="F461" s="260">
        <f t="shared" si="1"/>
        <v>0</v>
      </c>
      <c r="G461" s="202">
        <f t="shared" si="0"/>
        <v>0</v>
      </c>
    </row>
    <row r="462" spans="1:9" ht="12.75" hidden="1" customHeight="1" x14ac:dyDescent="0.2">
      <c r="D462" s="197" t="s">
        <v>340</v>
      </c>
      <c r="F462" s="260">
        <f t="shared" si="1"/>
        <v>0</v>
      </c>
      <c r="G462" s="202">
        <f t="shared" si="0"/>
        <v>0</v>
      </c>
    </row>
    <row r="463" spans="1:9" ht="12.75" hidden="1" customHeight="1" x14ac:dyDescent="0.2">
      <c r="D463" s="373" t="s">
        <v>337</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customHeight="1" x14ac:dyDescent="0.2">
      <c r="D469" s="314" t="s">
        <v>286</v>
      </c>
      <c r="F469" s="260">
        <f t="shared" si="1"/>
        <v>-69513.88</v>
      </c>
      <c r="G469" s="202">
        <f t="shared" si="2"/>
        <v>-69513.88</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432</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8"/>
    </row>
    <row r="478" spans="1:10" ht="12.75" customHeight="1" x14ac:dyDescent="0.2">
      <c r="D478" s="197" t="s">
        <v>237</v>
      </c>
      <c r="F478" s="331">
        <f>SUM(SUMIF(D$5:D$450,"*WPB*",F$5:F$450))</f>
        <v>0</v>
      </c>
      <c r="G478" s="202">
        <f t="shared" si="3"/>
        <v>0</v>
      </c>
    </row>
    <row r="479" spans="1:10" ht="12.75" customHeight="1" x14ac:dyDescent="0.2">
      <c r="D479" s="197"/>
      <c r="F479" s="331"/>
      <c r="G479" s="202"/>
    </row>
    <row r="480" spans="1:10" ht="12.75" customHeight="1" thickBot="1" x14ac:dyDescent="0.25">
      <c r="D480" s="285" t="s">
        <v>251</v>
      </c>
      <c r="E480" s="203">
        <f>SUM(E458:E479)</f>
        <v>16319120.09</v>
      </c>
      <c r="F480" s="203">
        <f>SUM(F458:F479)</f>
        <v>-87079.040000000008</v>
      </c>
      <c r="G480" s="203">
        <f>SUM(G458:G479)</f>
        <v>16232041.049999999</v>
      </c>
    </row>
    <row r="481" spans="1:9" ht="12.75" customHeight="1" thickTop="1" x14ac:dyDescent="0.2">
      <c r="D481" s="285"/>
      <c r="E481" s="504"/>
      <c r="F481" s="504"/>
      <c r="G481" s="504"/>
    </row>
    <row r="482" spans="1:9" ht="12.75" customHeight="1" x14ac:dyDescent="0.2">
      <c r="D482" s="285"/>
      <c r="E482" s="504"/>
      <c r="F482" s="504"/>
      <c r="G482" s="504"/>
    </row>
    <row r="483" spans="1:9" ht="12" customHeight="1" x14ac:dyDescent="0.2">
      <c r="D483" s="285"/>
      <c r="E483" s="504"/>
      <c r="F483" s="504"/>
      <c r="G483" s="504"/>
    </row>
    <row r="484" spans="1:9" ht="12.75" customHeight="1" thickBot="1" x14ac:dyDescent="0.25">
      <c r="E484" s="202"/>
      <c r="F484" s="202"/>
      <c r="G484" s="202"/>
    </row>
    <row r="485" spans="1:9" ht="12.75" customHeight="1" thickBot="1" x14ac:dyDescent="0.25">
      <c r="C485" s="511" t="s">
        <v>279</v>
      </c>
      <c r="D485" s="512"/>
      <c r="E485" s="512"/>
      <c r="F485" s="512"/>
      <c r="G485" s="513"/>
    </row>
    <row r="486" spans="1:9" s="261" customFormat="1" ht="12.75" customHeight="1" x14ac:dyDescent="0.2">
      <c r="A486" s="188"/>
      <c r="B486" s="188"/>
      <c r="C486" s="370"/>
      <c r="D486" s="371"/>
      <c r="E486" s="371"/>
      <c r="F486" s="498"/>
      <c r="G486" s="499"/>
      <c r="H486" s="298"/>
      <c r="I486" s="188"/>
    </row>
    <row r="487" spans="1:9" ht="12.75" customHeight="1" x14ac:dyDescent="0.2">
      <c r="C487" s="439" t="s">
        <v>480</v>
      </c>
      <c r="D487" s="508"/>
      <c r="E487" s="508"/>
      <c r="F487" s="498"/>
      <c r="G487" s="500"/>
    </row>
    <row r="488" spans="1:9" ht="12.75" customHeight="1" x14ac:dyDescent="0.2">
      <c r="C488" s="383" t="s">
        <v>481</v>
      </c>
      <c r="D488" s="508"/>
      <c r="E488" s="508"/>
      <c r="F488" s="498"/>
      <c r="G488" s="500"/>
    </row>
    <row r="489" spans="1:9" ht="12.75" customHeight="1" x14ac:dyDescent="0.2">
      <c r="C489" s="439"/>
      <c r="D489" s="371"/>
      <c r="E489" s="371"/>
      <c r="F489" s="498"/>
      <c r="G489" s="500"/>
    </row>
    <row r="490" spans="1:9" ht="12.75" customHeight="1" x14ac:dyDescent="0.2">
      <c r="C490" s="439" t="s">
        <v>471</v>
      </c>
      <c r="D490" s="371"/>
      <c r="E490" s="371"/>
      <c r="F490" s="498"/>
      <c r="G490" s="500"/>
    </row>
    <row r="491" spans="1:9" ht="12.75" customHeight="1" x14ac:dyDescent="0.2">
      <c r="C491" s="383" t="s">
        <v>472</v>
      </c>
      <c r="D491" s="371"/>
      <c r="E491" s="371"/>
      <c r="F491" s="498"/>
      <c r="G491" s="500"/>
      <c r="I491" s="309"/>
    </row>
    <row r="492" spans="1:9" ht="12.75" customHeight="1" x14ac:dyDescent="0.2">
      <c r="C492" s="383" t="s">
        <v>473</v>
      </c>
      <c r="D492" s="371"/>
      <c r="E492" s="371"/>
      <c r="F492" s="498"/>
      <c r="G492" s="500"/>
      <c r="H492" s="309"/>
      <c r="I492" s="261"/>
    </row>
    <row r="493" spans="1:9" ht="12.75" customHeight="1" x14ac:dyDescent="0.2">
      <c r="C493" s="383"/>
      <c r="D493" s="371"/>
      <c r="E493" s="371"/>
      <c r="F493" s="498"/>
      <c r="G493" s="500"/>
      <c r="H493" s="309"/>
      <c r="I493" s="261"/>
    </row>
    <row r="494" spans="1:9" ht="12.75" customHeight="1" x14ac:dyDescent="0.2">
      <c r="C494" s="383"/>
      <c r="D494" s="371"/>
      <c r="E494" s="371"/>
      <c r="F494" s="498"/>
      <c r="G494" s="500"/>
      <c r="H494" s="309"/>
      <c r="I494" s="261"/>
    </row>
    <row r="495" spans="1:9" ht="12.75" customHeight="1" x14ac:dyDescent="0.2">
      <c r="C495" s="383"/>
      <c r="D495" s="371"/>
      <c r="E495" s="371"/>
      <c r="F495" s="498"/>
      <c r="G495" s="500"/>
      <c r="H495" s="309"/>
      <c r="I495" s="261"/>
    </row>
    <row r="496" spans="1:9" ht="12.75" customHeight="1" x14ac:dyDescent="0.2">
      <c r="C496" s="383"/>
      <c r="D496" s="371"/>
      <c r="E496" s="371"/>
      <c r="F496" s="498"/>
      <c r="G496" s="500"/>
      <c r="H496" s="309"/>
      <c r="I496" s="261"/>
    </row>
    <row r="497" spans="3:9" ht="12.75" customHeight="1" x14ac:dyDescent="0.2">
      <c r="C497" s="383"/>
      <c r="D497" s="371"/>
      <c r="E497" s="371"/>
      <c r="F497" s="498"/>
      <c r="G497" s="500"/>
      <c r="H497" s="309"/>
      <c r="I497" s="261"/>
    </row>
    <row r="498" spans="3:9" ht="12.75" customHeight="1" x14ac:dyDescent="0.2">
      <c r="C498" s="383"/>
      <c r="D498" s="371"/>
      <c r="E498" s="371"/>
      <c r="F498" s="498"/>
      <c r="G498" s="500"/>
      <c r="H498" s="309"/>
      <c r="I498" s="261"/>
    </row>
    <row r="499" spans="3:9" ht="12.75" customHeight="1" x14ac:dyDescent="0.2">
      <c r="C499" s="383"/>
      <c r="D499" s="371"/>
      <c r="E499" s="371"/>
      <c r="F499" s="498"/>
      <c r="G499" s="500"/>
      <c r="H499" s="309"/>
      <c r="I499" s="261"/>
    </row>
    <row r="500" spans="3:9" ht="12.75" customHeight="1" x14ac:dyDescent="0.2">
      <c r="C500" s="383"/>
      <c r="D500" s="371"/>
      <c r="E500" s="371"/>
      <c r="F500" s="498"/>
      <c r="G500" s="500"/>
      <c r="H500" s="309"/>
      <c r="I500" s="261"/>
    </row>
    <row r="501" spans="3:9" ht="12.75" customHeight="1" x14ac:dyDescent="0.2">
      <c r="C501" s="383"/>
      <c r="D501" s="371"/>
      <c r="E501" s="371"/>
      <c r="F501" s="498"/>
      <c r="G501" s="500"/>
      <c r="H501" s="309"/>
      <c r="I501" s="261"/>
    </row>
    <row r="502" spans="3:9" ht="12.75" customHeight="1" x14ac:dyDescent="0.2">
      <c r="C502" s="383"/>
      <c r="D502" s="371"/>
      <c r="E502" s="371"/>
      <c r="F502" s="498"/>
      <c r="G502" s="500"/>
      <c r="H502" s="309"/>
      <c r="I502" s="261"/>
    </row>
    <row r="503" spans="3:9" ht="12.75" customHeight="1" x14ac:dyDescent="0.2">
      <c r="C503" s="383"/>
      <c r="D503" s="371"/>
      <c r="E503" s="371"/>
      <c r="F503" s="498"/>
      <c r="G503" s="500"/>
      <c r="H503" s="309"/>
      <c r="I503" s="261"/>
    </row>
    <row r="504" spans="3:9" ht="12.75" customHeight="1" x14ac:dyDescent="0.2">
      <c r="C504" s="383"/>
      <c r="D504" s="371"/>
      <c r="E504" s="371"/>
      <c r="F504" s="498"/>
      <c r="G504" s="500"/>
      <c r="H504" s="309"/>
      <c r="I504" s="261"/>
    </row>
    <row r="505" spans="3:9" ht="12.75" customHeight="1" x14ac:dyDescent="0.2">
      <c r="C505" s="383"/>
      <c r="D505" s="371"/>
      <c r="E505" s="371"/>
      <c r="F505" s="498"/>
      <c r="G505" s="500"/>
      <c r="H505" s="309"/>
      <c r="I505" s="261"/>
    </row>
    <row r="506" spans="3:9" ht="12.75" customHeight="1" x14ac:dyDescent="0.2">
      <c r="C506" s="439"/>
      <c r="D506" s="505"/>
      <c r="E506" s="505"/>
      <c r="F506" s="505"/>
      <c r="G506" s="506"/>
      <c r="H506" s="309"/>
      <c r="I506" s="261"/>
    </row>
    <row r="507" spans="3:9" ht="12.75" customHeight="1" x14ac:dyDescent="0.2">
      <c r="C507" s="383"/>
      <c r="D507" s="505"/>
      <c r="E507" s="505"/>
      <c r="F507" s="505"/>
      <c r="G507" s="506"/>
      <c r="H507" s="309"/>
      <c r="I507" s="261"/>
    </row>
    <row r="508" spans="3:9" ht="12.75" customHeight="1" x14ac:dyDescent="0.2">
      <c r="C508" s="439" t="s">
        <v>484</v>
      </c>
      <c r="D508" s="505"/>
      <c r="E508" s="505"/>
      <c r="F508" s="505"/>
      <c r="G508" s="506"/>
      <c r="H508" s="309"/>
      <c r="I508" s="261"/>
    </row>
    <row r="509" spans="3:9" ht="12.75" customHeight="1" x14ac:dyDescent="0.2">
      <c r="C509" s="383" t="s">
        <v>485</v>
      </c>
      <c r="D509" s="505"/>
      <c r="E509" s="505"/>
      <c r="F509" s="505"/>
      <c r="G509" s="506"/>
      <c r="H509" s="309"/>
      <c r="I509" s="261"/>
    </row>
    <row r="510" spans="3:9" ht="12.75" customHeight="1" x14ac:dyDescent="0.2">
      <c r="C510" s="383" t="s">
        <v>486</v>
      </c>
      <c r="D510" s="505"/>
      <c r="E510" s="505"/>
      <c r="F510" s="505"/>
      <c r="G510" s="506"/>
      <c r="H510" s="309"/>
      <c r="I510" s="261"/>
    </row>
    <row r="511" spans="3:9" ht="12.75" customHeight="1" x14ac:dyDescent="0.2">
      <c r="C511" s="383"/>
      <c r="D511" s="505"/>
      <c r="E511" s="505"/>
      <c r="F511" s="505"/>
      <c r="G511" s="506"/>
      <c r="H511" s="309"/>
      <c r="I511" s="261"/>
    </row>
    <row r="512" spans="3:9" ht="12.75" customHeight="1" x14ac:dyDescent="0.2">
      <c r="C512" s="497"/>
      <c r="D512" s="505"/>
      <c r="E512" s="505"/>
      <c r="F512" s="505"/>
      <c r="G512" s="506"/>
      <c r="H512" s="309"/>
      <c r="I512" s="261"/>
    </row>
    <row r="513" spans="3:9" ht="12.75" customHeight="1" x14ac:dyDescent="0.2">
      <c r="C513" s="439" t="s">
        <v>482</v>
      </c>
      <c r="D513" s="505"/>
      <c r="E513" s="505"/>
      <c r="F513" s="505"/>
      <c r="G513" s="506"/>
      <c r="H513" s="309"/>
      <c r="I513" s="261"/>
    </row>
    <row r="514" spans="3:9" ht="12.75" customHeight="1" x14ac:dyDescent="0.2">
      <c r="C514" s="383" t="s">
        <v>489</v>
      </c>
      <c r="D514" s="505"/>
      <c r="E514" s="505"/>
      <c r="F514" s="505"/>
      <c r="G514" s="506"/>
      <c r="H514" s="309"/>
      <c r="I514" s="261"/>
    </row>
    <row r="515" spans="3:9" ht="12.75" customHeight="1" x14ac:dyDescent="0.2">
      <c r="C515" s="383" t="s">
        <v>487</v>
      </c>
      <c r="D515" s="505"/>
      <c r="E515" s="505"/>
      <c r="F515" s="505"/>
      <c r="G515" s="506"/>
      <c r="H515" s="309"/>
      <c r="I515" s="261"/>
    </row>
    <row r="516" spans="3:9" ht="12.75" customHeight="1" x14ac:dyDescent="0.2">
      <c r="C516" s="383" t="s">
        <v>488</v>
      </c>
      <c r="D516" s="505"/>
      <c r="E516" s="505"/>
      <c r="F516" s="505"/>
      <c r="G516" s="506"/>
      <c r="H516" s="309"/>
      <c r="I516" s="261"/>
    </row>
    <row r="517" spans="3:9" ht="12.75" customHeight="1" x14ac:dyDescent="0.2">
      <c r="C517" s="497"/>
      <c r="D517" s="505"/>
      <c r="E517" s="505"/>
      <c r="F517" s="505"/>
      <c r="G517" s="506"/>
      <c r="H517" s="309"/>
      <c r="I517" s="261"/>
    </row>
    <row r="518" spans="3:9" ht="12.75" customHeight="1" x14ac:dyDescent="0.2">
      <c r="C518" s="509" t="s">
        <v>483</v>
      </c>
      <c r="D518" s="505"/>
      <c r="E518" s="505"/>
      <c r="F518" s="505"/>
      <c r="G518" s="506"/>
      <c r="H518" s="309"/>
      <c r="I518" s="261"/>
    </row>
    <row r="519" spans="3:9" ht="12.75" customHeight="1" x14ac:dyDescent="0.2">
      <c r="C519" s="383" t="s">
        <v>490</v>
      </c>
      <c r="D519" s="505"/>
      <c r="E519" s="505"/>
      <c r="F519" s="505"/>
      <c r="G519" s="506"/>
      <c r="H519" s="309"/>
      <c r="I519" s="261"/>
    </row>
    <row r="520" spans="3:9" ht="12.75" customHeight="1" x14ac:dyDescent="0.2">
      <c r="C520" s="383" t="s">
        <v>491</v>
      </c>
      <c r="D520" s="505"/>
      <c r="E520" s="505"/>
      <c r="F520" s="505"/>
      <c r="G520" s="506"/>
      <c r="H520" s="309"/>
      <c r="I520" s="261"/>
    </row>
    <row r="521" spans="3:9" ht="12.75" customHeight="1" x14ac:dyDescent="0.2">
      <c r="C521" s="383"/>
      <c r="D521" s="505"/>
      <c r="E521" s="505"/>
      <c r="F521" s="505"/>
      <c r="G521" s="506"/>
      <c r="H521" s="309"/>
      <c r="I521" s="261"/>
    </row>
    <row r="522" spans="3:9" ht="12.75" customHeight="1" thickBot="1" x14ac:dyDescent="0.25">
      <c r="C522" s="382"/>
      <c r="D522" s="372"/>
      <c r="E522" s="372"/>
      <c r="F522" s="372"/>
      <c r="G522" s="501"/>
      <c r="H522" s="309"/>
      <c r="I522" s="261"/>
    </row>
    <row r="523" spans="3:9" ht="12.75" customHeight="1" x14ac:dyDescent="0.2">
      <c r="H523" s="309"/>
      <c r="I523" s="261"/>
    </row>
    <row r="524" spans="3:9" ht="12.75" customHeight="1" x14ac:dyDescent="0.2">
      <c r="H524" s="309"/>
      <c r="I524" s="261"/>
    </row>
    <row r="525" spans="3:9" ht="12.75" customHeight="1" x14ac:dyDescent="0.2">
      <c r="H525" s="309"/>
      <c r="I525" s="261"/>
    </row>
    <row r="526" spans="3:9" ht="12.75" customHeight="1" x14ac:dyDescent="0.2">
      <c r="H526" s="309"/>
      <c r="I526" s="261"/>
    </row>
    <row r="527" spans="3:9" ht="12.75" customHeight="1" x14ac:dyDescent="0.2">
      <c r="H527" s="309"/>
      <c r="I527" s="261"/>
    </row>
    <row r="528" spans="3:9" ht="12.75" customHeight="1" x14ac:dyDescent="0.2">
      <c r="H528" s="309"/>
      <c r="I528" s="261"/>
    </row>
    <row r="529" spans="5:11" ht="12.75" customHeight="1" x14ac:dyDescent="0.2">
      <c r="H529" s="309"/>
      <c r="I529" s="261"/>
    </row>
    <row r="530" spans="5:11" ht="12.75" customHeight="1" x14ac:dyDescent="0.2">
      <c r="H530" s="309"/>
      <c r="I530" s="261"/>
    </row>
    <row r="531" spans="5:11" ht="12.75" customHeight="1" x14ac:dyDescent="0.2">
      <c r="H531" s="309"/>
      <c r="I531" s="261"/>
    </row>
    <row r="532" spans="5:11" ht="12.75" customHeight="1" x14ac:dyDescent="0.2">
      <c r="H532" s="252"/>
    </row>
    <row r="533" spans="5:11" ht="12.75" customHeight="1" x14ac:dyDescent="0.2">
      <c r="E533" s="297"/>
      <c r="F533" s="188"/>
    </row>
    <row r="534" spans="5:11" ht="12.75" customHeight="1" x14ac:dyDescent="0.2">
      <c r="E534" s="297"/>
      <c r="F534" s="188"/>
    </row>
    <row r="536" spans="5:11" ht="12.75" customHeight="1" x14ac:dyDescent="0.2">
      <c r="K536" s="297"/>
    </row>
    <row r="537" spans="5:11" ht="12.75" customHeight="1" x14ac:dyDescent="0.2">
      <c r="K537" s="297"/>
    </row>
    <row r="543" spans="5:11" ht="12.75" customHeight="1" x14ac:dyDescent="0.2">
      <c r="H543" s="188"/>
    </row>
    <row r="544" spans="5:11" ht="12.75" customHeight="1" x14ac:dyDescent="0.2">
      <c r="H544" s="188"/>
    </row>
  </sheetData>
  <mergeCells count="2">
    <mergeCell ref="F3:G3"/>
    <mergeCell ref="C485:G485"/>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85">
    <cfRule type="cellIs" dxfId="5" priority="301" stopIfTrue="1" operator="notEqual">
      <formula>0</formula>
    </cfRule>
    <cfRule type="cellIs" dxfId="4" priority="302" stopIfTrue="1" operator="equal">
      <formula>0</formula>
    </cfRule>
  </conditionalFormatting>
  <conditionalFormatting sqref="H487:H489">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18"/>
  <sheetViews>
    <sheetView topLeftCell="A33" workbookViewId="0">
      <selection activeCell="C17" activeCellId="1" sqref="C15 C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114</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94.73</v>
      </c>
      <c r="D14" s="143">
        <v>0</v>
      </c>
      <c r="E14" s="187">
        <f>IF(D$30=0,C14*2,C14+D14)</f>
        <v>189.46</v>
      </c>
      <c r="F14" s="628">
        <f>'1461'!F14:G14</f>
        <v>1.1220000000000001</v>
      </c>
      <c r="G14" s="628"/>
      <c r="H14" s="145">
        <f>ROUND(E14*F14,4)</f>
        <v>212.57409999999999</v>
      </c>
      <c r="I14" s="111">
        <f>ROUND(ROUND(ROUND(H14*$C$8,4)*($H$8),2)*(MAX($H$9,1)),2)</f>
        <v>1140865.23</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21</v>
      </c>
      <c r="D15" s="143">
        <v>0</v>
      </c>
      <c r="E15" s="116">
        <f t="shared" ref="E15:E29" si="1">IF(D$30=0,C15*2,C15+D15)</f>
        <v>42</v>
      </c>
      <c r="F15" s="624">
        <f>'1461'!F15:G15</f>
        <v>1.1220000000000001</v>
      </c>
      <c r="G15" s="624"/>
      <c r="H15" s="80">
        <f t="shared" ref="H15:H29" si="2">ROUND(E15*F15,4)</f>
        <v>47.124000000000002</v>
      </c>
      <c r="I15" s="101">
        <f t="shared" ref="I15:I29" si="3">ROUND(ROUND(ROUND(H15*$C$8,4)*($H$8),2)*(MAX($H$9,1)),2)</f>
        <v>252910.07999999999</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153.22999999999999</v>
      </c>
      <c r="D16" s="143">
        <v>0</v>
      </c>
      <c r="E16" s="116">
        <f t="shared" si="1"/>
        <v>306.45999999999998</v>
      </c>
      <c r="F16" s="624">
        <f>'1461'!F16:G16</f>
        <v>1</v>
      </c>
      <c r="G16" s="624"/>
      <c r="H16" s="80">
        <f t="shared" si="2"/>
        <v>306.45999999999998</v>
      </c>
      <c r="I16" s="101">
        <f t="shared" si="3"/>
        <v>1644742.03</v>
      </c>
      <c r="N16" s="564" t="s">
        <v>22</v>
      </c>
      <c r="O16" s="564"/>
      <c r="P16" s="603">
        <f t="shared" si="0"/>
        <v>0</v>
      </c>
      <c r="Q16" s="603"/>
      <c r="R16" s="608">
        <v>1</v>
      </c>
      <c r="S16" s="608"/>
      <c r="T16" s="95">
        <f t="shared" si="4"/>
        <v>0</v>
      </c>
      <c r="U16" s="474">
        <f t="shared" si="5"/>
        <v>0</v>
      </c>
    </row>
    <row r="17" spans="1:21" x14ac:dyDescent="0.25">
      <c r="A17" s="539" t="s">
        <v>23</v>
      </c>
      <c r="B17" s="539"/>
      <c r="C17" s="143">
        <v>43.9</v>
      </c>
      <c r="D17" s="143">
        <v>0</v>
      </c>
      <c r="E17" s="116">
        <f t="shared" si="1"/>
        <v>87.8</v>
      </c>
      <c r="F17" s="624">
        <f>'1461'!F17:G17</f>
        <v>1</v>
      </c>
      <c r="G17" s="624"/>
      <c r="H17" s="80">
        <f t="shared" si="2"/>
        <v>87.8</v>
      </c>
      <c r="I17" s="101">
        <f t="shared" si="3"/>
        <v>471214.35</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6.77</v>
      </c>
      <c r="D26" s="143">
        <v>0</v>
      </c>
      <c r="E26" s="116">
        <f t="shared" si="1"/>
        <v>13.54</v>
      </c>
      <c r="F26" s="624">
        <f>'1461'!F26:G26</f>
        <v>1.208</v>
      </c>
      <c r="G26" s="624"/>
      <c r="H26" s="80">
        <f t="shared" si="2"/>
        <v>16.356300000000001</v>
      </c>
      <c r="I26" s="101">
        <f t="shared" si="3"/>
        <v>87782.73</v>
      </c>
      <c r="N26" s="564" t="s">
        <v>85</v>
      </c>
      <c r="O26" s="564"/>
      <c r="P26" s="603">
        <f t="shared" si="0"/>
        <v>0</v>
      </c>
      <c r="Q26" s="603"/>
      <c r="R26" s="608">
        <v>1</v>
      </c>
      <c r="S26" s="608"/>
      <c r="T26" s="95">
        <f t="shared" si="4"/>
        <v>0</v>
      </c>
      <c r="U26" s="474">
        <f t="shared" si="5"/>
        <v>0</v>
      </c>
    </row>
    <row r="27" spans="1:21" x14ac:dyDescent="0.25">
      <c r="A27" s="539" t="s">
        <v>86</v>
      </c>
      <c r="B27" s="539"/>
      <c r="C27" s="143">
        <v>2.39</v>
      </c>
      <c r="D27" s="143">
        <v>0</v>
      </c>
      <c r="E27" s="116">
        <f t="shared" si="1"/>
        <v>4.78</v>
      </c>
      <c r="F27" s="624">
        <f>'1461'!F27:G27</f>
        <v>1.208</v>
      </c>
      <c r="G27" s="624"/>
      <c r="H27" s="80">
        <f t="shared" si="2"/>
        <v>5.7742000000000004</v>
      </c>
      <c r="I27" s="101">
        <f t="shared" si="3"/>
        <v>30989.59</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322.01999999999992</v>
      </c>
      <c r="D30" s="94">
        <f>SUM(D14:D29)</f>
        <v>0</v>
      </c>
      <c r="E30" s="94">
        <f>SUM(E14:E29)</f>
        <v>644.03999999999985</v>
      </c>
      <c r="F30" s="543"/>
      <c r="G30" s="543"/>
      <c r="H30" s="99">
        <f>SUM(H14:H29)</f>
        <v>676.08859999999993</v>
      </c>
      <c r="I30" s="94">
        <f>SUM(I14:I29)</f>
        <v>3628504.01</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676.08859999999993</v>
      </c>
      <c r="F46" s="34"/>
      <c r="G46" s="106"/>
      <c r="H46" s="107" t="s">
        <v>98</v>
      </c>
      <c r="I46" s="94">
        <f>SUM(I44,I30)</f>
        <v>3628504.01</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3628504.01</v>
      </c>
      <c r="G51" s="109" t="s">
        <v>6</v>
      </c>
      <c r="H51" s="402">
        <v>4.5199999999999997E-2</v>
      </c>
      <c r="I51" s="101">
        <f>ROUND(F51*H51,2)</f>
        <v>164008.38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3628504.01</v>
      </c>
      <c r="G52" s="109" t="s">
        <v>6</v>
      </c>
      <c r="H52" s="402">
        <v>1.41E-2</v>
      </c>
      <c r="I52" s="101">
        <f>ROUND(F52*H52,2)</f>
        <v>51161.91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215170.29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19</v>
      </c>
      <c r="D57" s="143">
        <v>0</v>
      </c>
      <c r="E57" s="116">
        <f t="shared" ref="E57:E65" si="10">IF(D$66=0,C57*2,C57+D57)</f>
        <v>38</v>
      </c>
      <c r="F57" s="444" t="s">
        <v>435</v>
      </c>
      <c r="G57" s="444">
        <v>251</v>
      </c>
      <c r="H57" s="458">
        <f>'1461'!H57</f>
        <v>1047</v>
      </c>
      <c r="I57" s="101">
        <f>ROUND(E57*H57,2)</f>
        <v>39786</v>
      </c>
      <c r="N57" s="572" t="s">
        <v>443</v>
      </c>
      <c r="O57" s="572"/>
      <c r="P57" s="575"/>
      <c r="Q57" s="575"/>
      <c r="R57" s="450" t="s">
        <v>435</v>
      </c>
      <c r="S57" s="450">
        <v>251</v>
      </c>
      <c r="T57" s="461">
        <f>H57</f>
        <v>1047</v>
      </c>
      <c r="U57" s="475">
        <f>ROUND(P57*T57,2)</f>
        <v>0</v>
      </c>
      <c r="V57" s="425"/>
    </row>
    <row r="58" spans="1:22" x14ac:dyDescent="0.25">
      <c r="A58" s="550"/>
      <c r="B58" s="550"/>
      <c r="C58" s="143">
        <v>2</v>
      </c>
      <c r="D58" s="143">
        <v>0</v>
      </c>
      <c r="E58" s="116">
        <f t="shared" si="10"/>
        <v>4</v>
      </c>
      <c r="F58" s="444" t="s">
        <v>435</v>
      </c>
      <c r="G58" s="444">
        <v>252</v>
      </c>
      <c r="H58" s="458">
        <f>'1461'!H58</f>
        <v>3380</v>
      </c>
      <c r="I58" s="101">
        <f t="shared" ref="I58:I65" si="11">ROUND(E58*H58,2)</f>
        <v>13520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36.380000000000003</v>
      </c>
      <c r="D60" s="143">
        <v>0</v>
      </c>
      <c r="E60" s="116">
        <f t="shared" si="10"/>
        <v>72.760000000000005</v>
      </c>
      <c r="F60" s="445" t="s">
        <v>13</v>
      </c>
      <c r="G60" s="444">
        <v>251</v>
      </c>
      <c r="H60" s="458">
        <f>'1461'!H60</f>
        <v>1173</v>
      </c>
      <c r="I60" s="101">
        <f t="shared" si="11"/>
        <v>85347.48</v>
      </c>
      <c r="N60" s="573"/>
      <c r="O60" s="573"/>
      <c r="P60" s="576"/>
      <c r="Q60" s="576"/>
      <c r="R60" s="40" t="s">
        <v>13</v>
      </c>
      <c r="S60" s="450">
        <v>251</v>
      </c>
      <c r="T60" s="461">
        <f t="shared" si="12"/>
        <v>1173</v>
      </c>
      <c r="U60" s="475">
        <f t="shared" si="13"/>
        <v>0</v>
      </c>
      <c r="V60" s="425"/>
    </row>
    <row r="61" spans="1:22" x14ac:dyDescent="0.25">
      <c r="A61" s="550"/>
      <c r="B61" s="550"/>
      <c r="C61" s="143">
        <v>7.02</v>
      </c>
      <c r="D61" s="143">
        <v>0</v>
      </c>
      <c r="E61" s="116">
        <f t="shared" si="10"/>
        <v>14.04</v>
      </c>
      <c r="F61" s="445" t="s">
        <v>13</v>
      </c>
      <c r="G61" s="444">
        <v>252</v>
      </c>
      <c r="H61" s="458">
        <f>'1461'!H61</f>
        <v>3506</v>
      </c>
      <c r="I61" s="101">
        <f t="shared" si="11"/>
        <v>49224.24</v>
      </c>
      <c r="N61" s="573"/>
      <c r="O61" s="573"/>
      <c r="P61" s="576"/>
      <c r="Q61" s="576"/>
      <c r="R61" s="40" t="s">
        <v>13</v>
      </c>
      <c r="S61" s="450">
        <v>252</v>
      </c>
      <c r="T61" s="461">
        <f t="shared" si="12"/>
        <v>3506</v>
      </c>
      <c r="U61" s="475">
        <f t="shared" si="13"/>
        <v>0</v>
      </c>
      <c r="V61" s="425"/>
    </row>
    <row r="62" spans="1:22" x14ac:dyDescent="0.25">
      <c r="A62" s="550"/>
      <c r="B62" s="550"/>
      <c r="C62" s="143">
        <v>0.5</v>
      </c>
      <c r="D62" s="143">
        <v>0</v>
      </c>
      <c r="E62" s="116">
        <f t="shared" si="10"/>
        <v>1</v>
      </c>
      <c r="F62" s="445" t="s">
        <v>13</v>
      </c>
      <c r="G62" s="444">
        <v>253</v>
      </c>
      <c r="H62" s="458">
        <f>'1461'!H62</f>
        <v>7023</v>
      </c>
      <c r="I62" s="101">
        <f t="shared" si="11"/>
        <v>7023</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64.900000000000006</v>
      </c>
      <c r="D66" s="97">
        <f>SUM(D57:D65)</f>
        <v>0</v>
      </c>
      <c r="E66" s="97">
        <f>SUM(E57:E65)</f>
        <v>129.80000000000001</v>
      </c>
      <c r="F66" s="551" t="s">
        <v>444</v>
      </c>
      <c r="G66" s="551"/>
      <c r="H66" s="551"/>
      <c r="I66" s="97">
        <f>SUM(I57:I65)</f>
        <v>194900.71999999997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644.03999999999985</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3.1679999999999998E-3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676.08859999999993</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2.9710000000000001E-3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644.03999999999985</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3.4459999999999998E-3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644.03999999999985</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3.1710000000000002E-3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644.03999999999985</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3.4499999999999999E-3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3.1710000000000002E-3</v>
      </c>
      <c r="I85" s="101">
        <f>ROUND(F85*H85,2)</f>
        <v>141634.41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3.1679999999999998E-3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3.4499999999999999E-3</v>
      </c>
      <c r="I90" s="101">
        <f>ROUND(F90*H90,2)</f>
        <v>55776.33</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3.4459999999999998E-3</v>
      </c>
      <c r="I92" s="101">
        <f t="shared" ref="I92:I96" si="14">ROUND(F92*H92,2)</f>
        <v>34598.18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2.9710000000000001E-3</v>
      </c>
      <c r="I94" s="101">
        <f t="shared" si="14"/>
        <v>710062.09</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2.9710000000000001E-3</v>
      </c>
      <c r="I96" s="101">
        <f t="shared" si="14"/>
        <v>-4753.74</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276.05439999999999</v>
      </c>
      <c r="D101" s="557"/>
      <c r="E101" s="46">
        <f>H8</f>
        <v>1.0442</v>
      </c>
      <c r="F101" s="304">
        <f>'1461'!F101</f>
        <v>947.59</v>
      </c>
      <c r="G101" s="39" t="s">
        <v>12</v>
      </c>
      <c r="H101" s="101">
        <f>ROUND(C101*E101*F101,2)</f>
        <v>273148.51</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400.0342</v>
      </c>
      <c r="D102" s="557"/>
      <c r="E102" s="46">
        <f>H8</f>
        <v>1.0442</v>
      </c>
      <c r="F102" s="304">
        <f>'1461'!F102</f>
        <v>904.74</v>
      </c>
      <c r="G102" s="39" t="s">
        <v>12</v>
      </c>
      <c r="H102" s="101">
        <f>ROUND(C102*E102*F102,2)</f>
        <v>377924.11</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676.08860000000004</v>
      </c>
      <c r="D104" s="547"/>
      <c r="E104" s="123"/>
      <c r="F104" s="123"/>
      <c r="G104" s="123"/>
      <c r="H104" s="124" t="s">
        <v>100</v>
      </c>
      <c r="I104" s="101">
        <f>IF(A1=75,0,H103+H102+H101)</f>
        <v>651072.62</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v>
      </c>
      <c r="D110" s="143">
        <v>0</v>
      </c>
      <c r="E110" s="116">
        <f>C110</f>
        <v>1</v>
      </c>
      <c r="F110" s="126" t="s">
        <v>30</v>
      </c>
      <c r="G110" s="305">
        <f>'1461'!G110</f>
        <v>565</v>
      </c>
      <c r="I110" s="101">
        <f>ROUND(G110*E110,2)</f>
        <v>565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5412359.6200000001</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5197189.33</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5197189.33</v>
      </c>
      <c r="I132" s="94">
        <f>ROUND(IF(E30=0,0,IF(E30&gt;250,-(((250/E30)*H132)*IF(G132="H",0.02,0.05)),IF(G132="H",-0.02*H132,-0.05*H132))),2)</f>
        <v>-40348.339999999997</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5372011.2800000003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-812140.91-395461.3-395461.3-395461.3-395461.3-494960.71</f>
        <v>-2888946.82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2483064.4600000004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496612.89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63595.44660000001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18"/>
  <sheetViews>
    <sheetView topLeftCell="A6" workbookViewId="0">
      <selection activeCell="D27" sqref="D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115</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3">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7</v>
      </c>
      <c r="D15" s="143">
        <v>0</v>
      </c>
      <c r="E15" s="116">
        <f t="shared" ref="E15:E29" si="1">IF(D$30=0,C15*2,C15+D15)</f>
        <v>14</v>
      </c>
      <c r="F15" s="624">
        <f>'1461'!F15:G15</f>
        <v>1.1220000000000001</v>
      </c>
      <c r="G15" s="624"/>
      <c r="H15" s="80">
        <f t="shared" ref="H15:H29" si="2">ROUND(E15*F15,4)</f>
        <v>15.708</v>
      </c>
      <c r="I15" s="101">
        <f t="shared" ref="I15:I29" si="3">ROUND(ROUND(ROUND(H15*$C$8,4)*($H$8),2)*(MAX($H$9,1)),2)</f>
        <v>84303.360000000001</v>
      </c>
      <c r="J15" s="65" t="str">
        <f>IF(ROUND(E15,2)=ROUND(SUM(E57:E59),2)," ","CHECK PK-3 LINES BELOW")</f>
        <v xml:space="preserve"> </v>
      </c>
      <c r="N15" s="564" t="s">
        <v>21</v>
      </c>
      <c r="O15" s="564"/>
      <c r="P15" s="603">
        <f t="shared" si="0"/>
        <v>14</v>
      </c>
      <c r="Q15" s="603"/>
      <c r="R15" s="608">
        <v>1</v>
      </c>
      <c r="S15" s="608"/>
      <c r="T15" s="95">
        <f t="shared" ref="T15:T29" si="4">ROUND(P15*R15,4)</f>
        <v>14</v>
      </c>
      <c r="U15" s="474">
        <f t="shared" ref="U15:U29" si="5">ROUND(ROUND(ROUND(T15*$C$8,4)*($H$8),2)*(MAX($H$9,1)),2)</f>
        <v>75136.679999999993</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9</v>
      </c>
      <c r="D17" s="143">
        <v>0</v>
      </c>
      <c r="E17" s="116">
        <f t="shared" si="1"/>
        <v>18</v>
      </c>
      <c r="F17" s="624">
        <f>'1461'!F17:G17</f>
        <v>1</v>
      </c>
      <c r="G17" s="624"/>
      <c r="H17" s="80">
        <f t="shared" si="2"/>
        <v>18</v>
      </c>
      <c r="I17" s="101">
        <f t="shared" si="3"/>
        <v>96604.31</v>
      </c>
      <c r="J17" s="65" t="str">
        <f>IF(ROUND(E17,2)=ROUND(SUM(E60:E62),2)," ","CHECK 4-8 LINES BELOW")</f>
        <v xml:space="preserve"> </v>
      </c>
      <c r="N17" s="564" t="s">
        <v>23</v>
      </c>
      <c r="O17" s="564"/>
      <c r="P17" s="603">
        <f t="shared" si="0"/>
        <v>18</v>
      </c>
      <c r="Q17" s="603"/>
      <c r="R17" s="608">
        <v>1</v>
      </c>
      <c r="S17" s="608"/>
      <c r="T17" s="95">
        <f t="shared" si="4"/>
        <v>18</v>
      </c>
      <c r="U17" s="474">
        <f t="shared" si="5"/>
        <v>96604.31</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23.5</v>
      </c>
      <c r="D19" s="143">
        <v>0</v>
      </c>
      <c r="E19" s="116">
        <f t="shared" si="1"/>
        <v>47</v>
      </c>
      <c r="F19" s="624">
        <f>'1461'!F19:G19</f>
        <v>0.98799999999999999</v>
      </c>
      <c r="G19" s="624"/>
      <c r="H19" s="80">
        <f t="shared" si="2"/>
        <v>46.436</v>
      </c>
      <c r="I19" s="101">
        <f t="shared" si="3"/>
        <v>249217.65</v>
      </c>
      <c r="J19" s="65" t="str">
        <f>IF(ROUND(E19,2)=ROUND(SUM(E63:E65),2)," ","CHECK 4-8 LINES BELOW")</f>
        <v xml:space="preserve"> </v>
      </c>
      <c r="N19" s="564" t="s">
        <v>25</v>
      </c>
      <c r="O19" s="564"/>
      <c r="P19" s="603">
        <f t="shared" si="0"/>
        <v>47</v>
      </c>
      <c r="Q19" s="603"/>
      <c r="R19" s="608">
        <v>1</v>
      </c>
      <c r="S19" s="608"/>
      <c r="T19" s="95">
        <f t="shared" si="4"/>
        <v>47</v>
      </c>
      <c r="U19" s="473">
        <f t="shared" si="5"/>
        <v>252244.59</v>
      </c>
    </row>
    <row r="20" spans="1:21" x14ac:dyDescent="0.25">
      <c r="A20" s="539" t="s">
        <v>79</v>
      </c>
      <c r="B20" s="539"/>
      <c r="C20" s="143">
        <v>47.5</v>
      </c>
      <c r="D20" s="143">
        <v>0</v>
      </c>
      <c r="E20" s="116">
        <f t="shared" si="1"/>
        <v>95</v>
      </c>
      <c r="F20" s="624">
        <f>'1461'!F20:G20</f>
        <v>3.706</v>
      </c>
      <c r="G20" s="624"/>
      <c r="H20" s="80">
        <f t="shared" si="2"/>
        <v>352.07</v>
      </c>
      <c r="I20" s="101">
        <f t="shared" si="3"/>
        <v>1889526.62</v>
      </c>
      <c r="N20" s="564" t="s">
        <v>79</v>
      </c>
      <c r="O20" s="564"/>
      <c r="P20" s="603">
        <f t="shared" si="0"/>
        <v>95</v>
      </c>
      <c r="Q20" s="603"/>
      <c r="R20" s="608">
        <v>1</v>
      </c>
      <c r="S20" s="608"/>
      <c r="T20" s="95">
        <f t="shared" si="4"/>
        <v>95</v>
      </c>
      <c r="U20" s="474">
        <f t="shared" si="5"/>
        <v>509856.08</v>
      </c>
    </row>
    <row r="21" spans="1:21" x14ac:dyDescent="0.25">
      <c r="A21" s="539" t="s">
        <v>80</v>
      </c>
      <c r="B21" s="539"/>
      <c r="C21" s="143">
        <v>36</v>
      </c>
      <c r="D21" s="143">
        <v>0</v>
      </c>
      <c r="E21" s="116">
        <f t="shared" si="1"/>
        <v>72</v>
      </c>
      <c r="F21" s="624">
        <f>'1461'!F21:G21</f>
        <v>3.706</v>
      </c>
      <c r="G21" s="624"/>
      <c r="H21" s="80">
        <f t="shared" si="2"/>
        <v>266.83199999999999</v>
      </c>
      <c r="I21" s="101">
        <f t="shared" si="3"/>
        <v>1432062.28</v>
      </c>
      <c r="N21" s="564" t="s">
        <v>80</v>
      </c>
      <c r="O21" s="564"/>
      <c r="P21" s="603">
        <f t="shared" si="0"/>
        <v>72</v>
      </c>
      <c r="Q21" s="603"/>
      <c r="R21" s="608">
        <v>1</v>
      </c>
      <c r="S21" s="608"/>
      <c r="T21" s="95">
        <f t="shared" si="4"/>
        <v>72</v>
      </c>
      <c r="U21" s="474">
        <f t="shared" si="5"/>
        <v>386417.24</v>
      </c>
    </row>
    <row r="22" spans="1:21" x14ac:dyDescent="0.25">
      <c r="A22" s="539" t="s">
        <v>81</v>
      </c>
      <c r="B22" s="539"/>
      <c r="C22" s="143">
        <v>31</v>
      </c>
      <c r="D22" s="143">
        <v>0</v>
      </c>
      <c r="E22" s="116">
        <f t="shared" si="1"/>
        <v>62</v>
      </c>
      <c r="F22" s="624">
        <f>'1461'!F22:G22</f>
        <v>3.706</v>
      </c>
      <c r="G22" s="624"/>
      <c r="H22" s="80">
        <f t="shared" si="2"/>
        <v>229.77199999999999</v>
      </c>
      <c r="I22" s="101">
        <f t="shared" si="3"/>
        <v>1233164.74</v>
      </c>
      <c r="N22" s="564" t="s">
        <v>81</v>
      </c>
      <c r="O22" s="564"/>
      <c r="P22" s="603">
        <f t="shared" si="0"/>
        <v>62</v>
      </c>
      <c r="Q22" s="603"/>
      <c r="R22" s="608">
        <v>1</v>
      </c>
      <c r="S22" s="608"/>
      <c r="T22" s="95">
        <f t="shared" si="4"/>
        <v>62</v>
      </c>
      <c r="U22" s="474">
        <f t="shared" si="5"/>
        <v>332748.18</v>
      </c>
    </row>
    <row r="23" spans="1:21" x14ac:dyDescent="0.25">
      <c r="A23" s="539" t="s">
        <v>82</v>
      </c>
      <c r="B23" s="539"/>
      <c r="C23" s="143">
        <v>3</v>
      </c>
      <c r="D23" s="143">
        <v>0</v>
      </c>
      <c r="E23" s="116">
        <f t="shared" si="1"/>
        <v>6</v>
      </c>
      <c r="F23" s="624">
        <f>'1461'!F23:G23</f>
        <v>5.7069999999999999</v>
      </c>
      <c r="G23" s="624"/>
      <c r="H23" s="80">
        <f t="shared" si="2"/>
        <v>34.241999999999997</v>
      </c>
      <c r="I23" s="101">
        <f t="shared" si="3"/>
        <v>183773.6</v>
      </c>
      <c r="N23" s="564" t="s">
        <v>82</v>
      </c>
      <c r="O23" s="564"/>
      <c r="P23" s="603">
        <f t="shared" si="0"/>
        <v>6</v>
      </c>
      <c r="Q23" s="603"/>
      <c r="R23" s="608">
        <v>1</v>
      </c>
      <c r="S23" s="608"/>
      <c r="T23" s="95">
        <f t="shared" si="4"/>
        <v>6</v>
      </c>
      <c r="U23" s="474">
        <f t="shared" si="5"/>
        <v>32201.439999999999</v>
      </c>
    </row>
    <row r="24" spans="1:21" x14ac:dyDescent="0.25">
      <c r="A24" s="539" t="s">
        <v>83</v>
      </c>
      <c r="B24" s="539"/>
      <c r="C24" s="143">
        <v>17.5</v>
      </c>
      <c r="D24" s="143">
        <v>0</v>
      </c>
      <c r="E24" s="116">
        <f t="shared" si="1"/>
        <v>35</v>
      </c>
      <c r="F24" s="624">
        <f>'1461'!F24:G24</f>
        <v>5.7069999999999999</v>
      </c>
      <c r="G24" s="624"/>
      <c r="H24" s="80">
        <f t="shared" si="2"/>
        <v>199.745</v>
      </c>
      <c r="I24" s="101">
        <f t="shared" si="3"/>
        <v>1072012.6499999999</v>
      </c>
      <c r="N24" s="564" t="s">
        <v>83</v>
      </c>
      <c r="O24" s="564"/>
      <c r="P24" s="603">
        <f t="shared" si="0"/>
        <v>35</v>
      </c>
      <c r="Q24" s="603"/>
      <c r="R24" s="608">
        <v>1</v>
      </c>
      <c r="S24" s="608"/>
      <c r="T24" s="95">
        <f t="shared" si="4"/>
        <v>35</v>
      </c>
      <c r="U24" s="474">
        <f t="shared" si="5"/>
        <v>187841.71</v>
      </c>
    </row>
    <row r="25" spans="1:21" x14ac:dyDescent="0.25">
      <c r="A25" s="539" t="s">
        <v>84</v>
      </c>
      <c r="B25" s="539"/>
      <c r="C25" s="143">
        <v>11</v>
      </c>
      <c r="D25" s="143">
        <v>0</v>
      </c>
      <c r="E25" s="116">
        <f t="shared" si="1"/>
        <v>22</v>
      </c>
      <c r="F25" s="624">
        <f>'1461'!F25:G25</f>
        <v>5.7069999999999999</v>
      </c>
      <c r="G25" s="624"/>
      <c r="H25" s="80">
        <f t="shared" si="2"/>
        <v>125.554</v>
      </c>
      <c r="I25" s="101">
        <f t="shared" si="3"/>
        <v>673836.52</v>
      </c>
      <c r="N25" s="564" t="s">
        <v>84</v>
      </c>
      <c r="O25" s="564"/>
      <c r="P25" s="603">
        <f t="shared" si="0"/>
        <v>22</v>
      </c>
      <c r="Q25" s="603"/>
      <c r="R25" s="608">
        <v>1</v>
      </c>
      <c r="S25" s="608"/>
      <c r="T25" s="95">
        <f t="shared" si="4"/>
        <v>22</v>
      </c>
      <c r="U25" s="474">
        <f t="shared" si="5"/>
        <v>118071.93</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185.5</v>
      </c>
      <c r="D30" s="94">
        <f>SUM(D14:D29)</f>
        <v>0</v>
      </c>
      <c r="E30" s="94">
        <f>SUM(E14:E29)</f>
        <v>371</v>
      </c>
      <c r="F30" s="543"/>
      <c r="G30" s="543"/>
      <c r="H30" s="99">
        <f>SUM(H14:H29)</f>
        <v>1288.3589999999999</v>
      </c>
      <c r="I30" s="94">
        <f>SUM(I14:I29)</f>
        <v>6914501.7299999986</v>
      </c>
      <c r="N30" s="605" t="s">
        <v>5</v>
      </c>
      <c r="O30" s="605"/>
      <c r="P30" s="606">
        <f>SUM(P14:P29)</f>
        <v>371</v>
      </c>
      <c r="Q30" s="606"/>
      <c r="R30" s="571"/>
      <c r="S30" s="571"/>
      <c r="T30" s="100">
        <f>SUM(T14:T29)</f>
        <v>371</v>
      </c>
      <c r="U30" s="474">
        <f>SUM(U14:U29)</f>
        <v>1991122.1599999997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1288.3589999999999</v>
      </c>
      <c r="F46" s="34"/>
      <c r="G46" s="106"/>
      <c r="H46" s="107" t="s">
        <v>98</v>
      </c>
      <c r="I46" s="94">
        <f>SUM(I44,I30)</f>
        <v>6914501.7299999986</v>
      </c>
      <c r="N46" s="562" t="s">
        <v>44</v>
      </c>
      <c r="O46" s="562"/>
      <c r="P46" s="562"/>
      <c r="Q46" s="562"/>
      <c r="R46" s="35">
        <f>R44+T30</f>
        <v>371</v>
      </c>
      <c r="S46" s="571" t="s">
        <v>42</v>
      </c>
      <c r="T46" s="571"/>
      <c r="U46" s="108">
        <f>SUM(U44,U30)</f>
        <v>1991122.1599999997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6914501.7299999986</v>
      </c>
      <c r="G51" s="109" t="s">
        <v>6</v>
      </c>
      <c r="H51" s="402">
        <v>4.5199999999999997E-2</v>
      </c>
      <c r="I51" s="101">
        <f>ROUND(F51*H51,2)</f>
        <v>312535.48</v>
      </c>
      <c r="N51" s="407"/>
      <c r="O51" s="408" t="s">
        <v>395</v>
      </c>
      <c r="P51" s="28"/>
      <c r="Q51" s="44" t="s">
        <v>396</v>
      </c>
      <c r="R51" s="409">
        <f>U30</f>
        <v>1991122.1599999997</v>
      </c>
      <c r="S51" s="410" t="s">
        <v>6</v>
      </c>
      <c r="T51" s="411">
        <v>4.5199999999999997E-2</v>
      </c>
      <c r="U51" s="403">
        <f>ROUND(R51*T51,2)</f>
        <v>89998.720000000001</v>
      </c>
    </row>
    <row r="52" spans="1:22" x14ac:dyDescent="0.25">
      <c r="A52" s="26"/>
      <c r="B52" s="81" t="s">
        <v>397</v>
      </c>
      <c r="C52" s="26"/>
      <c r="D52" s="26"/>
      <c r="E52" s="43" t="s">
        <v>396</v>
      </c>
      <c r="F52" s="401">
        <f>I46</f>
        <v>6914501.7299999986</v>
      </c>
      <c r="G52" s="109" t="s">
        <v>6</v>
      </c>
      <c r="H52" s="402">
        <v>1.41E-2</v>
      </c>
      <c r="I52" s="101">
        <f>ROUND(F52*H52,2)</f>
        <v>97494.47</v>
      </c>
      <c r="N52" s="28"/>
      <c r="O52" s="384" t="s">
        <v>397</v>
      </c>
      <c r="P52" s="28"/>
      <c r="Q52" s="44" t="s">
        <v>396</v>
      </c>
      <c r="R52" s="409">
        <f>U30</f>
        <v>1991122.1599999997</v>
      </c>
      <c r="S52" s="410" t="s">
        <v>6</v>
      </c>
      <c r="T52" s="411">
        <v>1.41E-2</v>
      </c>
      <c r="U52" s="412">
        <f>ROUND(R52*T52,2)</f>
        <v>28074.82</v>
      </c>
    </row>
    <row r="53" spans="1:22" x14ac:dyDescent="0.25">
      <c r="A53" s="26"/>
      <c r="B53" s="81" t="s">
        <v>398</v>
      </c>
      <c r="C53" s="26"/>
      <c r="D53" s="26"/>
      <c r="E53" s="43"/>
      <c r="F53" s="401"/>
      <c r="G53" s="109"/>
      <c r="H53" s="402"/>
      <c r="I53" s="97">
        <f>SUM(I51:I52)</f>
        <v>410029.94999999995</v>
      </c>
      <c r="N53" s="28"/>
      <c r="O53" s="384" t="s">
        <v>398</v>
      </c>
      <c r="P53" s="28"/>
      <c r="Q53" s="44"/>
      <c r="R53" s="409"/>
      <c r="S53" s="410"/>
      <c r="T53" s="411"/>
      <c r="U53" s="403">
        <f>SUM(U51:U52)</f>
        <v>118073.54000000001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7</v>
      </c>
      <c r="D59" s="143">
        <v>0</v>
      </c>
      <c r="E59" s="116">
        <f t="shared" si="10"/>
        <v>14</v>
      </c>
      <c r="F59" s="444" t="s">
        <v>435</v>
      </c>
      <c r="G59" s="444">
        <v>253</v>
      </c>
      <c r="H59" s="458">
        <f>'1461'!H59</f>
        <v>6896</v>
      </c>
      <c r="I59" s="101">
        <f t="shared" si="11"/>
        <v>96544</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9</v>
      </c>
      <c r="D62" s="143">
        <v>0</v>
      </c>
      <c r="E62" s="116">
        <f t="shared" si="10"/>
        <v>18</v>
      </c>
      <c r="F62" s="445" t="s">
        <v>13</v>
      </c>
      <c r="G62" s="444">
        <v>253</v>
      </c>
      <c r="H62" s="458">
        <f>'1461'!H62</f>
        <v>7023</v>
      </c>
      <c r="I62" s="101">
        <f t="shared" si="11"/>
        <v>126414</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1.5</v>
      </c>
      <c r="D64" s="143">
        <v>0</v>
      </c>
      <c r="E64" s="116">
        <f t="shared" si="10"/>
        <v>3</v>
      </c>
      <c r="F64" s="445" t="s">
        <v>14</v>
      </c>
      <c r="G64" s="444">
        <v>252</v>
      </c>
      <c r="H64" s="458">
        <f>'1461'!H64</f>
        <v>3168</v>
      </c>
      <c r="I64" s="101">
        <f t="shared" si="11"/>
        <v>9504</v>
      </c>
      <c r="N64" s="573"/>
      <c r="O64" s="573"/>
      <c r="P64" s="576"/>
      <c r="Q64" s="576"/>
      <c r="R64" s="40" t="s">
        <v>14</v>
      </c>
      <c r="S64" s="450">
        <v>252</v>
      </c>
      <c r="T64" s="461">
        <f t="shared" si="12"/>
        <v>3168</v>
      </c>
      <c r="U64" s="475">
        <f t="shared" si="13"/>
        <v>0</v>
      </c>
      <c r="V64" s="425"/>
    </row>
    <row r="65" spans="1:22" ht="16.5" thickBot="1" x14ac:dyDescent="0.3">
      <c r="A65" s="550"/>
      <c r="B65" s="550"/>
      <c r="C65" s="143">
        <v>22</v>
      </c>
      <c r="D65" s="143">
        <v>0</v>
      </c>
      <c r="E65" s="116">
        <f t="shared" si="10"/>
        <v>44</v>
      </c>
      <c r="F65" s="445" t="s">
        <v>14</v>
      </c>
      <c r="G65" s="444">
        <v>253</v>
      </c>
      <c r="H65" s="458">
        <f>'1461'!H65</f>
        <v>6685</v>
      </c>
      <c r="I65" s="101">
        <f t="shared" si="11"/>
        <v>294140</v>
      </c>
      <c r="N65" s="573"/>
      <c r="O65" s="573"/>
      <c r="P65" s="577"/>
      <c r="Q65" s="577"/>
      <c r="R65" s="40" t="s">
        <v>14</v>
      </c>
      <c r="S65" s="450">
        <v>253</v>
      </c>
      <c r="T65" s="461">
        <f t="shared" si="12"/>
        <v>6685</v>
      </c>
      <c r="U65" s="476">
        <f t="shared" si="13"/>
        <v>0</v>
      </c>
      <c r="V65" s="425"/>
    </row>
    <row r="66" spans="1:22" ht="16.5" thickBot="1" x14ac:dyDescent="0.3">
      <c r="A66" s="441"/>
      <c r="C66" s="97">
        <f>SUM(C57:C65)</f>
        <v>39.5</v>
      </c>
      <c r="D66" s="97">
        <f>SUM(D57:D65)</f>
        <v>0</v>
      </c>
      <c r="E66" s="97">
        <f>SUM(E57:E65)</f>
        <v>79</v>
      </c>
      <c r="F66" s="551" t="s">
        <v>444</v>
      </c>
      <c r="G66" s="551"/>
      <c r="H66" s="551"/>
      <c r="I66" s="97">
        <f>SUM(I57:I65)</f>
        <v>526602</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371</v>
      </c>
      <c r="D69" s="526" t="s">
        <v>410</v>
      </c>
      <c r="E69" s="526"/>
      <c r="F69" s="526"/>
      <c r="G69" s="526"/>
      <c r="H69" s="301">
        <f>'1461'!H69</f>
        <v>203305.63</v>
      </c>
      <c r="I69" s="113"/>
      <c r="N69" s="566" t="s">
        <v>403</v>
      </c>
      <c r="O69" s="564"/>
      <c r="P69" s="41">
        <f>P30</f>
        <v>371</v>
      </c>
      <c r="Q69" s="567" t="s">
        <v>405</v>
      </c>
      <c r="R69" s="568"/>
      <c r="S69" s="568"/>
      <c r="T69" s="563">
        <f>H69</f>
        <v>203305.63</v>
      </c>
      <c r="U69" s="563"/>
    </row>
    <row r="70" spans="1:22" x14ac:dyDescent="0.25">
      <c r="B70" s="69"/>
      <c r="G70" s="42" t="s">
        <v>12</v>
      </c>
      <c r="H70" s="114">
        <f>ROUND(C69/H69,6)</f>
        <v>1.825E-3</v>
      </c>
      <c r="I70" s="115"/>
      <c r="N70" s="564"/>
      <c r="O70" s="564"/>
      <c r="P70" s="564"/>
      <c r="Q70" s="564"/>
      <c r="R70" s="564"/>
      <c r="S70" s="564"/>
      <c r="T70" s="565">
        <f>ROUND(P69/T69,6)</f>
        <v>1.825E-3</v>
      </c>
      <c r="U70" s="565"/>
    </row>
    <row r="71" spans="1:22" x14ac:dyDescent="0.25">
      <c r="A71" s="443" t="s">
        <v>447</v>
      </c>
      <c r="N71" s="454" t="s">
        <v>455</v>
      </c>
      <c r="O71" s="51"/>
      <c r="P71" s="51"/>
      <c r="Q71" s="51"/>
      <c r="R71" s="51"/>
      <c r="S71" s="51"/>
      <c r="T71" s="51"/>
      <c r="U71" s="51"/>
    </row>
    <row r="72" spans="1:22" x14ac:dyDescent="0.25">
      <c r="A72" s="545" t="s">
        <v>400</v>
      </c>
      <c r="B72" s="539"/>
      <c r="C72" s="112">
        <f>H30</f>
        <v>1288.3589999999999</v>
      </c>
      <c r="D72" s="526" t="s">
        <v>411</v>
      </c>
      <c r="E72" s="526"/>
      <c r="F72" s="526"/>
      <c r="G72" s="526"/>
      <c r="H72" s="302">
        <f>'1461'!H72</f>
        <v>227540.36</v>
      </c>
      <c r="I72" s="116"/>
      <c r="N72" s="566" t="s">
        <v>404</v>
      </c>
      <c r="O72" s="564"/>
      <c r="P72" s="41">
        <f>T30</f>
        <v>371</v>
      </c>
      <c r="Q72" s="567" t="s">
        <v>406</v>
      </c>
      <c r="R72" s="568"/>
      <c r="S72" s="568"/>
      <c r="T72" s="563">
        <f>H72</f>
        <v>227540.36</v>
      </c>
      <c r="U72" s="563"/>
    </row>
    <row r="73" spans="1:22" x14ac:dyDescent="0.25">
      <c r="G73" s="42" t="s">
        <v>12</v>
      </c>
      <c r="H73" s="114">
        <f>ROUND(C72/H72,6)</f>
        <v>5.6620000000000004E-3</v>
      </c>
      <c r="I73" s="114"/>
      <c r="N73" s="564"/>
      <c r="O73" s="564"/>
      <c r="P73" s="564"/>
      <c r="Q73" s="564"/>
      <c r="R73" s="564"/>
      <c r="S73" s="564"/>
      <c r="T73" s="565">
        <f>ROUND(P72/T72,6)</f>
        <v>1.6299999999999999E-3</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371</v>
      </c>
      <c r="D75" s="518" t="s">
        <v>412</v>
      </c>
      <c r="E75" s="518"/>
      <c r="F75" s="518"/>
      <c r="G75" s="518"/>
      <c r="H75" s="301">
        <f>'1461'!H75</f>
        <v>186907.73</v>
      </c>
      <c r="I75" s="113"/>
      <c r="N75" s="566" t="s">
        <v>402</v>
      </c>
      <c r="O75" s="564"/>
      <c r="P75" s="41">
        <f>P30</f>
        <v>371</v>
      </c>
      <c r="Q75" s="597" t="s">
        <v>407</v>
      </c>
      <c r="R75" s="598"/>
      <c r="S75" s="598"/>
      <c r="T75" s="563">
        <f>H75</f>
        <v>186907.73</v>
      </c>
      <c r="U75" s="563"/>
    </row>
    <row r="76" spans="1:22" x14ac:dyDescent="0.25">
      <c r="B76" s="69"/>
      <c r="G76" s="42" t="s">
        <v>12</v>
      </c>
      <c r="H76" s="114">
        <f>ROUND(C75/H75,6)</f>
        <v>1.9849999999999998E-3</v>
      </c>
      <c r="I76" s="115"/>
      <c r="N76" s="564"/>
      <c r="O76" s="564"/>
      <c r="P76" s="564"/>
      <c r="Q76" s="564"/>
      <c r="R76" s="564"/>
      <c r="S76" s="564"/>
      <c r="T76" s="565">
        <f>ROUND(P75/T75,6)</f>
        <v>1.9849999999999998E-3</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371</v>
      </c>
      <c r="D78" s="546" t="s">
        <v>413</v>
      </c>
      <c r="E78" s="546"/>
      <c r="F78" s="546"/>
      <c r="G78" s="546"/>
      <c r="H78" s="301">
        <f>'1461'!H78</f>
        <v>203080.55</v>
      </c>
      <c r="I78" s="113"/>
      <c r="N78" s="566" t="s">
        <v>402</v>
      </c>
      <c r="O78" s="564"/>
      <c r="P78" s="41">
        <f>P30</f>
        <v>371</v>
      </c>
      <c r="Q78" s="595" t="s">
        <v>408</v>
      </c>
      <c r="R78" s="596"/>
      <c r="S78" s="596"/>
      <c r="T78" s="563">
        <f>H78</f>
        <v>203080.55</v>
      </c>
      <c r="U78" s="563"/>
    </row>
    <row r="79" spans="1:22" x14ac:dyDescent="0.25">
      <c r="B79" s="69"/>
      <c r="G79" s="42" t="s">
        <v>12</v>
      </c>
      <c r="H79" s="114">
        <f>ROUND(C78/H78,6)</f>
        <v>1.8270000000000001E-3</v>
      </c>
      <c r="I79" s="115"/>
      <c r="N79" s="564"/>
      <c r="O79" s="564"/>
      <c r="P79" s="564"/>
      <c r="Q79" s="564"/>
      <c r="R79" s="564"/>
      <c r="S79" s="564"/>
      <c r="T79" s="565">
        <f>ROUND(P78/T78,6)</f>
        <v>1.8270000000000001E-3</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371</v>
      </c>
      <c r="D81" s="518" t="s">
        <v>414</v>
      </c>
      <c r="E81" s="518"/>
      <c r="F81" s="518"/>
      <c r="G81" s="518"/>
      <c r="H81" s="301">
        <f>'1461'!H81</f>
        <v>186682.65</v>
      </c>
      <c r="I81" s="113"/>
      <c r="N81" s="566" t="s">
        <v>415</v>
      </c>
      <c r="O81" s="564"/>
      <c r="P81" s="41">
        <f>P30</f>
        <v>371</v>
      </c>
      <c r="Q81" s="597" t="s">
        <v>416</v>
      </c>
      <c r="R81" s="598"/>
      <c r="S81" s="598"/>
      <c r="T81" s="563">
        <f>H81</f>
        <v>186682.65</v>
      </c>
      <c r="U81" s="563"/>
    </row>
    <row r="82" spans="1:21" x14ac:dyDescent="0.25">
      <c r="B82" s="69"/>
      <c r="G82" s="42" t="s">
        <v>12</v>
      </c>
      <c r="H82" s="114">
        <f>ROUND(C81/H81,6)</f>
        <v>1.9870000000000001E-3</v>
      </c>
      <c r="I82" s="115"/>
      <c r="N82" s="564"/>
      <c r="O82" s="564"/>
      <c r="P82" s="564"/>
      <c r="Q82" s="564"/>
      <c r="R82" s="564"/>
      <c r="S82" s="564"/>
      <c r="T82" s="565">
        <f>ROUND(P81/T81,6)</f>
        <v>1.9870000000000001E-3</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1.8270000000000001E-3</v>
      </c>
      <c r="I85" s="101">
        <f>ROUND(F85*H85,2)</f>
        <v>81603.929999999993</v>
      </c>
      <c r="N85" s="454" t="s">
        <v>451</v>
      </c>
      <c r="O85" s="51"/>
      <c r="P85" s="51"/>
      <c r="Q85" s="44"/>
      <c r="R85" s="420">
        <f>F85</f>
        <v>44665536</v>
      </c>
      <c r="S85" s="38" t="s">
        <v>6</v>
      </c>
      <c r="T85" s="422">
        <f>T79</f>
        <v>1.8270000000000001E-3</v>
      </c>
      <c r="U85" s="474">
        <f>ROUND(R85*T85,2)</f>
        <v>81603.929999999993</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1.825E-3</v>
      </c>
      <c r="I88" s="101">
        <f>ROUND(F88*H88,2)</f>
        <v>0</v>
      </c>
      <c r="N88" s="599" t="s">
        <v>99</v>
      </c>
      <c r="O88" s="564"/>
      <c r="P88" s="564"/>
      <c r="Q88" s="44"/>
      <c r="R88" s="420">
        <f>F88</f>
        <v>0</v>
      </c>
      <c r="S88" s="38" t="s">
        <v>6</v>
      </c>
      <c r="T88" s="422">
        <f>T70</f>
        <v>1.825E-3</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1.9870000000000001E-3</v>
      </c>
      <c r="I90" s="101">
        <f>ROUND(F90*H90,2)</f>
        <v>32123.93</v>
      </c>
      <c r="N90" s="454" t="s">
        <v>452</v>
      </c>
      <c r="O90" s="51"/>
      <c r="P90" s="51"/>
      <c r="Q90" s="44"/>
      <c r="R90" s="420">
        <f>F90</f>
        <v>16167052</v>
      </c>
      <c r="S90" s="38" t="s">
        <v>6</v>
      </c>
      <c r="T90" s="422">
        <f>T82</f>
        <v>1.9870000000000001E-3</v>
      </c>
      <c r="U90" s="474">
        <f>ROUND(R90*T90,2)</f>
        <v>32123.93</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1.9849999999999998E-3</v>
      </c>
      <c r="I92" s="101">
        <f t="shared" ref="I92:I96" si="14">ROUND(F92*H92,2)</f>
        <v>19929.599999999999</v>
      </c>
      <c r="N92" s="454" t="s">
        <v>453</v>
      </c>
      <c r="O92" s="51"/>
      <c r="P92" s="51"/>
      <c r="Q92" s="44"/>
      <c r="R92" s="420">
        <f t="shared" ref="R92:R96" si="15">F92</f>
        <v>10040099</v>
      </c>
      <c r="S92" s="38" t="s">
        <v>6</v>
      </c>
      <c r="T92" s="422">
        <f>T76</f>
        <v>1.9849999999999998E-3</v>
      </c>
      <c r="U92" s="474">
        <f>ROUND(R92*T92,2)</f>
        <v>19929.599999999999</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5.6620000000000004E-3</v>
      </c>
      <c r="I94" s="101">
        <f t="shared" si="14"/>
        <v>1353204.83</v>
      </c>
      <c r="N94" s="564" t="s">
        <v>418</v>
      </c>
      <c r="O94" s="564"/>
      <c r="P94" s="564"/>
      <c r="Q94" s="44"/>
      <c r="R94" s="420">
        <f t="shared" si="15"/>
        <v>238997674</v>
      </c>
      <c r="S94" s="38" t="s">
        <v>6</v>
      </c>
      <c r="T94" s="422">
        <f>T73</f>
        <v>1.6299999999999999E-3</v>
      </c>
      <c r="U94" s="474">
        <f>ROUND(R94*T94,2)</f>
        <v>389566.21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5.6620000000000004E-3</v>
      </c>
      <c r="I96" s="101">
        <f t="shared" si="14"/>
        <v>-9059.4699999999993</v>
      </c>
      <c r="N96" s="566" t="s">
        <v>419</v>
      </c>
      <c r="O96" s="564"/>
      <c r="P96" s="564"/>
      <c r="Q96" s="44"/>
      <c r="R96" s="420">
        <f t="shared" si="15"/>
        <v>-1600047</v>
      </c>
      <c r="S96" s="38" t="s">
        <v>6</v>
      </c>
      <c r="T96" s="422">
        <f>T73</f>
        <v>1.6299999999999999E-3</v>
      </c>
      <c r="U96" s="474">
        <f>ROUND(R96*T96,2)</f>
        <v>-2608.08</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402.02000000000004</v>
      </c>
      <c r="D101" s="557"/>
      <c r="E101" s="46">
        <f>H8</f>
        <v>1.0442</v>
      </c>
      <c r="F101" s="304">
        <f>'1461'!F101</f>
        <v>947.59</v>
      </c>
      <c r="G101" s="39" t="s">
        <v>12</v>
      </c>
      <c r="H101" s="101">
        <f>ROUND(C101*E101*F101,2)</f>
        <v>397788.13</v>
      </c>
      <c r="I101" s="104"/>
      <c r="N101" s="28" t="s">
        <v>17</v>
      </c>
      <c r="O101" s="47">
        <f>T14+T15+T20+T23+T26</f>
        <v>115</v>
      </c>
      <c r="P101" s="587">
        <f>T8</f>
        <v>1.0442</v>
      </c>
      <c r="Q101" s="587"/>
      <c r="R101" s="48">
        <f>F101</f>
        <v>947.59</v>
      </c>
      <c r="S101" s="40" t="s">
        <v>12</v>
      </c>
      <c r="T101" s="480">
        <f>ROUND(O101*P101*R101,2)</f>
        <v>113789.45</v>
      </c>
      <c r="U101" s="102"/>
    </row>
    <row r="102" spans="1:21" x14ac:dyDescent="0.25">
      <c r="A102" s="49"/>
      <c r="B102" s="49" t="s">
        <v>104</v>
      </c>
      <c r="C102" s="557">
        <f>H16+H17+H21+H24+H27</f>
        <v>484.577</v>
      </c>
      <c r="D102" s="557"/>
      <c r="E102" s="46">
        <f>H8</f>
        <v>1.0442</v>
      </c>
      <c r="F102" s="304">
        <f>'1461'!F102</f>
        <v>904.74</v>
      </c>
      <c r="G102" s="39" t="s">
        <v>12</v>
      </c>
      <c r="H102" s="101">
        <f>ROUND(C102*E102*F102,2)</f>
        <v>457794.19</v>
      </c>
      <c r="N102" s="50" t="s">
        <v>13</v>
      </c>
      <c r="O102" s="47">
        <f>T16+T17+T21+T24+T27</f>
        <v>125</v>
      </c>
      <c r="P102" s="587">
        <f>T8</f>
        <v>1.0442</v>
      </c>
      <c r="Q102" s="587"/>
      <c r="R102" s="48">
        <f>F102</f>
        <v>904.74</v>
      </c>
      <c r="S102" s="40" t="s">
        <v>12</v>
      </c>
      <c r="T102" s="480">
        <f>ROUND(O102*P102*R102,2)</f>
        <v>118091.19</v>
      </c>
      <c r="U102" s="51"/>
    </row>
    <row r="103" spans="1:21" ht="16.5" thickBot="1" x14ac:dyDescent="0.3">
      <c r="A103" s="52"/>
      <c r="B103" s="52" t="s">
        <v>103</v>
      </c>
      <c r="C103" s="557">
        <f>H18+H19+H22+H25+H28+H29</f>
        <v>401.76199999999994</v>
      </c>
      <c r="D103" s="557"/>
      <c r="E103" s="46">
        <f>H8</f>
        <v>1.0442</v>
      </c>
      <c r="F103" s="304">
        <f>'1461'!F103</f>
        <v>906.93</v>
      </c>
      <c r="G103" s="39" t="s">
        <v>12</v>
      </c>
      <c r="H103" s="94">
        <f>ROUND(C103*E103*F103,2)</f>
        <v>380475.17</v>
      </c>
      <c r="N103" s="53" t="s">
        <v>14</v>
      </c>
      <c r="O103" s="54">
        <f>T18+T19+T22+T25+T28+T29</f>
        <v>131</v>
      </c>
      <c r="P103" s="587">
        <f>T8</f>
        <v>1.0442</v>
      </c>
      <c r="Q103" s="587"/>
      <c r="R103" s="48">
        <f>F103</f>
        <v>906.93</v>
      </c>
      <c r="S103" s="40" t="s">
        <v>12</v>
      </c>
      <c r="T103" s="480">
        <f>ROUND(O103*P103*R103,2)</f>
        <v>124059.14</v>
      </c>
      <c r="U103" s="51"/>
    </row>
    <row r="104" spans="1:21" ht="16.5" thickBot="1" x14ac:dyDescent="0.3">
      <c r="A104" s="55"/>
      <c r="B104" s="122" t="s">
        <v>102</v>
      </c>
      <c r="C104" s="547">
        <f>SUM(C101:C103)</f>
        <v>1288.3589999999999</v>
      </c>
      <c r="D104" s="547"/>
      <c r="E104" s="123"/>
      <c r="F104" s="123"/>
      <c r="G104" s="123"/>
      <c r="H104" s="124" t="s">
        <v>100</v>
      </c>
      <c r="I104" s="101">
        <f>IF(A1=75,0,H103+H102+H101)</f>
        <v>1236057.49</v>
      </c>
      <c r="N104" s="56" t="s">
        <v>89</v>
      </c>
      <c r="O104" s="57">
        <f>SUM(O101:O103)</f>
        <v>371</v>
      </c>
      <c r="P104" s="588" t="s">
        <v>16</v>
      </c>
      <c r="Q104" s="589"/>
      <c r="R104" s="589"/>
      <c r="S104" s="589"/>
      <c r="T104" s="589"/>
      <c r="U104" s="474">
        <f>IF(N1=75,0,T103+T102+T101)</f>
        <v>355939.78</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10154964.039999997</v>
      </c>
      <c r="N125" s="454"/>
      <c r="O125" s="453"/>
      <c r="P125" s="453"/>
      <c r="Q125" s="307"/>
      <c r="R125" s="307"/>
      <c r="S125" s="307"/>
      <c r="T125" s="307"/>
      <c r="U125" s="481">
        <f>SUM(U30,U85,U88,U90,U92,U94,U96,U104,U110,U111,U121,U123)</f>
        <v>2867677.5299999993</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9744934.089999998</v>
      </c>
      <c r="N127" s="562" t="s">
        <v>33</v>
      </c>
      <c r="O127" s="562"/>
      <c r="P127" s="562"/>
      <c r="Q127" s="562"/>
      <c r="R127" s="562"/>
      <c r="S127" s="562"/>
      <c r="T127" s="562"/>
      <c r="U127" s="472">
        <f>U125-U53</f>
        <v>2749603.9899999993</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2749603.9899999993</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2749603.9899999993</v>
      </c>
      <c r="I132" s="94">
        <f>ROUND(IF(E30=0,0,IF(E30&gt;250,-(((250/E30)*H132)*IF(G132="H",0.02,0.05)),IF(G132="H",-0.02*H132,-0.05*H132))),2)</f>
        <v>-92641.64</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10062322.399999997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-1787937.49-892448.71-892448.71-892448.72-892448.71-784923.73</f>
        <v>-6142656.0700000003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3919666.3299999963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783933.27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44838.559499999959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18"/>
  <sheetViews>
    <sheetView topLeftCell="A12" workbookViewId="0">
      <selection activeCell="E29" sqref="E2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321</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3.5</v>
      </c>
      <c r="D19" s="143">
        <v>0</v>
      </c>
      <c r="E19" s="116">
        <f t="shared" si="1"/>
        <v>7</v>
      </c>
      <c r="F19" s="624">
        <f>'1461'!F19:G19</f>
        <v>0.98799999999999999</v>
      </c>
      <c r="G19" s="624"/>
      <c r="H19" s="80">
        <f t="shared" si="2"/>
        <v>6.9160000000000004</v>
      </c>
      <c r="I19" s="101">
        <f t="shared" si="3"/>
        <v>37117.519999999997</v>
      </c>
      <c r="J19" s="65" t="str">
        <f>IF(ROUND(E19,2)=ROUND(SUM(E63:E65),2)," ","CHECK 4-8 LINES BELOW")</f>
        <v xml:space="preserve"> </v>
      </c>
      <c r="N19" s="564" t="s">
        <v>25</v>
      </c>
      <c r="O19" s="564"/>
      <c r="P19" s="603">
        <f t="shared" si="0"/>
        <v>7</v>
      </c>
      <c r="Q19" s="603"/>
      <c r="R19" s="608">
        <v>1</v>
      </c>
      <c r="S19" s="608"/>
      <c r="T19" s="95">
        <f t="shared" si="4"/>
        <v>7</v>
      </c>
      <c r="U19" s="473">
        <f t="shared" si="5"/>
        <v>37568.339999999997</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25</v>
      </c>
      <c r="D22" s="143">
        <v>0</v>
      </c>
      <c r="E22" s="116">
        <f t="shared" si="1"/>
        <v>50</v>
      </c>
      <c r="F22" s="624">
        <f>'1461'!F22:G22</f>
        <v>3.706</v>
      </c>
      <c r="G22" s="624"/>
      <c r="H22" s="80">
        <f t="shared" si="2"/>
        <v>185.3</v>
      </c>
      <c r="I22" s="101">
        <f t="shared" si="3"/>
        <v>994487.69</v>
      </c>
      <c r="N22" s="564" t="s">
        <v>81</v>
      </c>
      <c r="O22" s="564"/>
      <c r="P22" s="603">
        <f t="shared" si="0"/>
        <v>50</v>
      </c>
      <c r="Q22" s="603"/>
      <c r="R22" s="608">
        <v>1</v>
      </c>
      <c r="S22" s="608"/>
      <c r="T22" s="95">
        <f t="shared" si="4"/>
        <v>50</v>
      </c>
      <c r="U22" s="474">
        <f t="shared" si="5"/>
        <v>268345.3</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33</v>
      </c>
      <c r="D25" s="143">
        <v>0</v>
      </c>
      <c r="E25" s="116">
        <f t="shared" si="1"/>
        <v>66</v>
      </c>
      <c r="F25" s="624">
        <f>'1461'!F25:G25</f>
        <v>5.7069999999999999</v>
      </c>
      <c r="G25" s="624"/>
      <c r="H25" s="80">
        <f t="shared" si="2"/>
        <v>376.66199999999998</v>
      </c>
      <c r="I25" s="101">
        <f t="shared" si="3"/>
        <v>2021509.57</v>
      </c>
      <c r="N25" s="564" t="s">
        <v>84</v>
      </c>
      <c r="O25" s="564"/>
      <c r="P25" s="603">
        <f t="shared" si="0"/>
        <v>66</v>
      </c>
      <c r="Q25" s="603"/>
      <c r="R25" s="608">
        <v>1</v>
      </c>
      <c r="S25" s="608"/>
      <c r="T25" s="95">
        <f t="shared" si="4"/>
        <v>66</v>
      </c>
      <c r="U25" s="474">
        <f t="shared" si="5"/>
        <v>354215.8</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61.5</v>
      </c>
      <c r="D30" s="94">
        <f>SUM(D14:D29)</f>
        <v>0</v>
      </c>
      <c r="E30" s="94">
        <f>SUM(E14:E29)</f>
        <v>123</v>
      </c>
      <c r="F30" s="543"/>
      <c r="G30" s="543"/>
      <c r="H30" s="99">
        <f>SUM(H14:H29)</f>
        <v>568.87799999999993</v>
      </c>
      <c r="I30" s="94">
        <f>SUM(I14:I29)</f>
        <v>3053114.7800000003</v>
      </c>
      <c r="N30" s="605" t="s">
        <v>5</v>
      </c>
      <c r="O30" s="605"/>
      <c r="P30" s="606">
        <f>SUM(P14:P29)</f>
        <v>123</v>
      </c>
      <c r="Q30" s="606"/>
      <c r="R30" s="571"/>
      <c r="S30" s="571"/>
      <c r="T30" s="100">
        <f>SUM(T14:T29)</f>
        <v>123</v>
      </c>
      <c r="U30" s="474">
        <f>SUM(U14:U29)</f>
        <v>660129.43999999994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568.87799999999993</v>
      </c>
      <c r="F46" s="34"/>
      <c r="G46" s="106"/>
      <c r="H46" s="107" t="s">
        <v>98</v>
      </c>
      <c r="I46" s="94">
        <f>SUM(I44,I30)</f>
        <v>3053114.7800000003</v>
      </c>
      <c r="N46" s="562" t="s">
        <v>44</v>
      </c>
      <c r="O46" s="562"/>
      <c r="P46" s="562"/>
      <c r="Q46" s="562"/>
      <c r="R46" s="35">
        <f>R44+T30</f>
        <v>123</v>
      </c>
      <c r="S46" s="571" t="s">
        <v>42</v>
      </c>
      <c r="T46" s="571"/>
      <c r="U46" s="108">
        <f>SUM(U44,U30)</f>
        <v>660129.43999999994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3053114.7800000003</v>
      </c>
      <c r="G51" s="109" t="s">
        <v>6</v>
      </c>
      <c r="H51" s="402">
        <v>4.5199999999999997E-2</v>
      </c>
      <c r="I51" s="101">
        <f>ROUND(F51*H51,2)</f>
        <v>138000.79</v>
      </c>
      <c r="N51" s="407"/>
      <c r="O51" s="408" t="s">
        <v>395</v>
      </c>
      <c r="P51" s="28"/>
      <c r="Q51" s="44" t="s">
        <v>396</v>
      </c>
      <c r="R51" s="409">
        <f>U30</f>
        <v>660129.43999999994</v>
      </c>
      <c r="S51" s="410" t="s">
        <v>6</v>
      </c>
      <c r="T51" s="411">
        <v>4.5199999999999997E-2</v>
      </c>
      <c r="U51" s="403">
        <f>ROUND(R51*T51,2)</f>
        <v>29837.85</v>
      </c>
    </row>
    <row r="52" spans="1:22" x14ac:dyDescent="0.25">
      <c r="A52" s="26"/>
      <c r="B52" s="81" t="s">
        <v>397</v>
      </c>
      <c r="C52" s="26"/>
      <c r="D52" s="26"/>
      <c r="E52" s="43" t="s">
        <v>396</v>
      </c>
      <c r="F52" s="401">
        <f>I46</f>
        <v>3053114.7800000003</v>
      </c>
      <c r="G52" s="109" t="s">
        <v>6</v>
      </c>
      <c r="H52" s="402">
        <v>1.41E-2</v>
      </c>
      <c r="I52" s="101">
        <f>ROUND(F52*H52,2)</f>
        <v>43048.92</v>
      </c>
      <c r="N52" s="28"/>
      <c r="O52" s="384" t="s">
        <v>397</v>
      </c>
      <c r="P52" s="28"/>
      <c r="Q52" s="44" t="s">
        <v>396</v>
      </c>
      <c r="R52" s="409">
        <f>U30</f>
        <v>660129.43999999994</v>
      </c>
      <c r="S52" s="410" t="s">
        <v>6</v>
      </c>
      <c r="T52" s="411">
        <v>1.41E-2</v>
      </c>
      <c r="U52" s="412">
        <f>ROUND(R52*T52,2)</f>
        <v>9307.83</v>
      </c>
    </row>
    <row r="53" spans="1:22" x14ac:dyDescent="0.25">
      <c r="A53" s="26"/>
      <c r="B53" s="81" t="s">
        <v>398</v>
      </c>
      <c r="C53" s="26"/>
      <c r="D53" s="26"/>
      <c r="E53" s="43"/>
      <c r="F53" s="401"/>
      <c r="G53" s="109"/>
      <c r="H53" s="402"/>
      <c r="I53" s="97">
        <f>SUM(I51:I52)</f>
        <v>181049.71000000002</v>
      </c>
      <c r="N53" s="28"/>
      <c r="O53" s="384" t="s">
        <v>398</v>
      </c>
      <c r="P53" s="28"/>
      <c r="Q53" s="44"/>
      <c r="R53" s="409"/>
      <c r="S53" s="410"/>
      <c r="T53" s="411"/>
      <c r="U53" s="403">
        <f>SUM(U51:U52)</f>
        <v>39145.68</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3.5</v>
      </c>
      <c r="D65" s="143">
        <v>0</v>
      </c>
      <c r="E65" s="116">
        <f t="shared" si="10"/>
        <v>7</v>
      </c>
      <c r="F65" s="445" t="s">
        <v>14</v>
      </c>
      <c r="G65" s="444">
        <v>253</v>
      </c>
      <c r="H65" s="458">
        <f>'1461'!H65</f>
        <v>6685</v>
      </c>
      <c r="I65" s="101">
        <f t="shared" si="11"/>
        <v>46795</v>
      </c>
      <c r="N65" s="573"/>
      <c r="O65" s="573"/>
      <c r="P65" s="577"/>
      <c r="Q65" s="577"/>
      <c r="R65" s="40" t="s">
        <v>14</v>
      </c>
      <c r="S65" s="450">
        <v>253</v>
      </c>
      <c r="T65" s="461">
        <f t="shared" si="12"/>
        <v>6685</v>
      </c>
      <c r="U65" s="476">
        <f t="shared" si="13"/>
        <v>0</v>
      </c>
      <c r="V65" s="425"/>
    </row>
    <row r="66" spans="1:22" ht="16.5" thickBot="1" x14ac:dyDescent="0.3">
      <c r="A66" s="441"/>
      <c r="C66" s="97">
        <f>SUM(C57:C65)</f>
        <v>3.5</v>
      </c>
      <c r="D66" s="97">
        <f>SUM(D57:D65)</f>
        <v>0</v>
      </c>
      <c r="E66" s="97">
        <f>SUM(E57:E65)</f>
        <v>7</v>
      </c>
      <c r="F66" s="551" t="s">
        <v>444</v>
      </c>
      <c r="G66" s="551"/>
      <c r="H66" s="551"/>
      <c r="I66" s="97">
        <f>SUM(I57:I65)</f>
        <v>46795</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123</v>
      </c>
      <c r="D69" s="526" t="s">
        <v>410</v>
      </c>
      <c r="E69" s="526"/>
      <c r="F69" s="526"/>
      <c r="G69" s="526"/>
      <c r="H69" s="301">
        <f>'1461'!H69</f>
        <v>203305.63</v>
      </c>
      <c r="I69" s="113"/>
      <c r="N69" s="566" t="s">
        <v>403</v>
      </c>
      <c r="O69" s="564"/>
      <c r="P69" s="41">
        <f>P30</f>
        <v>123</v>
      </c>
      <c r="Q69" s="567" t="s">
        <v>405</v>
      </c>
      <c r="R69" s="568"/>
      <c r="S69" s="568"/>
      <c r="T69" s="563">
        <f>H69</f>
        <v>203305.63</v>
      </c>
      <c r="U69" s="563"/>
    </row>
    <row r="70" spans="1:22" x14ac:dyDescent="0.25">
      <c r="B70" s="69"/>
      <c r="G70" s="42" t="s">
        <v>12</v>
      </c>
      <c r="H70" s="114">
        <f>ROUND(C69/H69,6)</f>
        <v>6.0499999999999996E-4</v>
      </c>
      <c r="I70" s="115"/>
      <c r="N70" s="564"/>
      <c r="O70" s="564"/>
      <c r="P70" s="564"/>
      <c r="Q70" s="564"/>
      <c r="R70" s="564"/>
      <c r="S70" s="564"/>
      <c r="T70" s="565">
        <f>ROUND(P69/T69,6)</f>
        <v>6.0499999999999996E-4</v>
      </c>
      <c r="U70" s="565"/>
    </row>
    <row r="71" spans="1:22" x14ac:dyDescent="0.25">
      <c r="A71" s="443" t="s">
        <v>447</v>
      </c>
      <c r="N71" s="454" t="s">
        <v>455</v>
      </c>
      <c r="O71" s="51"/>
      <c r="P71" s="51"/>
      <c r="Q71" s="51"/>
      <c r="R71" s="51"/>
      <c r="S71" s="51"/>
      <c r="T71" s="51"/>
      <c r="U71" s="51"/>
    </row>
    <row r="72" spans="1:22" x14ac:dyDescent="0.25">
      <c r="A72" s="545" t="s">
        <v>400</v>
      </c>
      <c r="B72" s="539"/>
      <c r="C72" s="112">
        <f>H30</f>
        <v>568.87799999999993</v>
      </c>
      <c r="D72" s="526" t="s">
        <v>411</v>
      </c>
      <c r="E72" s="526"/>
      <c r="F72" s="526"/>
      <c r="G72" s="526"/>
      <c r="H72" s="302">
        <f>'1461'!H72</f>
        <v>227540.36</v>
      </c>
      <c r="I72" s="116"/>
      <c r="N72" s="566" t="s">
        <v>404</v>
      </c>
      <c r="O72" s="564"/>
      <c r="P72" s="41">
        <f>T30</f>
        <v>123</v>
      </c>
      <c r="Q72" s="567" t="s">
        <v>406</v>
      </c>
      <c r="R72" s="568"/>
      <c r="S72" s="568"/>
      <c r="T72" s="563">
        <f>H72</f>
        <v>227540.36</v>
      </c>
      <c r="U72" s="563"/>
    </row>
    <row r="73" spans="1:22" x14ac:dyDescent="0.25">
      <c r="G73" s="42" t="s">
        <v>12</v>
      </c>
      <c r="H73" s="114">
        <f>ROUND(C72/H72,6)</f>
        <v>2.5000000000000001E-3</v>
      </c>
      <c r="I73" s="114"/>
      <c r="N73" s="564"/>
      <c r="O73" s="564"/>
      <c r="P73" s="564"/>
      <c r="Q73" s="564"/>
      <c r="R73" s="564"/>
      <c r="S73" s="564"/>
      <c r="T73" s="565">
        <f>ROUND(P72/T72,6)</f>
        <v>5.4100000000000003E-4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123</v>
      </c>
      <c r="D75" s="518" t="s">
        <v>412</v>
      </c>
      <c r="E75" s="518"/>
      <c r="F75" s="518"/>
      <c r="G75" s="518"/>
      <c r="H75" s="301">
        <f>'1461'!H75</f>
        <v>186907.73</v>
      </c>
      <c r="I75" s="113"/>
      <c r="N75" s="566" t="s">
        <v>402</v>
      </c>
      <c r="O75" s="564"/>
      <c r="P75" s="41">
        <f>P30</f>
        <v>123</v>
      </c>
      <c r="Q75" s="597" t="s">
        <v>407</v>
      </c>
      <c r="R75" s="598"/>
      <c r="S75" s="598"/>
      <c r="T75" s="563">
        <f>H75</f>
        <v>186907.73</v>
      </c>
      <c r="U75" s="563"/>
    </row>
    <row r="76" spans="1:22" x14ac:dyDescent="0.25">
      <c r="B76" s="69"/>
      <c r="G76" s="42" t="s">
        <v>12</v>
      </c>
      <c r="H76" s="114">
        <f>ROUND(C75/H75,6)</f>
        <v>6.5799999999999995E-4</v>
      </c>
      <c r="I76" s="115"/>
      <c r="N76" s="564"/>
      <c r="O76" s="564"/>
      <c r="P76" s="564"/>
      <c r="Q76" s="564"/>
      <c r="R76" s="564"/>
      <c r="S76" s="564"/>
      <c r="T76" s="565">
        <f>ROUND(P75/T75,6)</f>
        <v>6.5799999999999995E-4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123</v>
      </c>
      <c r="D78" s="546" t="s">
        <v>413</v>
      </c>
      <c r="E78" s="546"/>
      <c r="F78" s="546"/>
      <c r="G78" s="546"/>
      <c r="H78" s="301">
        <f>'1461'!H78</f>
        <v>203080.55</v>
      </c>
      <c r="I78" s="113"/>
      <c r="N78" s="566" t="s">
        <v>402</v>
      </c>
      <c r="O78" s="564"/>
      <c r="P78" s="41">
        <f>P30</f>
        <v>123</v>
      </c>
      <c r="Q78" s="595" t="s">
        <v>408</v>
      </c>
      <c r="R78" s="596"/>
      <c r="S78" s="596"/>
      <c r="T78" s="563">
        <f>H78</f>
        <v>203080.55</v>
      </c>
      <c r="U78" s="563"/>
    </row>
    <row r="79" spans="1:22" x14ac:dyDescent="0.25">
      <c r="B79" s="69"/>
      <c r="G79" s="42" t="s">
        <v>12</v>
      </c>
      <c r="H79" s="114">
        <f>ROUND(C78/H78,6)</f>
        <v>6.0599999999999998E-4</v>
      </c>
      <c r="I79" s="115"/>
      <c r="N79" s="564"/>
      <c r="O79" s="564"/>
      <c r="P79" s="564"/>
      <c r="Q79" s="564"/>
      <c r="R79" s="564"/>
      <c r="S79" s="564"/>
      <c r="T79" s="565">
        <f>ROUND(P78/T78,6)</f>
        <v>6.0599999999999998E-4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123</v>
      </c>
      <c r="D81" s="518" t="s">
        <v>414</v>
      </c>
      <c r="E81" s="518"/>
      <c r="F81" s="518"/>
      <c r="G81" s="518"/>
      <c r="H81" s="301">
        <f>'1461'!H81</f>
        <v>186682.65</v>
      </c>
      <c r="I81" s="113"/>
      <c r="N81" s="566" t="s">
        <v>415</v>
      </c>
      <c r="O81" s="564"/>
      <c r="P81" s="41">
        <f>P30</f>
        <v>123</v>
      </c>
      <c r="Q81" s="597" t="s">
        <v>416</v>
      </c>
      <c r="R81" s="598"/>
      <c r="S81" s="598"/>
      <c r="T81" s="563">
        <f>H81</f>
        <v>186682.65</v>
      </c>
      <c r="U81" s="563"/>
    </row>
    <row r="82" spans="1:21" x14ac:dyDescent="0.25">
      <c r="B82" s="69"/>
      <c r="G82" s="42" t="s">
        <v>12</v>
      </c>
      <c r="H82" s="114">
        <f>ROUND(C81/H81,6)</f>
        <v>6.5899999999999997E-4</v>
      </c>
      <c r="I82" s="115"/>
      <c r="N82" s="564"/>
      <c r="O82" s="564"/>
      <c r="P82" s="564"/>
      <c r="Q82" s="564"/>
      <c r="R82" s="564"/>
      <c r="S82" s="564"/>
      <c r="T82" s="565">
        <f>ROUND(P81/T81,6)</f>
        <v>6.5899999999999997E-4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6.0599999999999998E-4</v>
      </c>
      <c r="I85" s="101">
        <f>ROUND(F85*H85,2)</f>
        <v>27067.31</v>
      </c>
      <c r="N85" s="454" t="s">
        <v>451</v>
      </c>
      <c r="O85" s="51"/>
      <c r="P85" s="51"/>
      <c r="Q85" s="44"/>
      <c r="R85" s="420">
        <f>F85</f>
        <v>44665536</v>
      </c>
      <c r="S85" s="38" t="s">
        <v>6</v>
      </c>
      <c r="T85" s="422">
        <f>T79</f>
        <v>6.0599999999999998E-4</v>
      </c>
      <c r="U85" s="474">
        <f>ROUND(R85*T85,2)</f>
        <v>27067.31</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6.0499999999999996E-4</v>
      </c>
      <c r="I88" s="101">
        <f>ROUND(F88*H88,2)</f>
        <v>0</v>
      </c>
      <c r="N88" s="599" t="s">
        <v>99</v>
      </c>
      <c r="O88" s="564"/>
      <c r="P88" s="564"/>
      <c r="Q88" s="44"/>
      <c r="R88" s="420">
        <f>F88</f>
        <v>0</v>
      </c>
      <c r="S88" s="38" t="s">
        <v>6</v>
      </c>
      <c r="T88" s="422">
        <f>T70</f>
        <v>6.0499999999999996E-4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6.5899999999999997E-4</v>
      </c>
      <c r="I90" s="101">
        <f>ROUND(F90*H90,2)</f>
        <v>10654.09</v>
      </c>
      <c r="N90" s="454" t="s">
        <v>452</v>
      </c>
      <c r="O90" s="51"/>
      <c r="P90" s="51"/>
      <c r="Q90" s="44"/>
      <c r="R90" s="420">
        <f>F90</f>
        <v>16167052</v>
      </c>
      <c r="S90" s="38" t="s">
        <v>6</v>
      </c>
      <c r="T90" s="422">
        <f>T82</f>
        <v>6.5899999999999997E-4</v>
      </c>
      <c r="U90" s="474">
        <f>ROUND(R90*T90,2)</f>
        <v>10654.09</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6.5799999999999995E-4</v>
      </c>
      <c r="I92" s="101">
        <f t="shared" ref="I92:I96" si="14">ROUND(F92*H92,2)</f>
        <v>6606.39</v>
      </c>
      <c r="N92" s="454" t="s">
        <v>453</v>
      </c>
      <c r="O92" s="51"/>
      <c r="P92" s="51"/>
      <c r="Q92" s="44"/>
      <c r="R92" s="420">
        <f t="shared" ref="R92:R96" si="15">F92</f>
        <v>10040099</v>
      </c>
      <c r="S92" s="38" t="s">
        <v>6</v>
      </c>
      <c r="T92" s="422">
        <f>T76</f>
        <v>6.5799999999999995E-4</v>
      </c>
      <c r="U92" s="474">
        <f>ROUND(R92*T92,2)</f>
        <v>6606.39</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2.5000000000000001E-3</v>
      </c>
      <c r="I94" s="101">
        <f t="shared" si="14"/>
        <v>597494.18999999994</v>
      </c>
      <c r="N94" s="564" t="s">
        <v>418</v>
      </c>
      <c r="O94" s="564"/>
      <c r="P94" s="564"/>
      <c r="Q94" s="44"/>
      <c r="R94" s="420">
        <f t="shared" si="15"/>
        <v>238997674</v>
      </c>
      <c r="S94" s="38" t="s">
        <v>6</v>
      </c>
      <c r="T94" s="422">
        <f>T73</f>
        <v>5.4100000000000003E-4</v>
      </c>
      <c r="U94" s="474">
        <f>ROUND(R94*T94,2)</f>
        <v>129297.74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2.5000000000000001E-3</v>
      </c>
      <c r="I96" s="101">
        <f t="shared" si="14"/>
        <v>-4000.12</v>
      </c>
      <c r="N96" s="566" t="s">
        <v>419</v>
      </c>
      <c r="O96" s="564"/>
      <c r="P96" s="564"/>
      <c r="Q96" s="44"/>
      <c r="R96" s="420">
        <f t="shared" si="15"/>
        <v>-1600047</v>
      </c>
      <c r="S96" s="38" t="s">
        <v>6</v>
      </c>
      <c r="T96" s="422">
        <f>T73</f>
        <v>5.4100000000000003E-4</v>
      </c>
      <c r="U96" s="474">
        <f>ROUND(R96*T96,2)</f>
        <v>-865.63</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568.87799999999993</v>
      </c>
      <c r="D103" s="557"/>
      <c r="E103" s="46">
        <f>H8</f>
        <v>1.0442</v>
      </c>
      <c r="F103" s="304">
        <f>'1461'!F103</f>
        <v>906.93</v>
      </c>
      <c r="G103" s="39" t="s">
        <v>12</v>
      </c>
      <c r="H103" s="94">
        <f>ROUND(C103*E103*F103,2)</f>
        <v>538736.74</v>
      </c>
      <c r="N103" s="53" t="s">
        <v>14</v>
      </c>
      <c r="O103" s="54">
        <f>T18+T19+T22+T25+T28+T29</f>
        <v>123</v>
      </c>
      <c r="P103" s="587">
        <f>T8</f>
        <v>1.0442</v>
      </c>
      <c r="Q103" s="587"/>
      <c r="R103" s="48">
        <f>F103</f>
        <v>906.93</v>
      </c>
      <c r="S103" s="40" t="s">
        <v>12</v>
      </c>
      <c r="T103" s="480">
        <f>ROUND(O103*P103*R103,2)</f>
        <v>116483.01</v>
      </c>
      <c r="U103" s="51"/>
    </row>
    <row r="104" spans="1:21" ht="16.5" thickBot="1" x14ac:dyDescent="0.3">
      <c r="A104" s="55"/>
      <c r="B104" s="122" t="s">
        <v>102</v>
      </c>
      <c r="C104" s="547">
        <f>SUM(C101:C103)</f>
        <v>568.87799999999993</v>
      </c>
      <c r="D104" s="547"/>
      <c r="E104" s="123"/>
      <c r="F104" s="123"/>
      <c r="G104" s="123"/>
      <c r="H104" s="124" t="s">
        <v>100</v>
      </c>
      <c r="I104" s="101">
        <f>IF(A1=75,0,H103+H102+H101)</f>
        <v>538736.74</v>
      </c>
      <c r="N104" s="56" t="s">
        <v>89</v>
      </c>
      <c r="O104" s="57">
        <f>SUM(O101:O103)</f>
        <v>123</v>
      </c>
      <c r="P104" s="588" t="s">
        <v>16</v>
      </c>
      <c r="Q104" s="589"/>
      <c r="R104" s="589"/>
      <c r="S104" s="589"/>
      <c r="T104" s="589"/>
      <c r="U104" s="474">
        <f>IF(N1=75,0,T103+T102+T101)</f>
        <v>116483.01</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4276468.38</v>
      </c>
      <c r="N125" s="454"/>
      <c r="O125" s="453"/>
      <c r="P125" s="453"/>
      <c r="Q125" s="307"/>
      <c r="R125" s="307"/>
      <c r="S125" s="307"/>
      <c r="T125" s="307"/>
      <c r="U125" s="481">
        <f>SUM(U30,U85,U88,U90,U92,U94,U96,U104,U110,U111,U121,U123)</f>
        <v>949372.35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4095418.67</v>
      </c>
      <c r="N127" s="562" t="s">
        <v>33</v>
      </c>
      <c r="O127" s="562"/>
      <c r="P127" s="562"/>
      <c r="Q127" s="562"/>
      <c r="R127" s="562"/>
      <c r="S127" s="562"/>
      <c r="T127" s="562"/>
      <c r="U127" s="132">
        <f>U125-U53</f>
        <v>910226.66999999993</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910226.66999999993</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910226.66999999993</v>
      </c>
      <c r="I132" s="94">
        <f>ROUND(IF(E30=0,0,IF(E30&gt;250,-(((250/E30)*H132)*IF(G132="H",0.02,0.05)),IF(G132="H",-0.02*H132,-0.05*H132))),2)</f>
        <v>-45511.33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4230957.05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-710982.64-350076.14-350076.14-350076.14-350076.14-353278.31</f>
        <v>-2464565.5100000002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1766391.5399999996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353278.31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18"/>
  <sheetViews>
    <sheetView topLeftCell="A31" workbookViewId="0">
      <selection activeCell="F67" sqref="F6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358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36.5</v>
      </c>
      <c r="D19" s="143">
        <v>0</v>
      </c>
      <c r="E19" s="116">
        <f t="shared" si="1"/>
        <v>73</v>
      </c>
      <c r="F19" s="624">
        <f>'1461'!F19:G19</f>
        <v>0.98799999999999999</v>
      </c>
      <c r="G19" s="624"/>
      <c r="H19" s="80">
        <f t="shared" si="2"/>
        <v>72.123999999999995</v>
      </c>
      <c r="I19" s="101">
        <f t="shared" si="3"/>
        <v>387082.73</v>
      </c>
      <c r="J19" s="65" t="str">
        <f>IF(ROUND(E19,2)=ROUND(SUM(E63:E65),2)," ","CHECK 4-8 LINES BELOW")</f>
        <v xml:space="preserve"> </v>
      </c>
      <c r="N19" s="564" t="s">
        <v>25</v>
      </c>
      <c r="O19" s="564"/>
      <c r="P19" s="603">
        <f t="shared" si="0"/>
        <v>73</v>
      </c>
      <c r="Q19" s="603"/>
      <c r="R19" s="608">
        <v>1</v>
      </c>
      <c r="S19" s="608"/>
      <c r="T19" s="95">
        <f t="shared" si="4"/>
        <v>73</v>
      </c>
      <c r="U19" s="473">
        <f t="shared" si="5"/>
        <v>391784.14</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36.5</v>
      </c>
      <c r="D30" s="94">
        <f>SUM(D14:D29)</f>
        <v>0</v>
      </c>
      <c r="E30" s="94">
        <f>SUM(E14:E29)</f>
        <v>73</v>
      </c>
      <c r="F30" s="543"/>
      <c r="G30" s="543"/>
      <c r="H30" s="99">
        <f>SUM(H14:H29)</f>
        <v>72.123999999999995</v>
      </c>
      <c r="I30" s="94">
        <f>SUM(I14:I29)</f>
        <v>387082.73</v>
      </c>
      <c r="N30" s="605" t="s">
        <v>5</v>
      </c>
      <c r="O30" s="605"/>
      <c r="P30" s="606">
        <f>SUM(P14:P29)</f>
        <v>73</v>
      </c>
      <c r="Q30" s="606"/>
      <c r="R30" s="571"/>
      <c r="S30" s="571"/>
      <c r="T30" s="100">
        <f>SUM(T14:T29)</f>
        <v>73</v>
      </c>
      <c r="U30" s="474">
        <f>SUM(U14:U29)</f>
        <v>391784.14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72.123999999999995</v>
      </c>
      <c r="F46" s="34"/>
      <c r="G46" s="106"/>
      <c r="H46" s="107" t="s">
        <v>98</v>
      </c>
      <c r="I46" s="94">
        <f>SUM(I44,I30)</f>
        <v>387082.73</v>
      </c>
      <c r="N46" s="562" t="s">
        <v>44</v>
      </c>
      <c r="O46" s="562"/>
      <c r="P46" s="562"/>
      <c r="Q46" s="562"/>
      <c r="R46" s="35">
        <f>R44+T30</f>
        <v>73</v>
      </c>
      <c r="S46" s="571" t="s">
        <v>42</v>
      </c>
      <c r="T46" s="571"/>
      <c r="U46" s="108">
        <f>SUM(U44,U30)</f>
        <v>391784.14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387082.73</v>
      </c>
      <c r="G51" s="109" t="s">
        <v>6</v>
      </c>
      <c r="H51" s="402">
        <v>4.5199999999999997E-2</v>
      </c>
      <c r="I51" s="101">
        <f>ROUND(F51*H51,2)</f>
        <v>17496.14</v>
      </c>
      <c r="N51" s="407"/>
      <c r="O51" s="408" t="s">
        <v>395</v>
      </c>
      <c r="P51" s="28"/>
      <c r="Q51" s="44" t="s">
        <v>396</v>
      </c>
      <c r="R51" s="409">
        <f>U30</f>
        <v>391784.14</v>
      </c>
      <c r="S51" s="410" t="s">
        <v>6</v>
      </c>
      <c r="T51" s="411">
        <v>4.5199999999999997E-2</v>
      </c>
      <c r="U51" s="403">
        <f>ROUND(R51*T51,2)</f>
        <v>17708.64</v>
      </c>
    </row>
    <row r="52" spans="1:22" x14ac:dyDescent="0.25">
      <c r="A52" s="26"/>
      <c r="B52" s="81" t="s">
        <v>397</v>
      </c>
      <c r="C52" s="26"/>
      <c r="D52" s="26"/>
      <c r="E52" s="43" t="s">
        <v>396</v>
      </c>
      <c r="F52" s="401">
        <f>I46</f>
        <v>387082.73</v>
      </c>
      <c r="G52" s="109" t="s">
        <v>6</v>
      </c>
      <c r="H52" s="402">
        <v>1.41E-2</v>
      </c>
      <c r="I52" s="101">
        <f>ROUND(F52*H52,2)</f>
        <v>5457.87</v>
      </c>
      <c r="N52" s="28"/>
      <c r="O52" s="384" t="s">
        <v>397</v>
      </c>
      <c r="P52" s="28"/>
      <c r="Q52" s="44" t="s">
        <v>396</v>
      </c>
      <c r="R52" s="409">
        <f>U30</f>
        <v>391784.14</v>
      </c>
      <c r="S52" s="410" t="s">
        <v>6</v>
      </c>
      <c r="T52" s="411">
        <v>1.41E-2</v>
      </c>
      <c r="U52" s="412">
        <f>ROUND(R52*T52,2)</f>
        <v>5524.16</v>
      </c>
    </row>
    <row r="53" spans="1:22" x14ac:dyDescent="0.25">
      <c r="A53" s="26"/>
      <c r="B53" s="81" t="s">
        <v>398</v>
      </c>
      <c r="C53" s="26"/>
      <c r="D53" s="26"/>
      <c r="E53" s="43"/>
      <c r="F53" s="401"/>
      <c r="G53" s="109"/>
      <c r="H53" s="402"/>
      <c r="I53" s="97">
        <f>SUM(I51:I52)</f>
        <v>22954.01</v>
      </c>
      <c r="N53" s="28"/>
      <c r="O53" s="384" t="s">
        <v>398</v>
      </c>
      <c r="P53" s="28"/>
      <c r="Q53" s="44"/>
      <c r="R53" s="409"/>
      <c r="S53" s="410"/>
      <c r="T53" s="411"/>
      <c r="U53" s="403">
        <f>SUM(U51:U52)</f>
        <v>23232.799999999999</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1</v>
      </c>
      <c r="D63" s="143">
        <v>0</v>
      </c>
      <c r="E63" s="116">
        <f t="shared" si="10"/>
        <v>2</v>
      </c>
      <c r="F63" s="445" t="s">
        <v>14</v>
      </c>
      <c r="G63" s="444">
        <v>251</v>
      </c>
      <c r="H63" s="458">
        <f>'1461'!H63</f>
        <v>835</v>
      </c>
      <c r="I63" s="101">
        <f t="shared" si="11"/>
        <v>1670</v>
      </c>
      <c r="N63" s="573"/>
      <c r="O63" s="573"/>
      <c r="P63" s="576"/>
      <c r="Q63" s="576"/>
      <c r="R63" s="40" t="s">
        <v>14</v>
      </c>
      <c r="S63" s="450">
        <v>251</v>
      </c>
      <c r="T63" s="461">
        <f t="shared" si="12"/>
        <v>835</v>
      </c>
      <c r="U63" s="475">
        <f t="shared" si="13"/>
        <v>0</v>
      </c>
      <c r="V63" s="425"/>
    </row>
    <row r="64" spans="1:22" x14ac:dyDescent="0.25">
      <c r="A64" s="550"/>
      <c r="B64" s="550"/>
      <c r="C64" s="143">
        <v>3</v>
      </c>
      <c r="D64" s="143">
        <v>0</v>
      </c>
      <c r="E64" s="116">
        <f t="shared" si="10"/>
        <v>6</v>
      </c>
      <c r="F64" s="445" t="s">
        <v>14</v>
      </c>
      <c r="G64" s="444">
        <v>252</v>
      </c>
      <c r="H64" s="458">
        <f>'1461'!H64</f>
        <v>3168</v>
      </c>
      <c r="I64" s="101">
        <f t="shared" si="11"/>
        <v>19008</v>
      </c>
      <c r="N64" s="573"/>
      <c r="O64" s="573"/>
      <c r="P64" s="576"/>
      <c r="Q64" s="576"/>
      <c r="R64" s="40" t="s">
        <v>14</v>
      </c>
      <c r="S64" s="450">
        <v>252</v>
      </c>
      <c r="T64" s="461">
        <f t="shared" si="12"/>
        <v>3168</v>
      </c>
      <c r="U64" s="475">
        <f t="shared" si="13"/>
        <v>0</v>
      </c>
      <c r="V64" s="425"/>
    </row>
    <row r="65" spans="1:22" ht="16.5" thickBot="1" x14ac:dyDescent="0.3">
      <c r="A65" s="550"/>
      <c r="B65" s="550"/>
      <c r="C65" s="143">
        <v>32.5</v>
      </c>
      <c r="D65" s="143">
        <v>0</v>
      </c>
      <c r="E65" s="116">
        <f t="shared" si="10"/>
        <v>65</v>
      </c>
      <c r="F65" s="445" t="s">
        <v>14</v>
      </c>
      <c r="G65" s="444">
        <v>253</v>
      </c>
      <c r="H65" s="458">
        <f>'1461'!H65</f>
        <v>6685</v>
      </c>
      <c r="I65" s="101">
        <f t="shared" si="11"/>
        <v>434525</v>
      </c>
      <c r="N65" s="573"/>
      <c r="O65" s="573"/>
      <c r="P65" s="577"/>
      <c r="Q65" s="577"/>
      <c r="R65" s="40" t="s">
        <v>14</v>
      </c>
      <c r="S65" s="450">
        <v>253</v>
      </c>
      <c r="T65" s="461">
        <f t="shared" si="12"/>
        <v>6685</v>
      </c>
      <c r="U65" s="476">
        <f t="shared" si="13"/>
        <v>0</v>
      </c>
      <c r="V65" s="425"/>
    </row>
    <row r="66" spans="1:22" ht="16.5" thickBot="1" x14ac:dyDescent="0.3">
      <c r="A66" s="441"/>
      <c r="C66" s="97">
        <f>SUM(C57:C65)</f>
        <v>36.5</v>
      </c>
      <c r="D66" s="97">
        <f>SUM(D57:D65)</f>
        <v>0</v>
      </c>
      <c r="E66" s="97">
        <f>SUM(E57:E65)</f>
        <v>73</v>
      </c>
      <c r="F66" s="551" t="s">
        <v>444</v>
      </c>
      <c r="G66" s="551"/>
      <c r="H66" s="551"/>
      <c r="I66" s="97">
        <f>SUM(I57:I65)</f>
        <v>455203</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73</v>
      </c>
      <c r="D69" s="526" t="s">
        <v>410</v>
      </c>
      <c r="E69" s="526"/>
      <c r="F69" s="526"/>
      <c r="G69" s="526"/>
      <c r="H69" s="301">
        <f>'1461'!H69</f>
        <v>203305.63</v>
      </c>
      <c r="I69" s="113"/>
      <c r="N69" s="566" t="s">
        <v>403</v>
      </c>
      <c r="O69" s="564"/>
      <c r="P69" s="41">
        <f>P30</f>
        <v>73</v>
      </c>
      <c r="Q69" s="567" t="s">
        <v>405</v>
      </c>
      <c r="R69" s="568"/>
      <c r="S69" s="568"/>
      <c r="T69" s="563">
        <f>H69</f>
        <v>203305.63</v>
      </c>
      <c r="U69" s="563"/>
    </row>
    <row r="70" spans="1:22" x14ac:dyDescent="0.25">
      <c r="B70" s="69"/>
      <c r="G70" s="42" t="s">
        <v>12</v>
      </c>
      <c r="H70" s="114">
        <f>ROUND(C69/H69,6)</f>
        <v>3.59E-4</v>
      </c>
      <c r="I70" s="115"/>
      <c r="N70" s="564"/>
      <c r="O70" s="564"/>
      <c r="P70" s="564"/>
      <c r="Q70" s="564"/>
      <c r="R70" s="564"/>
      <c r="S70" s="564"/>
      <c r="T70" s="565">
        <f>ROUND(P69/T69,6)</f>
        <v>3.59E-4</v>
      </c>
      <c r="U70" s="565"/>
    </row>
    <row r="71" spans="1:22" x14ac:dyDescent="0.25">
      <c r="A71" s="443" t="s">
        <v>447</v>
      </c>
      <c r="N71" s="454" t="s">
        <v>455</v>
      </c>
      <c r="O71" s="51"/>
      <c r="P71" s="51"/>
      <c r="Q71" s="51"/>
      <c r="R71" s="51"/>
      <c r="S71" s="51"/>
      <c r="T71" s="51"/>
      <c r="U71" s="51"/>
    </row>
    <row r="72" spans="1:22" x14ac:dyDescent="0.25">
      <c r="A72" s="545" t="s">
        <v>400</v>
      </c>
      <c r="B72" s="539"/>
      <c r="C72" s="112">
        <f>H30</f>
        <v>72.123999999999995</v>
      </c>
      <c r="D72" s="526" t="s">
        <v>411</v>
      </c>
      <c r="E72" s="526"/>
      <c r="F72" s="526"/>
      <c r="G72" s="526"/>
      <c r="H72" s="302">
        <f>'1461'!H72</f>
        <v>227540.36</v>
      </c>
      <c r="I72" s="116"/>
      <c r="N72" s="566" t="s">
        <v>404</v>
      </c>
      <c r="O72" s="564"/>
      <c r="P72" s="41">
        <f>T30</f>
        <v>73</v>
      </c>
      <c r="Q72" s="567" t="s">
        <v>406</v>
      </c>
      <c r="R72" s="568"/>
      <c r="S72" s="568"/>
      <c r="T72" s="563">
        <f>H72</f>
        <v>227540.36</v>
      </c>
      <c r="U72" s="563"/>
    </row>
    <row r="73" spans="1:22" x14ac:dyDescent="0.25">
      <c r="G73" s="42" t="s">
        <v>12</v>
      </c>
      <c r="H73" s="114">
        <f>ROUND(C72/H72,6)</f>
        <v>3.1700000000000001E-4</v>
      </c>
      <c r="I73" s="114"/>
      <c r="N73" s="564"/>
      <c r="O73" s="564"/>
      <c r="P73" s="564"/>
      <c r="Q73" s="564"/>
      <c r="R73" s="564"/>
      <c r="S73" s="564"/>
      <c r="T73" s="565">
        <f>ROUND(P72/T72,6)</f>
        <v>3.21E-4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73</v>
      </c>
      <c r="D75" s="518" t="s">
        <v>412</v>
      </c>
      <c r="E75" s="518"/>
      <c r="F75" s="518"/>
      <c r="G75" s="518"/>
      <c r="H75" s="301">
        <f>'1461'!H75</f>
        <v>186907.73</v>
      </c>
      <c r="I75" s="113"/>
      <c r="N75" s="566" t="s">
        <v>402</v>
      </c>
      <c r="O75" s="564"/>
      <c r="P75" s="41">
        <f>P30</f>
        <v>73</v>
      </c>
      <c r="Q75" s="597" t="s">
        <v>407</v>
      </c>
      <c r="R75" s="598"/>
      <c r="S75" s="598"/>
      <c r="T75" s="563">
        <f>H75</f>
        <v>186907.73</v>
      </c>
      <c r="U75" s="563"/>
    </row>
    <row r="76" spans="1:22" x14ac:dyDescent="0.25">
      <c r="B76" s="69"/>
      <c r="G76" s="42" t="s">
        <v>12</v>
      </c>
      <c r="H76" s="114">
        <f>ROUND(C75/H75,6)</f>
        <v>3.9100000000000002E-4</v>
      </c>
      <c r="I76" s="115"/>
      <c r="N76" s="564"/>
      <c r="O76" s="564"/>
      <c r="P76" s="564"/>
      <c r="Q76" s="564"/>
      <c r="R76" s="564"/>
      <c r="S76" s="564"/>
      <c r="T76" s="565">
        <f>ROUND(P75/T75,6)</f>
        <v>3.9100000000000002E-4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73</v>
      </c>
      <c r="D78" s="546" t="s">
        <v>413</v>
      </c>
      <c r="E78" s="546"/>
      <c r="F78" s="546"/>
      <c r="G78" s="546"/>
      <c r="H78" s="301">
        <f>'1461'!H78</f>
        <v>203080.55</v>
      </c>
      <c r="I78" s="113"/>
      <c r="N78" s="566" t="s">
        <v>402</v>
      </c>
      <c r="O78" s="564"/>
      <c r="P78" s="41">
        <f>P30</f>
        <v>73</v>
      </c>
      <c r="Q78" s="595" t="s">
        <v>408</v>
      </c>
      <c r="R78" s="596"/>
      <c r="S78" s="596"/>
      <c r="T78" s="563">
        <f>H78</f>
        <v>203080.55</v>
      </c>
      <c r="U78" s="563"/>
    </row>
    <row r="79" spans="1:22" x14ac:dyDescent="0.25">
      <c r="B79" s="69"/>
      <c r="G79" s="42" t="s">
        <v>12</v>
      </c>
      <c r="H79" s="114">
        <f>ROUND(C78/H78,6)</f>
        <v>3.59E-4</v>
      </c>
      <c r="I79" s="115"/>
      <c r="N79" s="564"/>
      <c r="O79" s="564"/>
      <c r="P79" s="564"/>
      <c r="Q79" s="564"/>
      <c r="R79" s="564"/>
      <c r="S79" s="564"/>
      <c r="T79" s="565">
        <f>ROUND(P78/T78,6)</f>
        <v>3.59E-4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73</v>
      </c>
      <c r="D81" s="518" t="s">
        <v>414</v>
      </c>
      <c r="E81" s="518"/>
      <c r="F81" s="518"/>
      <c r="G81" s="518"/>
      <c r="H81" s="301">
        <f>'1461'!H81</f>
        <v>186682.65</v>
      </c>
      <c r="I81" s="113"/>
      <c r="N81" s="566" t="s">
        <v>415</v>
      </c>
      <c r="O81" s="564"/>
      <c r="P81" s="41">
        <f>P30</f>
        <v>73</v>
      </c>
      <c r="Q81" s="597" t="s">
        <v>416</v>
      </c>
      <c r="R81" s="598"/>
      <c r="S81" s="598"/>
      <c r="T81" s="563">
        <f>H81</f>
        <v>186682.65</v>
      </c>
      <c r="U81" s="563"/>
    </row>
    <row r="82" spans="1:21" x14ac:dyDescent="0.25">
      <c r="B82" s="69"/>
      <c r="G82" s="42" t="s">
        <v>12</v>
      </c>
      <c r="H82" s="114">
        <f>ROUND(C81/H81,6)</f>
        <v>3.9100000000000002E-4</v>
      </c>
      <c r="I82" s="115"/>
      <c r="N82" s="564"/>
      <c r="O82" s="564"/>
      <c r="P82" s="564"/>
      <c r="Q82" s="564"/>
      <c r="R82" s="564"/>
      <c r="S82" s="564"/>
      <c r="T82" s="565">
        <f>ROUND(P81/T81,6)</f>
        <v>3.9100000000000002E-4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3.59E-4</v>
      </c>
      <c r="I85" s="101">
        <f>ROUND(F85*H85,2)</f>
        <v>16034.93</v>
      </c>
      <c r="N85" s="454" t="s">
        <v>451</v>
      </c>
      <c r="O85" s="51"/>
      <c r="P85" s="51"/>
      <c r="Q85" s="44"/>
      <c r="R85" s="420">
        <f>F85</f>
        <v>44665536</v>
      </c>
      <c r="S85" s="38" t="s">
        <v>6</v>
      </c>
      <c r="T85" s="422">
        <f>T79</f>
        <v>3.59E-4</v>
      </c>
      <c r="U85" s="474">
        <f>ROUND(R85*T85,2)</f>
        <v>16034.93</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3.59E-4</v>
      </c>
      <c r="I88" s="101">
        <f>ROUND(F88*H88,2)</f>
        <v>0</v>
      </c>
      <c r="N88" s="599" t="s">
        <v>99</v>
      </c>
      <c r="O88" s="564"/>
      <c r="P88" s="564"/>
      <c r="Q88" s="44"/>
      <c r="R88" s="420">
        <f>F88</f>
        <v>0</v>
      </c>
      <c r="S88" s="38" t="s">
        <v>6</v>
      </c>
      <c r="T88" s="422">
        <f>T70</f>
        <v>3.59E-4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3.9100000000000002E-4</v>
      </c>
      <c r="I90" s="101">
        <f>ROUND(F90*H90,2)</f>
        <v>6321.32</v>
      </c>
      <c r="N90" s="454" t="s">
        <v>452</v>
      </c>
      <c r="O90" s="51"/>
      <c r="P90" s="51"/>
      <c r="Q90" s="44"/>
      <c r="R90" s="420">
        <f>F90</f>
        <v>16167052</v>
      </c>
      <c r="S90" s="38" t="s">
        <v>6</v>
      </c>
      <c r="T90" s="422">
        <f>T82</f>
        <v>3.9100000000000002E-4</v>
      </c>
      <c r="U90" s="474">
        <f>ROUND(R90*T90,2)</f>
        <v>6321.32</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3.9100000000000002E-4</v>
      </c>
      <c r="I92" s="101">
        <f t="shared" ref="I92:I96" si="14">ROUND(F92*H92,2)</f>
        <v>3925.68</v>
      </c>
      <c r="N92" s="454" t="s">
        <v>453</v>
      </c>
      <c r="O92" s="51"/>
      <c r="P92" s="51"/>
      <c r="Q92" s="44"/>
      <c r="R92" s="420">
        <f t="shared" ref="R92:R96" si="15">F92</f>
        <v>10040099</v>
      </c>
      <c r="S92" s="38" t="s">
        <v>6</v>
      </c>
      <c r="T92" s="422">
        <f>T76</f>
        <v>3.9100000000000002E-4</v>
      </c>
      <c r="U92" s="474">
        <f>ROUND(R92*T92,2)</f>
        <v>3925.68</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3.1700000000000001E-4</v>
      </c>
      <c r="I94" s="101">
        <f t="shared" si="14"/>
        <v>75762.259999999995</v>
      </c>
      <c r="N94" s="564" t="s">
        <v>418</v>
      </c>
      <c r="O94" s="564"/>
      <c r="P94" s="564"/>
      <c r="Q94" s="44"/>
      <c r="R94" s="420">
        <f t="shared" si="15"/>
        <v>238997674</v>
      </c>
      <c r="S94" s="38" t="s">
        <v>6</v>
      </c>
      <c r="T94" s="422">
        <f>T73</f>
        <v>3.21E-4</v>
      </c>
      <c r="U94" s="474">
        <f>ROUND(R94*T94,2)</f>
        <v>76718.25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3.1700000000000001E-4</v>
      </c>
      <c r="I96" s="101">
        <f t="shared" si="14"/>
        <v>-507.21</v>
      </c>
      <c r="N96" s="566" t="s">
        <v>419</v>
      </c>
      <c r="O96" s="564"/>
      <c r="P96" s="564"/>
      <c r="Q96" s="44"/>
      <c r="R96" s="420">
        <f t="shared" si="15"/>
        <v>-1600047</v>
      </c>
      <c r="S96" s="38" t="s">
        <v>6</v>
      </c>
      <c r="T96" s="422">
        <f>T73</f>
        <v>3.21E-4</v>
      </c>
      <c r="U96" s="474">
        <f>ROUND(R96*T96,2)</f>
        <v>-513.62</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72.123999999999995</v>
      </c>
      <c r="D103" s="557"/>
      <c r="E103" s="46">
        <f>H8</f>
        <v>1.0442</v>
      </c>
      <c r="F103" s="304">
        <f>'1461'!F103</f>
        <v>906.93</v>
      </c>
      <c r="G103" s="39" t="s">
        <v>12</v>
      </c>
      <c r="H103" s="94">
        <f>ROUND(C103*E103*F103,2)</f>
        <v>68302.600000000006</v>
      </c>
      <c r="N103" s="53" t="s">
        <v>14</v>
      </c>
      <c r="O103" s="54">
        <f>T18+T19+T22+T25+T28+T29</f>
        <v>73</v>
      </c>
      <c r="P103" s="587">
        <f>T8</f>
        <v>1.0442</v>
      </c>
      <c r="Q103" s="587"/>
      <c r="R103" s="48">
        <f>F103</f>
        <v>906.93</v>
      </c>
      <c r="S103" s="40" t="s">
        <v>12</v>
      </c>
      <c r="T103" s="480">
        <f>ROUND(O103*P103*R103,2)</f>
        <v>69132.19</v>
      </c>
      <c r="U103" s="51"/>
    </row>
    <row r="104" spans="1:21" ht="16.5" thickBot="1" x14ac:dyDescent="0.3">
      <c r="A104" s="55"/>
      <c r="B104" s="122" t="s">
        <v>102</v>
      </c>
      <c r="C104" s="547">
        <f>SUM(C101:C103)</f>
        <v>72.123999999999995</v>
      </c>
      <c r="D104" s="547"/>
      <c r="E104" s="123"/>
      <c r="F104" s="123"/>
      <c r="G104" s="123"/>
      <c r="H104" s="124" t="s">
        <v>100</v>
      </c>
      <c r="I104" s="101">
        <f>IF(A1=75,0,H103+H102+H101)</f>
        <v>68302.600000000006</v>
      </c>
      <c r="N104" s="56" t="s">
        <v>89</v>
      </c>
      <c r="O104" s="57">
        <f>SUM(O101:O103)</f>
        <v>73</v>
      </c>
      <c r="P104" s="588" t="s">
        <v>16</v>
      </c>
      <c r="Q104" s="589"/>
      <c r="R104" s="589"/>
      <c r="S104" s="589"/>
      <c r="T104" s="589"/>
      <c r="U104" s="474">
        <f>IF(N1=75,0,T103+T102+T101)</f>
        <v>69132.19</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70</v>
      </c>
      <c r="D110" s="143">
        <v>0</v>
      </c>
      <c r="E110" s="116">
        <f>C110</f>
        <v>70</v>
      </c>
      <c r="F110" s="126" t="s">
        <v>30</v>
      </c>
      <c r="G110" s="305">
        <f>'1461'!G110</f>
        <v>565</v>
      </c>
      <c r="I110" s="101">
        <f>ROUND(G110*E110,2)</f>
        <v>39550</v>
      </c>
      <c r="N110" s="585" t="s">
        <v>52</v>
      </c>
      <c r="O110" s="585"/>
      <c r="P110" s="586">
        <f>IF(H130=1,E110,0)</f>
        <v>70</v>
      </c>
      <c r="Q110" s="586"/>
      <c r="R110" s="586"/>
      <c r="S110" s="83" t="s">
        <v>30</v>
      </c>
      <c r="T110" s="58">
        <f>G110</f>
        <v>565</v>
      </c>
      <c r="U110" s="474">
        <f>ROUND(T110*P110,2)</f>
        <v>39550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1051675.31</v>
      </c>
      <c r="N125" s="454"/>
      <c r="O125" s="453"/>
      <c r="P125" s="453"/>
      <c r="Q125" s="307"/>
      <c r="R125" s="307"/>
      <c r="S125" s="307"/>
      <c r="T125" s="307"/>
      <c r="U125" s="481">
        <f>SUM(U30,U85,U88,U90,U92,U94,U96,U104,U110,U111,U121,U123)</f>
        <v>602952.89</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1028721.3</v>
      </c>
      <c r="N127" s="562" t="s">
        <v>33</v>
      </c>
      <c r="O127" s="562"/>
      <c r="P127" s="562"/>
      <c r="Q127" s="562"/>
      <c r="R127" s="562"/>
      <c r="S127" s="562"/>
      <c r="T127" s="562"/>
      <c r="U127" s="132">
        <f>U125-U53</f>
        <v>579720.09</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579720.09</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579720.09</v>
      </c>
      <c r="I132" s="94">
        <f>ROUND(IF(E30=0,0,IF(E30&gt;250,-(((250/E30)*H132)*IF(G132="H",0.02,0.05)),IF(G132="H",-0.02*H132,-0.05*H132))),2)</f>
        <v>-28986</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1022689.31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-100468.52-59569.32-59569.32-59569.32-59569.31-112774.56</f>
        <v>-451520.35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571168.96000000008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114233.79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18"/>
  <sheetViews>
    <sheetView topLeftCell="A6" workbookViewId="0">
      <selection activeCell="C17" activeCellId="1" sqref="C15 C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116</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179.36</v>
      </c>
      <c r="D14" s="141">
        <v>0</v>
      </c>
      <c r="E14" s="187">
        <f>IF(D$30=0,C14*2,C14+D14)</f>
        <v>358.72</v>
      </c>
      <c r="F14" s="628">
        <f>'1461'!F14:G14</f>
        <v>1.1220000000000001</v>
      </c>
      <c r="G14" s="628"/>
      <c r="H14" s="145">
        <f>ROUND(E14*F14,4)</f>
        <v>402.48379999999997</v>
      </c>
      <c r="I14" s="111">
        <f>ROUND(ROUND(ROUND(H14*$C$8,4)*($H$8),2)*(MAX($H$9,1)),2)</f>
        <v>2160092.75</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37.5</v>
      </c>
      <c r="D15" s="143">
        <v>0</v>
      </c>
      <c r="E15" s="116">
        <f t="shared" ref="E15:E29" si="1">IF(D$30=0,C15*2,C15+D15)</f>
        <v>75</v>
      </c>
      <c r="F15" s="624">
        <f>'1461'!F15:G15</f>
        <v>1.1220000000000001</v>
      </c>
      <c r="G15" s="624"/>
      <c r="H15" s="80">
        <f t="shared" ref="H15:H29" si="2">ROUND(E15*F15,4)</f>
        <v>84.15</v>
      </c>
      <c r="I15" s="101">
        <f t="shared" ref="I15:I29" si="3">ROUND(ROUND(ROUND(H15*$C$8,4)*($H$8),2)*(MAX($H$9,1)),2)</f>
        <v>451625.15</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225.72</v>
      </c>
      <c r="D16" s="143">
        <v>0</v>
      </c>
      <c r="E16" s="116">
        <f t="shared" si="1"/>
        <v>451.44</v>
      </c>
      <c r="F16" s="624">
        <f>'1461'!F16:G16</f>
        <v>1</v>
      </c>
      <c r="G16" s="624"/>
      <c r="H16" s="80">
        <f t="shared" si="2"/>
        <v>451.44</v>
      </c>
      <c r="I16" s="101">
        <f t="shared" si="3"/>
        <v>2422836.0699999998</v>
      </c>
      <c r="N16" s="564" t="s">
        <v>22</v>
      </c>
      <c r="O16" s="564"/>
      <c r="P16" s="603">
        <f t="shared" si="0"/>
        <v>0</v>
      </c>
      <c r="Q16" s="603"/>
      <c r="R16" s="608">
        <v>1</v>
      </c>
      <c r="S16" s="608"/>
      <c r="T16" s="95">
        <f t="shared" si="4"/>
        <v>0</v>
      </c>
      <c r="U16" s="474">
        <f t="shared" si="5"/>
        <v>0</v>
      </c>
    </row>
    <row r="17" spans="1:21" x14ac:dyDescent="0.25">
      <c r="A17" s="539" t="s">
        <v>23</v>
      </c>
      <c r="B17" s="539"/>
      <c r="C17" s="143">
        <v>57.5</v>
      </c>
      <c r="D17" s="143">
        <v>0</v>
      </c>
      <c r="E17" s="116">
        <f t="shared" si="1"/>
        <v>115</v>
      </c>
      <c r="F17" s="624">
        <f>'1461'!F17:G17</f>
        <v>1</v>
      </c>
      <c r="G17" s="624"/>
      <c r="H17" s="80">
        <f t="shared" si="2"/>
        <v>115</v>
      </c>
      <c r="I17" s="101">
        <f t="shared" si="3"/>
        <v>617194.19999999995</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17.14</v>
      </c>
      <c r="D26" s="143">
        <v>0</v>
      </c>
      <c r="E26" s="116">
        <f t="shared" si="1"/>
        <v>34.28</v>
      </c>
      <c r="F26" s="624">
        <f>'1461'!F26:G26</f>
        <v>1.208</v>
      </c>
      <c r="G26" s="624"/>
      <c r="H26" s="80">
        <f t="shared" si="2"/>
        <v>41.410200000000003</v>
      </c>
      <c r="I26" s="101">
        <f t="shared" si="3"/>
        <v>222244.65</v>
      </c>
      <c r="N26" s="564" t="s">
        <v>85</v>
      </c>
      <c r="O26" s="564"/>
      <c r="P26" s="603">
        <f t="shared" si="0"/>
        <v>0</v>
      </c>
      <c r="Q26" s="603"/>
      <c r="R26" s="608">
        <v>1</v>
      </c>
      <c r="S26" s="608"/>
      <c r="T26" s="95">
        <f t="shared" si="4"/>
        <v>0</v>
      </c>
      <c r="U26" s="474">
        <f t="shared" si="5"/>
        <v>0</v>
      </c>
    </row>
    <row r="27" spans="1:21" x14ac:dyDescent="0.25">
      <c r="A27" s="539" t="s">
        <v>86</v>
      </c>
      <c r="B27" s="539"/>
      <c r="C27" s="143">
        <v>6.17</v>
      </c>
      <c r="D27" s="143">
        <v>0</v>
      </c>
      <c r="E27" s="116">
        <f t="shared" si="1"/>
        <v>12.34</v>
      </c>
      <c r="F27" s="624">
        <f>'1461'!F27:G27</f>
        <v>1.208</v>
      </c>
      <c r="G27" s="624"/>
      <c r="H27" s="80">
        <f t="shared" si="2"/>
        <v>14.906700000000001</v>
      </c>
      <c r="I27" s="101">
        <f t="shared" si="3"/>
        <v>80002.86</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523.39</v>
      </c>
      <c r="D30" s="94">
        <f>SUM(D14:D29)</f>
        <v>0</v>
      </c>
      <c r="E30" s="94">
        <f>SUM(E14:E29)</f>
        <v>1046.78</v>
      </c>
      <c r="F30" s="543"/>
      <c r="G30" s="543"/>
      <c r="H30" s="99">
        <f>SUM(H14:H29)</f>
        <v>1109.3906999999999</v>
      </c>
      <c r="I30" s="94">
        <f>SUM(I14:I29)</f>
        <v>5953995.6800000006</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1109.3906999999999</v>
      </c>
      <c r="F46" s="34"/>
      <c r="G46" s="106"/>
      <c r="H46" s="107" t="s">
        <v>98</v>
      </c>
      <c r="I46" s="94">
        <f>SUM(I44,I30)</f>
        <v>5953995.6800000006</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5953995.6800000006</v>
      </c>
      <c r="G51" s="109" t="s">
        <v>6</v>
      </c>
      <c r="H51" s="402">
        <v>4.5199999999999997E-2</v>
      </c>
      <c r="I51" s="101">
        <f>ROUND(F51*H51,2)</f>
        <v>269120.59999999998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5953995.6800000006</v>
      </c>
      <c r="G52" s="109" t="s">
        <v>6</v>
      </c>
      <c r="H52" s="402">
        <v>1.41E-2</v>
      </c>
      <c r="I52" s="101">
        <f>ROUND(F52*H52,2)</f>
        <v>83951.34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353071.93999999994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34</v>
      </c>
      <c r="D57" s="143">
        <v>0</v>
      </c>
      <c r="E57" s="116">
        <f t="shared" ref="E57:E65" si="10">IF(D$66=0,C57*2,C57+D57)</f>
        <v>68</v>
      </c>
      <c r="F57" s="444" t="s">
        <v>435</v>
      </c>
      <c r="G57" s="444">
        <v>251</v>
      </c>
      <c r="H57" s="458">
        <f>'1461'!H57</f>
        <v>1047</v>
      </c>
      <c r="I57" s="101">
        <f>ROUND(E57*H57,2)</f>
        <v>71196</v>
      </c>
      <c r="N57" s="572" t="s">
        <v>443</v>
      </c>
      <c r="O57" s="572"/>
      <c r="P57" s="575"/>
      <c r="Q57" s="575"/>
      <c r="R57" s="450" t="s">
        <v>435</v>
      </c>
      <c r="S57" s="450">
        <v>251</v>
      </c>
      <c r="T57" s="461">
        <f>H57</f>
        <v>1047</v>
      </c>
      <c r="U57" s="475">
        <f>ROUND(P57*T57,2)</f>
        <v>0</v>
      </c>
      <c r="V57" s="425"/>
    </row>
    <row r="58" spans="1:22" x14ac:dyDescent="0.25">
      <c r="A58" s="550"/>
      <c r="B58" s="550"/>
      <c r="C58" s="143">
        <v>3.5</v>
      </c>
      <c r="D58" s="143">
        <v>0</v>
      </c>
      <c r="E58" s="116">
        <f t="shared" si="10"/>
        <v>7</v>
      </c>
      <c r="F58" s="444" t="s">
        <v>435</v>
      </c>
      <c r="G58" s="444">
        <v>252</v>
      </c>
      <c r="H58" s="458">
        <f>'1461'!H58</f>
        <v>3380</v>
      </c>
      <c r="I58" s="101">
        <f t="shared" ref="I58:I65" si="11">ROUND(E58*H58,2)</f>
        <v>23660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55.5</v>
      </c>
      <c r="D60" s="143">
        <v>0</v>
      </c>
      <c r="E60" s="116">
        <f t="shared" si="10"/>
        <v>111</v>
      </c>
      <c r="F60" s="445" t="s">
        <v>13</v>
      </c>
      <c r="G60" s="444">
        <v>251</v>
      </c>
      <c r="H60" s="458">
        <f>'1461'!H60</f>
        <v>1173</v>
      </c>
      <c r="I60" s="101">
        <f t="shared" si="11"/>
        <v>130203</v>
      </c>
      <c r="N60" s="573"/>
      <c r="O60" s="573"/>
      <c r="P60" s="576"/>
      <c r="Q60" s="576"/>
      <c r="R60" s="40" t="s">
        <v>13</v>
      </c>
      <c r="S60" s="450">
        <v>251</v>
      </c>
      <c r="T60" s="461">
        <f t="shared" si="12"/>
        <v>1173</v>
      </c>
      <c r="U60" s="475">
        <f t="shared" si="13"/>
        <v>0</v>
      </c>
      <c r="V60" s="425"/>
    </row>
    <row r="61" spans="1:22" x14ac:dyDescent="0.25">
      <c r="A61" s="550"/>
      <c r="B61" s="550"/>
      <c r="C61" s="143">
        <v>2</v>
      </c>
      <c r="D61" s="143">
        <v>0</v>
      </c>
      <c r="E61" s="116">
        <f t="shared" si="10"/>
        <v>4</v>
      </c>
      <c r="F61" s="445" t="s">
        <v>13</v>
      </c>
      <c r="G61" s="444">
        <v>252</v>
      </c>
      <c r="H61" s="458">
        <f>'1461'!H61</f>
        <v>3506</v>
      </c>
      <c r="I61" s="101">
        <f t="shared" si="11"/>
        <v>14024</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95</v>
      </c>
      <c r="D66" s="97">
        <f>SUM(D57:D65)</f>
        <v>0</v>
      </c>
      <c r="E66" s="97">
        <f>SUM(E57:E65)</f>
        <v>190</v>
      </c>
      <c r="F66" s="551" t="s">
        <v>444</v>
      </c>
      <c r="G66" s="551"/>
      <c r="H66" s="551"/>
      <c r="I66" s="97">
        <f>SUM(I57:I65)</f>
        <v>239083</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1046.78</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5.1489999999999999E-3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1109.3906999999999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4.8760000000000001E-3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1046.78</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5.6010000000000001E-3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1046.78</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5.1549999999999999E-3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1046.78</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5.607E-3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5.1549999999999999E-3</v>
      </c>
      <c r="I85" s="101">
        <f>ROUND(F85*H85,2)</f>
        <v>230250.84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5.1489999999999999E-3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5.607E-3</v>
      </c>
      <c r="I90" s="101">
        <f>ROUND(F90*H90,2)</f>
        <v>90648.66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5.6010000000000001E-3</v>
      </c>
      <c r="I92" s="101">
        <f t="shared" ref="I92:I96" si="14">ROUND(F92*H92,2)</f>
        <v>56234.59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4.8760000000000001E-3</v>
      </c>
      <c r="I94" s="101">
        <f t="shared" si="14"/>
        <v>1165352.6599999999</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4.8760000000000001E-3</v>
      </c>
      <c r="I96" s="101">
        <f t="shared" si="14"/>
        <v>-7801.83</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528.04399999999998</v>
      </c>
      <c r="D101" s="557"/>
      <c r="E101" s="46">
        <f>H8</f>
        <v>1.0442</v>
      </c>
      <c r="F101" s="304">
        <f>'1461'!F101</f>
        <v>947.59</v>
      </c>
      <c r="G101" s="39" t="s">
        <v>12</v>
      </c>
      <c r="H101" s="101">
        <f>ROUND(C101*E101*F101,2)</f>
        <v>522485.53</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581.34670000000006</v>
      </c>
      <c r="D102" s="557"/>
      <c r="E102" s="46">
        <f>H8</f>
        <v>1.0442</v>
      </c>
      <c r="F102" s="304">
        <f>'1461'!F102</f>
        <v>904.74</v>
      </c>
      <c r="G102" s="39" t="s">
        <v>12</v>
      </c>
      <c r="H102" s="101">
        <f>ROUND(C102*E102*F102,2)</f>
        <v>549215.38</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1109.3906999999999</v>
      </c>
      <c r="D104" s="547"/>
      <c r="E104" s="123"/>
      <c r="F104" s="123"/>
      <c r="G104" s="123"/>
      <c r="H104" s="124" t="s">
        <v>100</v>
      </c>
      <c r="I104" s="101">
        <f>IF(A1=75,0,H103+H102+H101)</f>
        <v>1071700.9100000001</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74</v>
      </c>
      <c r="D110" s="143">
        <v>0</v>
      </c>
      <c r="E110" s="116">
        <f>C110</f>
        <v>74</v>
      </c>
      <c r="F110" s="126" t="s">
        <v>30</v>
      </c>
      <c r="G110" s="305">
        <f>'1461'!G110</f>
        <v>565</v>
      </c>
      <c r="I110" s="101">
        <f>ROUND(G110*E110,2)</f>
        <v>41810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8841274.5100000016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8488202.5700000022</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8488202.5700000022</v>
      </c>
      <c r="I132" s="94">
        <f>ROUND(IF(E30=0,0,IF(E30&gt;250,-(((250/E30)*H132)*IF(G132="H",0.02,0.05)),IF(G132="H",-0.02*H132,-0.05*H132))),2)</f>
        <v>-40544.35</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8800730.160000002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-1499797.14-728430.29-728430.29-728430.29-728430.29-730234.96</f>
        <v>-5143753.26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3656976.9000000022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731395.38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129219.7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18"/>
  <sheetViews>
    <sheetView topLeftCell="A9" workbookViewId="0">
      <selection activeCell="C62" sqref="C6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117</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42.75</v>
      </c>
      <c r="D14" s="141">
        <v>0</v>
      </c>
      <c r="E14" s="187">
        <f>IF(D$30=0,C14*2,C14+D14)</f>
        <v>85.5</v>
      </c>
      <c r="F14" s="628">
        <f>'1461'!F14:G14</f>
        <v>1.1220000000000001</v>
      </c>
      <c r="G14" s="628"/>
      <c r="H14" s="145">
        <f>ROUND(E14*F14,4)</f>
        <v>95.930999999999997</v>
      </c>
      <c r="I14" s="111">
        <f>ROUND(ROUND(ROUND(H14*$C$8,4)*($H$8),2)*(MAX($H$9,1)),2)</f>
        <v>514852.67</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6.5</v>
      </c>
      <c r="D15" s="143">
        <v>0</v>
      </c>
      <c r="E15" s="116">
        <f t="shared" ref="E15:E29" si="1">IF(D$30=0,C15*2,C15+D15)</f>
        <v>13</v>
      </c>
      <c r="F15" s="624">
        <f>'1461'!F15:G15</f>
        <v>1.1220000000000001</v>
      </c>
      <c r="G15" s="624"/>
      <c r="H15" s="80">
        <f t="shared" ref="H15:H29" si="2">ROUND(E15*F15,4)</f>
        <v>14.586</v>
      </c>
      <c r="I15" s="101">
        <f t="shared" ref="I15:I29" si="3">ROUND(ROUND(ROUND(H15*$C$8,4)*($H$8),2)*(MAX($H$9,1)),2)</f>
        <v>78281.69</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60.66</v>
      </c>
      <c r="D16" s="143">
        <v>0</v>
      </c>
      <c r="E16" s="116">
        <f t="shared" si="1"/>
        <v>121.32</v>
      </c>
      <c r="F16" s="624">
        <f>'1461'!F16:G16</f>
        <v>1</v>
      </c>
      <c r="G16" s="624"/>
      <c r="H16" s="80">
        <f t="shared" si="2"/>
        <v>121.32</v>
      </c>
      <c r="I16" s="101">
        <f t="shared" si="3"/>
        <v>651113.04</v>
      </c>
      <c r="N16" s="564" t="s">
        <v>22</v>
      </c>
      <c r="O16" s="564"/>
      <c r="P16" s="603">
        <f t="shared" si="0"/>
        <v>0</v>
      </c>
      <c r="Q16" s="603"/>
      <c r="R16" s="608">
        <v>1</v>
      </c>
      <c r="S16" s="608"/>
      <c r="T16" s="95">
        <f t="shared" si="4"/>
        <v>0</v>
      </c>
      <c r="U16" s="474">
        <f t="shared" si="5"/>
        <v>0</v>
      </c>
    </row>
    <row r="17" spans="1:21" x14ac:dyDescent="0.25">
      <c r="A17" s="539" t="s">
        <v>23</v>
      </c>
      <c r="B17" s="539"/>
      <c r="C17" s="143">
        <v>13</v>
      </c>
      <c r="D17" s="143">
        <v>0</v>
      </c>
      <c r="E17" s="116">
        <f t="shared" si="1"/>
        <v>26</v>
      </c>
      <c r="F17" s="624">
        <f>'1461'!F17:G17</f>
        <v>1</v>
      </c>
      <c r="G17" s="624"/>
      <c r="H17" s="80">
        <f t="shared" si="2"/>
        <v>26</v>
      </c>
      <c r="I17" s="101">
        <f t="shared" si="3"/>
        <v>139539.56</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2.75</v>
      </c>
      <c r="D26" s="143">
        <v>0</v>
      </c>
      <c r="E26" s="116">
        <f t="shared" si="1"/>
        <v>5.5</v>
      </c>
      <c r="F26" s="624">
        <f>'1461'!F26:G26</f>
        <v>1.208</v>
      </c>
      <c r="G26" s="624"/>
      <c r="H26" s="80">
        <f t="shared" si="2"/>
        <v>6.6440000000000001</v>
      </c>
      <c r="I26" s="101">
        <f t="shared" si="3"/>
        <v>35657.72</v>
      </c>
      <c r="N26" s="564" t="s">
        <v>85</v>
      </c>
      <c r="O26" s="564"/>
      <c r="P26" s="603">
        <f t="shared" si="0"/>
        <v>0</v>
      </c>
      <c r="Q26" s="603"/>
      <c r="R26" s="608">
        <v>1</v>
      </c>
      <c r="S26" s="608"/>
      <c r="T26" s="95">
        <f t="shared" si="4"/>
        <v>0</v>
      </c>
      <c r="U26" s="474">
        <f t="shared" si="5"/>
        <v>0</v>
      </c>
    </row>
    <row r="27" spans="1:21" x14ac:dyDescent="0.25">
      <c r="A27" s="539" t="s">
        <v>86</v>
      </c>
      <c r="B27" s="539"/>
      <c r="C27" s="143">
        <v>1.34</v>
      </c>
      <c r="D27" s="143">
        <v>0</v>
      </c>
      <c r="E27" s="116">
        <f t="shared" si="1"/>
        <v>2.68</v>
      </c>
      <c r="F27" s="624">
        <f>'1461'!F27:G27</f>
        <v>1.208</v>
      </c>
      <c r="G27" s="624"/>
      <c r="H27" s="80">
        <f t="shared" si="2"/>
        <v>3.2374000000000001</v>
      </c>
      <c r="I27" s="101">
        <f t="shared" si="3"/>
        <v>17374.82</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127</v>
      </c>
      <c r="D30" s="94">
        <f>SUM(D14:D29)</f>
        <v>0</v>
      </c>
      <c r="E30" s="94">
        <f>SUM(E14:E29)</f>
        <v>254</v>
      </c>
      <c r="F30" s="543"/>
      <c r="G30" s="543"/>
      <c r="H30" s="99">
        <f>SUM(H14:H29)</f>
        <v>267.71839999999997</v>
      </c>
      <c r="I30" s="94">
        <f>SUM(I14:I29)</f>
        <v>1436819.5</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267.71839999999997</v>
      </c>
      <c r="F46" s="34"/>
      <c r="G46" s="106"/>
      <c r="H46" s="107" t="s">
        <v>98</v>
      </c>
      <c r="I46" s="94">
        <f>SUM(I44,I30)</f>
        <v>1436819.5</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1436819.5</v>
      </c>
      <c r="G51" s="109" t="s">
        <v>6</v>
      </c>
      <c r="H51" s="402">
        <v>4.5199999999999997E-2</v>
      </c>
      <c r="I51" s="101">
        <f>ROUND(F51*H51,2)</f>
        <v>64944.24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1436819.5</v>
      </c>
      <c r="G52" s="109" t="s">
        <v>6</v>
      </c>
      <c r="H52" s="402">
        <v>1.41E-2</v>
      </c>
      <c r="I52" s="101">
        <f>ROUND(F52*H52,2)</f>
        <v>20259.150000000001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85203.39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5.5</v>
      </c>
      <c r="D57" s="143">
        <v>0</v>
      </c>
      <c r="E57" s="116">
        <f t="shared" ref="E57:E65" si="10">IF(D$66=0,C57*2,C57+D57)</f>
        <v>11</v>
      </c>
      <c r="F57" s="444" t="s">
        <v>435</v>
      </c>
      <c r="G57" s="444">
        <v>251</v>
      </c>
      <c r="H57" s="458">
        <f>'1461'!H57</f>
        <v>1047</v>
      </c>
      <c r="I57" s="101">
        <f>ROUND(E57*H57,2)</f>
        <v>11517</v>
      </c>
      <c r="N57" s="572" t="s">
        <v>443</v>
      </c>
      <c r="O57" s="572"/>
      <c r="P57" s="575"/>
      <c r="Q57" s="575"/>
      <c r="R57" s="450" t="s">
        <v>435</v>
      </c>
      <c r="S57" s="450">
        <v>251</v>
      </c>
      <c r="T57" s="461">
        <f>H57</f>
        <v>1047</v>
      </c>
      <c r="U57" s="475">
        <f>ROUND(P57*T57,2)</f>
        <v>0</v>
      </c>
      <c r="V57" s="425"/>
    </row>
    <row r="58" spans="1:22" x14ac:dyDescent="0.25">
      <c r="A58" s="550"/>
      <c r="B58" s="550"/>
      <c r="C58" s="143">
        <v>1</v>
      </c>
      <c r="D58" s="143">
        <v>0</v>
      </c>
      <c r="E58" s="116">
        <f t="shared" si="10"/>
        <v>2</v>
      </c>
      <c r="F58" s="444" t="s">
        <v>435</v>
      </c>
      <c r="G58" s="444">
        <v>252</v>
      </c>
      <c r="H58" s="458">
        <f>'1461'!H58</f>
        <v>3380</v>
      </c>
      <c r="I58" s="101">
        <f t="shared" ref="I58:I65" si="11">ROUND(E58*H58,2)</f>
        <v>6760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12.5</v>
      </c>
      <c r="D60" s="143">
        <v>0</v>
      </c>
      <c r="E60" s="116">
        <f t="shared" si="10"/>
        <v>25</v>
      </c>
      <c r="F60" s="445" t="s">
        <v>13</v>
      </c>
      <c r="G60" s="444">
        <v>251</v>
      </c>
      <c r="H60" s="458">
        <f>'1461'!H60</f>
        <v>1173</v>
      </c>
      <c r="I60" s="101">
        <f t="shared" si="11"/>
        <v>29325</v>
      </c>
      <c r="N60" s="573"/>
      <c r="O60" s="573"/>
      <c r="P60" s="576"/>
      <c r="Q60" s="576"/>
      <c r="R60" s="40" t="s">
        <v>13</v>
      </c>
      <c r="S60" s="450">
        <v>251</v>
      </c>
      <c r="T60" s="461">
        <f t="shared" si="12"/>
        <v>1173</v>
      </c>
      <c r="U60" s="475">
        <f t="shared" si="13"/>
        <v>0</v>
      </c>
      <c r="V60" s="425"/>
    </row>
    <row r="61" spans="1:22" x14ac:dyDescent="0.25">
      <c r="A61" s="550"/>
      <c r="B61" s="550"/>
      <c r="C61" s="143">
        <v>0.5</v>
      </c>
      <c r="D61" s="143">
        <v>0</v>
      </c>
      <c r="E61" s="116">
        <f t="shared" si="10"/>
        <v>1</v>
      </c>
      <c r="F61" s="445" t="s">
        <v>13</v>
      </c>
      <c r="G61" s="444">
        <v>252</v>
      </c>
      <c r="H61" s="458">
        <f>'1461'!H61</f>
        <v>3506</v>
      </c>
      <c r="I61" s="101">
        <f t="shared" si="11"/>
        <v>3506</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19.5</v>
      </c>
      <c r="D66" s="97">
        <f>SUM(D57:D65)</f>
        <v>0</v>
      </c>
      <c r="E66" s="97">
        <f>SUM(E57:E65)</f>
        <v>39</v>
      </c>
      <c r="F66" s="551" t="s">
        <v>444</v>
      </c>
      <c r="G66" s="551"/>
      <c r="H66" s="551"/>
      <c r="I66" s="97">
        <f>SUM(I57:I65)</f>
        <v>51108</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254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1.2489999999999999E-3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267.71839999999997</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1.1770000000000001E-3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254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1.359E-3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254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1.2509999999999999E-3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254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1.361E-3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1.2509999999999999E-3</v>
      </c>
      <c r="I85" s="101">
        <f>ROUND(F85*H85,2)</f>
        <v>55876.59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1.2489999999999999E-3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1.361E-3</v>
      </c>
      <c r="I90" s="101">
        <f>ROUND(F90*H90,2)</f>
        <v>22003.360000000001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1.359E-3</v>
      </c>
      <c r="I92" s="101">
        <f t="shared" ref="I92:I96" si="14">ROUND(F92*H92,2)</f>
        <v>13644.49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1.1770000000000001E-3</v>
      </c>
      <c r="I94" s="101">
        <f t="shared" si="14"/>
        <v>281300.26</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1.1770000000000001E-3</v>
      </c>
      <c r="I96" s="101">
        <f t="shared" si="14"/>
        <v>-1883.26</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117.161</v>
      </c>
      <c r="D101" s="557"/>
      <c r="E101" s="46">
        <f>H8</f>
        <v>1.0442</v>
      </c>
      <c r="F101" s="304">
        <f>'1461'!F101</f>
        <v>947.59</v>
      </c>
      <c r="G101" s="39" t="s">
        <v>12</v>
      </c>
      <c r="H101" s="101">
        <f>ROUND(C101*E101*F101,2)</f>
        <v>115927.7</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150.5574</v>
      </c>
      <c r="D102" s="557"/>
      <c r="E102" s="46">
        <f>H8</f>
        <v>1.0442</v>
      </c>
      <c r="F102" s="304">
        <f>'1461'!F102</f>
        <v>904.74</v>
      </c>
      <c r="G102" s="39" t="s">
        <v>12</v>
      </c>
      <c r="H102" s="101">
        <f>ROUND(C102*E102*F102,2)</f>
        <v>142236.01999999999</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267.71839999999997</v>
      </c>
      <c r="D104" s="547"/>
      <c r="E104" s="123"/>
      <c r="F104" s="123"/>
      <c r="G104" s="123"/>
      <c r="H104" s="124" t="s">
        <v>100</v>
      </c>
      <c r="I104" s="101">
        <f>IF(A1=75,0,H103+H102+H101)</f>
        <v>258163.71999999997</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249</v>
      </c>
      <c r="D110" s="143">
        <v>0</v>
      </c>
      <c r="E110" s="116">
        <f>C110</f>
        <v>249</v>
      </c>
      <c r="F110" s="126" t="s">
        <v>30</v>
      </c>
      <c r="G110" s="305">
        <f>'1461'!G110</f>
        <v>565</v>
      </c>
      <c r="I110" s="101">
        <f>ROUND(G110*E110,2)</f>
        <v>140685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2257717.66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2172514.27</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2172514.27</v>
      </c>
      <c r="I132" s="94">
        <f>ROUND(IF(E30=0,0,IF(E30&gt;250,-(((250/E30)*H132)*IF(G132="H",0.02,0.05)),IF(G132="H",-0.02*H132,-0.05*H132))),2)</f>
        <v>-106915.07</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2150802.5900000003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-377598.46-183750.86-183750.85-183750.86-183750.85-169104.09</f>
        <v>-1281705.9700000002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869096.62000000011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173819.32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1710.64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18"/>
  <sheetViews>
    <sheetView topLeftCell="A18"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0.5</v>
      </c>
      <c r="D17" s="143">
        <v>0</v>
      </c>
      <c r="E17" s="116">
        <f t="shared" si="1"/>
        <v>1</v>
      </c>
      <c r="F17" s="624">
        <f>'1461'!F17:G17</f>
        <v>1</v>
      </c>
      <c r="G17" s="624"/>
      <c r="H17" s="80">
        <f t="shared" si="2"/>
        <v>1</v>
      </c>
      <c r="I17" s="101">
        <f t="shared" si="3"/>
        <v>5366.91</v>
      </c>
      <c r="J17" s="65" t="str">
        <f>IF(ROUND(E17,2)=ROUND(SUM(E60:E62),2)," ","CHECK 4-8 LINES BELOW")</f>
        <v xml:space="preserve"> </v>
      </c>
      <c r="N17" s="564" t="s">
        <v>23</v>
      </c>
      <c r="O17" s="564"/>
      <c r="P17" s="603">
        <f t="shared" si="0"/>
        <v>1</v>
      </c>
      <c r="Q17" s="603"/>
      <c r="R17" s="608">
        <v>1</v>
      </c>
      <c r="S17" s="608"/>
      <c r="T17" s="95">
        <f t="shared" si="4"/>
        <v>1</v>
      </c>
      <c r="U17" s="474">
        <f t="shared" si="5"/>
        <v>5366.91</v>
      </c>
    </row>
    <row r="18" spans="1:21" x14ac:dyDescent="0.25">
      <c r="A18" s="539" t="s">
        <v>24</v>
      </c>
      <c r="B18" s="539"/>
      <c r="C18" s="143">
        <v>0</v>
      </c>
      <c r="D18" s="143"/>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10.5</v>
      </c>
      <c r="D19" s="143">
        <v>0</v>
      </c>
      <c r="E19" s="116">
        <f t="shared" si="1"/>
        <v>21</v>
      </c>
      <c r="F19" s="624">
        <f>'1461'!F19:G19</f>
        <v>0.98799999999999999</v>
      </c>
      <c r="G19" s="624"/>
      <c r="H19" s="80">
        <f t="shared" si="2"/>
        <v>20.748000000000001</v>
      </c>
      <c r="I19" s="101">
        <f t="shared" si="3"/>
        <v>111352.57</v>
      </c>
      <c r="J19" s="65" t="str">
        <f>IF(ROUND(E19,2)=ROUND(SUM(E63:E65),2)," ","CHECK 4-8 LINES BELOW")</f>
        <v xml:space="preserve"> </v>
      </c>
      <c r="N19" s="564" t="s">
        <v>25</v>
      </c>
      <c r="O19" s="564"/>
      <c r="P19" s="603">
        <f t="shared" si="0"/>
        <v>21</v>
      </c>
      <c r="Q19" s="603"/>
      <c r="R19" s="608">
        <v>1</v>
      </c>
      <c r="S19" s="608"/>
      <c r="T19" s="95">
        <f t="shared" si="4"/>
        <v>21</v>
      </c>
      <c r="U19" s="473">
        <f t="shared" si="5"/>
        <v>112705.03</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0.48</v>
      </c>
      <c r="D25" s="143">
        <v>0</v>
      </c>
      <c r="E25" s="116">
        <f t="shared" si="1"/>
        <v>0.96</v>
      </c>
      <c r="F25" s="624">
        <f>'1461'!F25:G25</f>
        <v>5.7069999999999999</v>
      </c>
      <c r="G25" s="624"/>
      <c r="H25" s="80">
        <f t="shared" si="2"/>
        <v>5.4786999999999999</v>
      </c>
      <c r="I25" s="101">
        <f t="shared" si="3"/>
        <v>29403.67</v>
      </c>
      <c r="N25" s="564" t="s">
        <v>84</v>
      </c>
      <c r="O25" s="564"/>
      <c r="P25" s="603">
        <f t="shared" si="0"/>
        <v>0.96</v>
      </c>
      <c r="Q25" s="603"/>
      <c r="R25" s="608">
        <v>1</v>
      </c>
      <c r="S25" s="608"/>
      <c r="T25" s="95">
        <f t="shared" si="4"/>
        <v>0.96</v>
      </c>
      <c r="U25" s="474">
        <f t="shared" si="5"/>
        <v>5152.2299999999996</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11.48</v>
      </c>
      <c r="D30" s="94">
        <f>SUM(D14:D29)</f>
        <v>0</v>
      </c>
      <c r="E30" s="94">
        <f>SUM(E14:E29)</f>
        <v>22.96</v>
      </c>
      <c r="F30" s="543"/>
      <c r="G30" s="543"/>
      <c r="H30" s="99">
        <f>SUM(H14:H29)</f>
        <v>27.226700000000001</v>
      </c>
      <c r="I30" s="94">
        <f>SUM(I14:I29)</f>
        <v>146123.15000000002</v>
      </c>
      <c r="N30" s="605" t="s">
        <v>5</v>
      </c>
      <c r="O30" s="605"/>
      <c r="P30" s="606">
        <f>SUM(P14:P29)</f>
        <v>22.96</v>
      </c>
      <c r="Q30" s="606"/>
      <c r="R30" s="571"/>
      <c r="S30" s="571"/>
      <c r="T30" s="100">
        <f>SUM(T14:T29)</f>
        <v>22.96</v>
      </c>
      <c r="U30" s="474">
        <f>SUM(U14:U29)</f>
        <v>123224.17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27.226700000000001</v>
      </c>
      <c r="F46" s="34"/>
      <c r="G46" s="106"/>
      <c r="H46" s="107" t="s">
        <v>98</v>
      </c>
      <c r="I46" s="94">
        <f>SUM(I44,I30)</f>
        <v>146123.15000000002</v>
      </c>
      <c r="N46" s="562" t="s">
        <v>44</v>
      </c>
      <c r="O46" s="562"/>
      <c r="P46" s="562"/>
      <c r="Q46" s="562"/>
      <c r="R46" s="35">
        <f>R44+T30</f>
        <v>22.96</v>
      </c>
      <c r="S46" s="571" t="s">
        <v>42</v>
      </c>
      <c r="T46" s="571"/>
      <c r="U46" s="108">
        <f>SUM(U44,U30)</f>
        <v>123224.17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146123.15000000002</v>
      </c>
      <c r="G51" s="109" t="s">
        <v>6</v>
      </c>
      <c r="H51" s="402">
        <v>4.5199999999999997E-2</v>
      </c>
      <c r="I51" s="101">
        <f>ROUND(F51*H51,2)</f>
        <v>6604.77</v>
      </c>
      <c r="N51" s="407"/>
      <c r="O51" s="408" t="s">
        <v>395</v>
      </c>
      <c r="P51" s="28"/>
      <c r="Q51" s="44" t="s">
        <v>396</v>
      </c>
      <c r="R51" s="409">
        <f>U30</f>
        <v>123224.17</v>
      </c>
      <c r="S51" s="410" t="s">
        <v>6</v>
      </c>
      <c r="T51" s="411">
        <v>4.5199999999999997E-2</v>
      </c>
      <c r="U51" s="403">
        <f>ROUND(R51*T51,2)</f>
        <v>5569.73</v>
      </c>
    </row>
    <row r="52" spans="1:22" x14ac:dyDescent="0.25">
      <c r="A52" s="26"/>
      <c r="B52" s="81" t="s">
        <v>397</v>
      </c>
      <c r="C52" s="26"/>
      <c r="D52" s="26"/>
      <c r="E52" s="43" t="s">
        <v>396</v>
      </c>
      <c r="F52" s="401">
        <f>I46</f>
        <v>146123.15000000002</v>
      </c>
      <c r="G52" s="109" t="s">
        <v>6</v>
      </c>
      <c r="H52" s="402">
        <v>1.41E-2</v>
      </c>
      <c r="I52" s="101">
        <f>ROUND(F52*H52,2)</f>
        <v>2060.34</v>
      </c>
      <c r="N52" s="28"/>
      <c r="O52" s="384" t="s">
        <v>397</v>
      </c>
      <c r="P52" s="28"/>
      <c r="Q52" s="44" t="s">
        <v>396</v>
      </c>
      <c r="R52" s="409">
        <f>U30</f>
        <v>123224.17</v>
      </c>
      <c r="S52" s="410" t="s">
        <v>6</v>
      </c>
      <c r="T52" s="411">
        <v>1.41E-2</v>
      </c>
      <c r="U52" s="412">
        <f>ROUND(R52*T52,2)</f>
        <v>1737.46</v>
      </c>
    </row>
    <row r="53" spans="1:22" x14ac:dyDescent="0.25">
      <c r="A53" s="26"/>
      <c r="B53" s="81" t="s">
        <v>398</v>
      </c>
      <c r="C53" s="26"/>
      <c r="D53" s="26"/>
      <c r="E53" s="43"/>
      <c r="F53" s="401"/>
      <c r="G53" s="109"/>
      <c r="H53" s="402"/>
      <c r="I53" s="97">
        <f>SUM(I51:I52)</f>
        <v>8665.11</v>
      </c>
      <c r="N53" s="28"/>
      <c r="O53" s="384" t="s">
        <v>398</v>
      </c>
      <c r="P53" s="28"/>
      <c r="Q53" s="44"/>
      <c r="R53" s="409"/>
      <c r="S53" s="410"/>
      <c r="T53" s="411"/>
      <c r="U53" s="403">
        <f>SUM(U51:U52)</f>
        <v>7307.19</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0.5</v>
      </c>
      <c r="D62" s="143">
        <v>0</v>
      </c>
      <c r="E62" s="116">
        <f t="shared" si="10"/>
        <v>1</v>
      </c>
      <c r="F62" s="445" t="s">
        <v>13</v>
      </c>
      <c r="G62" s="444">
        <v>253</v>
      </c>
      <c r="H62" s="458">
        <f>'1461'!H62</f>
        <v>7023</v>
      </c>
      <c r="I62" s="101">
        <f t="shared" si="11"/>
        <v>7023</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10.5</v>
      </c>
      <c r="D65" s="143">
        <v>0</v>
      </c>
      <c r="E65" s="116">
        <f t="shared" si="10"/>
        <v>21</v>
      </c>
      <c r="F65" s="445" t="s">
        <v>14</v>
      </c>
      <c r="G65" s="444">
        <v>253</v>
      </c>
      <c r="H65" s="458">
        <f>'1461'!H65</f>
        <v>6685</v>
      </c>
      <c r="I65" s="101">
        <f t="shared" si="11"/>
        <v>140385</v>
      </c>
      <c r="N65" s="573"/>
      <c r="O65" s="573"/>
      <c r="P65" s="577"/>
      <c r="Q65" s="577"/>
      <c r="R65" s="40" t="s">
        <v>14</v>
      </c>
      <c r="S65" s="450">
        <v>253</v>
      </c>
      <c r="T65" s="461">
        <f t="shared" si="12"/>
        <v>6685</v>
      </c>
      <c r="U65" s="476">
        <f t="shared" si="13"/>
        <v>0</v>
      </c>
      <c r="V65" s="425"/>
    </row>
    <row r="66" spans="1:22" ht="16.5" thickBot="1" x14ac:dyDescent="0.3">
      <c r="A66" s="441"/>
      <c r="C66" s="97">
        <f>SUM(C57:C65)</f>
        <v>11</v>
      </c>
      <c r="D66" s="97">
        <f>SUM(D57:D65)</f>
        <v>0</v>
      </c>
      <c r="E66" s="97">
        <f>SUM(E57:E65)</f>
        <v>22</v>
      </c>
      <c r="F66" s="551" t="s">
        <v>444</v>
      </c>
      <c r="G66" s="551"/>
      <c r="H66" s="551"/>
      <c r="I66" s="97">
        <f>SUM(I57:I65)</f>
        <v>147408</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22.96</v>
      </c>
      <c r="D69" s="526" t="s">
        <v>410</v>
      </c>
      <c r="E69" s="526"/>
      <c r="F69" s="526"/>
      <c r="G69" s="526"/>
      <c r="H69" s="301">
        <f>'1461'!H69</f>
        <v>203305.63</v>
      </c>
      <c r="I69" s="113"/>
      <c r="N69" s="566" t="s">
        <v>403</v>
      </c>
      <c r="O69" s="564"/>
      <c r="P69" s="41">
        <f>P30</f>
        <v>22.96</v>
      </c>
      <c r="Q69" s="567" t="s">
        <v>405</v>
      </c>
      <c r="R69" s="568"/>
      <c r="S69" s="568"/>
      <c r="T69" s="563">
        <f>H69</f>
        <v>203305.63</v>
      </c>
      <c r="U69" s="563"/>
    </row>
    <row r="70" spans="1:22" x14ac:dyDescent="0.25">
      <c r="B70" s="69"/>
      <c r="G70" s="42" t="s">
        <v>12</v>
      </c>
      <c r="H70" s="114">
        <f>ROUND(C69/H69,6)</f>
        <v>1.13E-4</v>
      </c>
      <c r="I70" s="115"/>
      <c r="N70" s="564"/>
      <c r="O70" s="564"/>
      <c r="P70" s="564"/>
      <c r="Q70" s="564"/>
      <c r="R70" s="564"/>
      <c r="S70" s="564"/>
      <c r="T70" s="565">
        <f>ROUND(P69/T69,6)</f>
        <v>1.13E-4</v>
      </c>
      <c r="U70" s="565"/>
    </row>
    <row r="71" spans="1:22" x14ac:dyDescent="0.25">
      <c r="A71" s="443" t="s">
        <v>447</v>
      </c>
      <c r="N71" s="454" t="s">
        <v>455</v>
      </c>
      <c r="O71" s="51"/>
      <c r="P71" s="51"/>
      <c r="Q71" s="51"/>
      <c r="R71" s="51"/>
      <c r="S71" s="51"/>
      <c r="T71" s="51"/>
      <c r="U71" s="51"/>
    </row>
    <row r="72" spans="1:22" x14ac:dyDescent="0.25">
      <c r="A72" s="545" t="s">
        <v>400</v>
      </c>
      <c r="B72" s="539"/>
      <c r="C72" s="112">
        <f>H30</f>
        <v>27.226700000000001</v>
      </c>
      <c r="D72" s="526" t="s">
        <v>411</v>
      </c>
      <c r="E72" s="526"/>
      <c r="F72" s="526"/>
      <c r="G72" s="526"/>
      <c r="H72" s="302">
        <f>'1461'!H72</f>
        <v>227540.36</v>
      </c>
      <c r="I72" s="116"/>
      <c r="N72" s="566" t="s">
        <v>404</v>
      </c>
      <c r="O72" s="564"/>
      <c r="P72" s="41">
        <f>T30</f>
        <v>22.96</v>
      </c>
      <c r="Q72" s="567" t="s">
        <v>406</v>
      </c>
      <c r="R72" s="568"/>
      <c r="S72" s="568"/>
      <c r="T72" s="563">
        <f>H72</f>
        <v>227540.36</v>
      </c>
      <c r="U72" s="563"/>
    </row>
    <row r="73" spans="1:22" x14ac:dyDescent="0.25">
      <c r="G73" s="42" t="s">
        <v>12</v>
      </c>
      <c r="H73" s="114">
        <f>ROUND(C72/H72,6)</f>
        <v>1.2E-4</v>
      </c>
      <c r="I73" s="114"/>
      <c r="N73" s="564"/>
      <c r="O73" s="564"/>
      <c r="P73" s="564"/>
      <c r="Q73" s="564"/>
      <c r="R73" s="564"/>
      <c r="S73" s="564"/>
      <c r="T73" s="565">
        <f>ROUND(P72/T72,6)</f>
        <v>1.01E-4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22.96</v>
      </c>
      <c r="D75" s="518" t="s">
        <v>412</v>
      </c>
      <c r="E75" s="518"/>
      <c r="F75" s="518"/>
      <c r="G75" s="518"/>
      <c r="H75" s="301">
        <f>'1461'!H75</f>
        <v>186907.73</v>
      </c>
      <c r="I75" s="113"/>
      <c r="N75" s="566" t="s">
        <v>402</v>
      </c>
      <c r="O75" s="564"/>
      <c r="P75" s="41">
        <f>P30</f>
        <v>22.96</v>
      </c>
      <c r="Q75" s="597" t="s">
        <v>407</v>
      </c>
      <c r="R75" s="598"/>
      <c r="S75" s="598"/>
      <c r="T75" s="563">
        <f>H75</f>
        <v>186907.73</v>
      </c>
      <c r="U75" s="563"/>
    </row>
    <row r="76" spans="1:22" x14ac:dyDescent="0.25">
      <c r="B76" s="69"/>
      <c r="G76" s="42" t="s">
        <v>12</v>
      </c>
      <c r="H76" s="114">
        <f>ROUND(C75/H75,6)</f>
        <v>1.2300000000000001E-4</v>
      </c>
      <c r="I76" s="115"/>
      <c r="N76" s="564"/>
      <c r="O76" s="564"/>
      <c r="P76" s="564"/>
      <c r="Q76" s="564"/>
      <c r="R76" s="564"/>
      <c r="S76" s="564"/>
      <c r="T76" s="565">
        <f>ROUND(P75/T75,6)</f>
        <v>1.2300000000000001E-4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22.96</v>
      </c>
      <c r="D78" s="546" t="s">
        <v>413</v>
      </c>
      <c r="E78" s="546"/>
      <c r="F78" s="546"/>
      <c r="G78" s="546"/>
      <c r="H78" s="301">
        <f>'1461'!H78</f>
        <v>203080.55</v>
      </c>
      <c r="I78" s="113"/>
      <c r="N78" s="566" t="s">
        <v>402</v>
      </c>
      <c r="O78" s="564"/>
      <c r="P78" s="41">
        <f>P30</f>
        <v>22.96</v>
      </c>
      <c r="Q78" s="595" t="s">
        <v>408</v>
      </c>
      <c r="R78" s="596"/>
      <c r="S78" s="596"/>
      <c r="T78" s="563">
        <f>H78</f>
        <v>203080.55</v>
      </c>
      <c r="U78" s="563"/>
    </row>
    <row r="79" spans="1:22" x14ac:dyDescent="0.25">
      <c r="B79" s="69"/>
      <c r="G79" s="42" t="s">
        <v>12</v>
      </c>
      <c r="H79" s="114">
        <f>ROUND(C78/H78,6)</f>
        <v>1.13E-4</v>
      </c>
      <c r="I79" s="115"/>
      <c r="N79" s="564"/>
      <c r="O79" s="564"/>
      <c r="P79" s="564"/>
      <c r="Q79" s="564"/>
      <c r="R79" s="564"/>
      <c r="S79" s="564"/>
      <c r="T79" s="565">
        <f>ROUND(P78/T78,6)</f>
        <v>1.13E-4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22.96</v>
      </c>
      <c r="D81" s="518" t="s">
        <v>414</v>
      </c>
      <c r="E81" s="518"/>
      <c r="F81" s="518"/>
      <c r="G81" s="518"/>
      <c r="H81" s="301">
        <f>'1461'!H81</f>
        <v>186682.65</v>
      </c>
      <c r="I81" s="113"/>
      <c r="N81" s="566" t="s">
        <v>415</v>
      </c>
      <c r="O81" s="564"/>
      <c r="P81" s="41">
        <f>P30</f>
        <v>22.96</v>
      </c>
      <c r="Q81" s="597" t="s">
        <v>416</v>
      </c>
      <c r="R81" s="598"/>
      <c r="S81" s="598"/>
      <c r="T81" s="563">
        <f>H81</f>
        <v>186682.65</v>
      </c>
      <c r="U81" s="563"/>
    </row>
    <row r="82" spans="1:21" x14ac:dyDescent="0.25">
      <c r="B82" s="69"/>
      <c r="G82" s="42" t="s">
        <v>12</v>
      </c>
      <c r="H82" s="114">
        <f>ROUND(C81/H81,6)</f>
        <v>1.2300000000000001E-4</v>
      </c>
      <c r="I82" s="115"/>
      <c r="N82" s="564"/>
      <c r="O82" s="564"/>
      <c r="P82" s="564"/>
      <c r="Q82" s="564"/>
      <c r="R82" s="564"/>
      <c r="S82" s="564"/>
      <c r="T82" s="565">
        <f>ROUND(P81/T81,6)</f>
        <v>1.2300000000000001E-4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1.13E-4</v>
      </c>
      <c r="I85" s="101">
        <f>ROUND(F85*H85,2)</f>
        <v>5047.21</v>
      </c>
      <c r="N85" s="454" t="s">
        <v>451</v>
      </c>
      <c r="O85" s="51"/>
      <c r="P85" s="51"/>
      <c r="Q85" s="44"/>
      <c r="R85" s="420">
        <f>F85</f>
        <v>44665536</v>
      </c>
      <c r="S85" s="38" t="s">
        <v>6</v>
      </c>
      <c r="T85" s="422">
        <f>T79</f>
        <v>1.13E-4</v>
      </c>
      <c r="U85" s="474">
        <f>ROUND(R85*T85,2)</f>
        <v>5047.21</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1.13E-4</v>
      </c>
      <c r="I88" s="101">
        <f>ROUND(F88*H88,2)</f>
        <v>0</v>
      </c>
      <c r="N88" s="599" t="s">
        <v>99</v>
      </c>
      <c r="O88" s="564"/>
      <c r="P88" s="564"/>
      <c r="Q88" s="44"/>
      <c r="R88" s="420">
        <f>F88</f>
        <v>0</v>
      </c>
      <c r="S88" s="38" t="s">
        <v>6</v>
      </c>
      <c r="T88" s="422">
        <f>T70</f>
        <v>1.13E-4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1.2300000000000001E-4</v>
      </c>
      <c r="I90" s="101">
        <f>ROUND(F90*H90,2)</f>
        <v>1988.55</v>
      </c>
      <c r="N90" s="454" t="s">
        <v>452</v>
      </c>
      <c r="O90" s="51"/>
      <c r="P90" s="51"/>
      <c r="Q90" s="44"/>
      <c r="R90" s="420">
        <f>F90</f>
        <v>16167052</v>
      </c>
      <c r="S90" s="38" t="s">
        <v>6</v>
      </c>
      <c r="T90" s="422">
        <f>T82</f>
        <v>1.2300000000000001E-4</v>
      </c>
      <c r="U90" s="474">
        <f>ROUND(R90*T90,2)</f>
        <v>1988.55</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1.2300000000000001E-4</v>
      </c>
      <c r="I92" s="101">
        <f t="shared" ref="I92:I96" si="14">ROUND(F92*H92,2)</f>
        <v>1234.93</v>
      </c>
      <c r="N92" s="454" t="s">
        <v>453</v>
      </c>
      <c r="O92" s="51"/>
      <c r="P92" s="51"/>
      <c r="Q92" s="44"/>
      <c r="R92" s="420">
        <f t="shared" ref="R92:R96" si="15">F92</f>
        <v>10040099</v>
      </c>
      <c r="S92" s="38" t="s">
        <v>6</v>
      </c>
      <c r="T92" s="422">
        <f>T76</f>
        <v>1.2300000000000001E-4</v>
      </c>
      <c r="U92" s="474">
        <f>ROUND(R92*T92,2)</f>
        <v>1234.93</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1.2E-4</v>
      </c>
      <c r="I94" s="101">
        <f t="shared" si="14"/>
        <v>28679.72</v>
      </c>
      <c r="N94" s="564" t="s">
        <v>418</v>
      </c>
      <c r="O94" s="564"/>
      <c r="P94" s="564"/>
      <c r="Q94" s="44"/>
      <c r="R94" s="420">
        <f t="shared" si="15"/>
        <v>238997674</v>
      </c>
      <c r="S94" s="38" t="s">
        <v>6</v>
      </c>
      <c r="T94" s="422">
        <f>T73</f>
        <v>1.01E-4</v>
      </c>
      <c r="U94" s="474">
        <f>ROUND(R94*T94,2)</f>
        <v>24138.77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1.2E-4</v>
      </c>
      <c r="I96" s="101">
        <f t="shared" si="14"/>
        <v>-192.01</v>
      </c>
      <c r="N96" s="566" t="s">
        <v>419</v>
      </c>
      <c r="O96" s="564"/>
      <c r="P96" s="564"/>
      <c r="Q96" s="44"/>
      <c r="R96" s="420">
        <f t="shared" si="15"/>
        <v>-1600047</v>
      </c>
      <c r="S96" s="38" t="s">
        <v>6</v>
      </c>
      <c r="T96" s="422">
        <f>T73</f>
        <v>1.01E-4</v>
      </c>
      <c r="U96" s="474">
        <f>ROUND(R96*T96,2)</f>
        <v>-161.6</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v>
      </c>
      <c r="D102" s="557"/>
      <c r="E102" s="46">
        <f>H8</f>
        <v>1.0442</v>
      </c>
      <c r="F102" s="304">
        <f>'1461'!F102</f>
        <v>904.74</v>
      </c>
      <c r="G102" s="39" t="s">
        <v>12</v>
      </c>
      <c r="H102" s="101">
        <f>ROUND(C102*E102*F102,2)</f>
        <v>944.73</v>
      </c>
      <c r="N102" s="50" t="s">
        <v>13</v>
      </c>
      <c r="O102" s="47">
        <f>T16+T17+T21+T24+T27</f>
        <v>1</v>
      </c>
      <c r="P102" s="587">
        <f>T8</f>
        <v>1.0442</v>
      </c>
      <c r="Q102" s="587"/>
      <c r="R102" s="48">
        <f>F102</f>
        <v>904.74</v>
      </c>
      <c r="S102" s="40" t="s">
        <v>12</v>
      </c>
      <c r="T102" s="480">
        <f>ROUND(O102*P102*R102,2)</f>
        <v>944.73</v>
      </c>
      <c r="U102" s="51"/>
    </row>
    <row r="103" spans="1:21" ht="16.5" thickBot="1" x14ac:dyDescent="0.3">
      <c r="A103" s="52"/>
      <c r="B103" s="52" t="s">
        <v>103</v>
      </c>
      <c r="C103" s="557">
        <f>H18+H19+H22+H25+H28+H29</f>
        <v>26.226700000000001</v>
      </c>
      <c r="D103" s="557"/>
      <c r="E103" s="46">
        <f>H8</f>
        <v>1.0442</v>
      </c>
      <c r="F103" s="304">
        <f>'1461'!F103</f>
        <v>906.93</v>
      </c>
      <c r="G103" s="39" t="s">
        <v>12</v>
      </c>
      <c r="H103" s="94">
        <f>ROUND(C103*E103*F103,2)</f>
        <v>24837.11</v>
      </c>
      <c r="N103" s="53" t="s">
        <v>14</v>
      </c>
      <c r="O103" s="54">
        <f>T18+T19+T22+T25+T28+T29</f>
        <v>21.96</v>
      </c>
      <c r="P103" s="587">
        <f>T8</f>
        <v>1.0442</v>
      </c>
      <c r="Q103" s="587"/>
      <c r="R103" s="48">
        <f>F103</f>
        <v>906.93</v>
      </c>
      <c r="S103" s="40" t="s">
        <v>12</v>
      </c>
      <c r="T103" s="480">
        <f>ROUND(O103*P103*R103,2)</f>
        <v>20796.48</v>
      </c>
      <c r="U103" s="51"/>
    </row>
    <row r="104" spans="1:21" ht="16.5" thickBot="1" x14ac:dyDescent="0.3">
      <c r="A104" s="55"/>
      <c r="B104" s="122" t="s">
        <v>102</v>
      </c>
      <c r="C104" s="547">
        <f>SUM(C101:C103)</f>
        <v>27.226700000000001</v>
      </c>
      <c r="D104" s="547"/>
      <c r="E104" s="123"/>
      <c r="F104" s="123"/>
      <c r="G104" s="123"/>
      <c r="H104" s="124" t="s">
        <v>100</v>
      </c>
      <c r="I104" s="101">
        <f>IF(A1=75,0,H103+H102+H101)</f>
        <v>25781.84</v>
      </c>
      <c r="N104" s="56" t="s">
        <v>89</v>
      </c>
      <c r="O104" s="57">
        <f>SUM(O101:O103)</f>
        <v>22.96</v>
      </c>
      <c r="P104" s="588" t="s">
        <v>16</v>
      </c>
      <c r="Q104" s="589"/>
      <c r="R104" s="589"/>
      <c r="S104" s="589"/>
      <c r="T104" s="589"/>
      <c r="U104" s="474">
        <f>IF(N1=75,0,T103+T102+T101)</f>
        <v>21741.21</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21</v>
      </c>
      <c r="D110" s="143">
        <v>0</v>
      </c>
      <c r="E110" s="116">
        <f>C110</f>
        <v>21</v>
      </c>
      <c r="F110" s="126" t="s">
        <v>30</v>
      </c>
      <c r="G110" s="305">
        <f>'1461'!G110</f>
        <v>565</v>
      </c>
      <c r="I110" s="101">
        <f>ROUND(G110*E110,2)</f>
        <v>11865</v>
      </c>
      <c r="N110" s="585" t="s">
        <v>52</v>
      </c>
      <c r="O110" s="585"/>
      <c r="P110" s="586">
        <f>IF(H130=1,E110,0)</f>
        <v>21</v>
      </c>
      <c r="Q110" s="586"/>
      <c r="R110" s="586"/>
      <c r="S110" s="83" t="s">
        <v>30</v>
      </c>
      <c r="T110" s="58">
        <f>G110</f>
        <v>565</v>
      </c>
      <c r="U110" s="474">
        <f>ROUND(T110*P110,2)</f>
        <v>11865</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367936.39000000007</v>
      </c>
      <c r="N125" s="454"/>
      <c r="O125" s="453"/>
      <c r="P125" s="453"/>
      <c r="Q125" s="307"/>
      <c r="R125" s="307"/>
      <c r="S125" s="307"/>
      <c r="T125" s="307"/>
      <c r="U125" s="481">
        <f>SUM(U30,U85,U88,U90,U92,U94,U96,U104,U110,U111,U121,U123)</f>
        <v>189078.24</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359271.28000000009</v>
      </c>
      <c r="N127" s="562" t="s">
        <v>33</v>
      </c>
      <c r="O127" s="562"/>
      <c r="P127" s="562"/>
      <c r="Q127" s="562"/>
      <c r="R127" s="562"/>
      <c r="S127" s="562"/>
      <c r="T127" s="562"/>
      <c r="U127" s="132">
        <f>U125-U53</f>
        <v>181771.05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v>1</v>
      </c>
      <c r="I130" s="116">
        <f>U127</f>
        <v>181771.05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181771.05</v>
      </c>
      <c r="I132" s="94">
        <f>ROUND(IF(E30=0,0,IF(E30&gt;250,-(((250/E30)*H132)*IF(G132="H",0.02,0.05)),IF(G132="H",-0.02*H132,-0.05*H132))),2)</f>
        <v>-9088.5499999999993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358847.84000000008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-66241.6-39479.72-39479.72-39479.72-39479.72-22223.53</f>
        <v>-246384.01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112463.83000000007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22492.77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18"/>
  <sheetViews>
    <sheetView topLeftCell="A9" workbookViewId="0">
      <selection activeCell="E110" sqref="E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119</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38.71</v>
      </c>
      <c r="D14" s="141">
        <v>0</v>
      </c>
      <c r="E14" s="187">
        <f>IF(D$30=0,C14*2,C14+D14)</f>
        <v>77.42</v>
      </c>
      <c r="F14" s="628">
        <f>'1461'!F14:G14</f>
        <v>1.1220000000000001</v>
      </c>
      <c r="G14" s="628"/>
      <c r="H14" s="145">
        <f>ROUND(E14*F14,4)</f>
        <v>86.865200000000002</v>
      </c>
      <c r="I14" s="111">
        <f>ROUND(ROUND(ROUND(H14*$C$8,4)*($H$8),2)*(MAX($H$9,1)),2)</f>
        <v>466197.37</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4.5</v>
      </c>
      <c r="D15" s="143">
        <v>0</v>
      </c>
      <c r="E15" s="116">
        <f t="shared" ref="E15:E29" si="1">IF(D$30=0,C15*2,C15+D15)</f>
        <v>9</v>
      </c>
      <c r="F15" s="624">
        <f>'1461'!F15:G15</f>
        <v>1.1220000000000001</v>
      </c>
      <c r="G15" s="624"/>
      <c r="H15" s="80">
        <f t="shared" ref="H15:H29" si="2">ROUND(E15*F15,4)</f>
        <v>10.098000000000001</v>
      </c>
      <c r="I15" s="101">
        <f t="shared" ref="I15:I29" si="3">ROUND(ROUND(ROUND(H15*$C$8,4)*($H$8),2)*(MAX($H$9,1)),2)</f>
        <v>54195.02</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18.63</v>
      </c>
      <c r="D16" s="143">
        <v>0</v>
      </c>
      <c r="E16" s="116">
        <f t="shared" si="1"/>
        <v>37.26</v>
      </c>
      <c r="F16" s="624">
        <f>'1461'!F16:G16</f>
        <v>1</v>
      </c>
      <c r="G16" s="624"/>
      <c r="H16" s="80">
        <f t="shared" si="2"/>
        <v>37.26</v>
      </c>
      <c r="I16" s="101">
        <f t="shared" si="3"/>
        <v>199970.92</v>
      </c>
      <c r="N16" s="564" t="s">
        <v>22</v>
      </c>
      <c r="O16" s="564"/>
      <c r="P16" s="603">
        <f t="shared" si="0"/>
        <v>0</v>
      </c>
      <c r="Q16" s="603"/>
      <c r="R16" s="608">
        <v>1</v>
      </c>
      <c r="S16" s="608"/>
      <c r="T16" s="95">
        <f t="shared" si="4"/>
        <v>0</v>
      </c>
      <c r="U16" s="474">
        <f t="shared" si="5"/>
        <v>0</v>
      </c>
    </row>
    <row r="17" spans="1:21" x14ac:dyDescent="0.25">
      <c r="A17" s="539" t="s">
        <v>23</v>
      </c>
      <c r="B17" s="539"/>
      <c r="C17" s="143">
        <v>3.5</v>
      </c>
      <c r="D17" s="143">
        <v>0</v>
      </c>
      <c r="E17" s="116">
        <f t="shared" si="1"/>
        <v>7</v>
      </c>
      <c r="F17" s="624">
        <f>'1461'!F17:G17</f>
        <v>1</v>
      </c>
      <c r="G17" s="624"/>
      <c r="H17" s="80">
        <f t="shared" si="2"/>
        <v>7</v>
      </c>
      <c r="I17" s="101">
        <f t="shared" si="3"/>
        <v>37568.339999999997</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29.79</v>
      </c>
      <c r="D26" s="143">
        <v>0</v>
      </c>
      <c r="E26" s="116">
        <f t="shared" si="1"/>
        <v>59.58</v>
      </c>
      <c r="F26" s="624">
        <f>'1461'!F26:G26</f>
        <v>1.208</v>
      </c>
      <c r="G26" s="624"/>
      <c r="H26" s="80">
        <f t="shared" si="2"/>
        <v>71.9726</v>
      </c>
      <c r="I26" s="101">
        <f t="shared" si="3"/>
        <v>386270.18</v>
      </c>
      <c r="N26" s="564" t="s">
        <v>85</v>
      </c>
      <c r="O26" s="564"/>
      <c r="P26" s="603">
        <f t="shared" si="0"/>
        <v>0</v>
      </c>
      <c r="Q26" s="603"/>
      <c r="R26" s="608">
        <v>1</v>
      </c>
      <c r="S26" s="608"/>
      <c r="T26" s="95">
        <f t="shared" si="4"/>
        <v>0</v>
      </c>
      <c r="U26" s="474">
        <f t="shared" si="5"/>
        <v>0</v>
      </c>
    </row>
    <row r="27" spans="1:21" x14ac:dyDescent="0.25">
      <c r="A27" s="539" t="s">
        <v>86</v>
      </c>
      <c r="B27" s="539"/>
      <c r="C27" s="143">
        <v>6.37</v>
      </c>
      <c r="D27" s="143">
        <v>0</v>
      </c>
      <c r="E27" s="116">
        <f t="shared" si="1"/>
        <v>12.74</v>
      </c>
      <c r="F27" s="624">
        <f>'1461'!F27:G27</f>
        <v>1.208</v>
      </c>
      <c r="G27" s="624"/>
      <c r="H27" s="80">
        <f t="shared" si="2"/>
        <v>15.389900000000001</v>
      </c>
      <c r="I27" s="101">
        <f t="shared" si="3"/>
        <v>82596.149999999994</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101.5</v>
      </c>
      <c r="D30" s="94">
        <f>SUM(D14:D29)</f>
        <v>0</v>
      </c>
      <c r="E30" s="94">
        <f>SUM(E14:E29)</f>
        <v>203</v>
      </c>
      <c r="F30" s="543"/>
      <c r="G30" s="543"/>
      <c r="H30" s="99">
        <f>SUM(H14:H29)</f>
        <v>228.5857</v>
      </c>
      <c r="I30" s="94">
        <f>SUM(I14:I29)</f>
        <v>1226797.98</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228.5857</v>
      </c>
      <c r="F46" s="34"/>
      <c r="G46" s="106"/>
      <c r="H46" s="107" t="s">
        <v>98</v>
      </c>
      <c r="I46" s="94">
        <f>SUM(I44,I30)</f>
        <v>1226797.98</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1226797.98</v>
      </c>
      <c r="G51" s="109" t="s">
        <v>6</v>
      </c>
      <c r="H51" s="402">
        <v>4.5199999999999997E-2</v>
      </c>
      <c r="I51" s="101">
        <f>ROUND(F51*H51,2)</f>
        <v>55451.27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1226797.98</v>
      </c>
      <c r="G52" s="109" t="s">
        <v>6</v>
      </c>
      <c r="H52" s="402">
        <v>1.41E-2</v>
      </c>
      <c r="I52" s="101">
        <f>ROUND(F52*H52,2)</f>
        <v>17297.849999999999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72749.119999999995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4</v>
      </c>
      <c r="D57" s="143">
        <v>0</v>
      </c>
      <c r="E57" s="116">
        <f t="shared" ref="E57:E65" si="10">IF(D$66=0,C57*2,C57+D57)</f>
        <v>8</v>
      </c>
      <c r="F57" s="444" t="s">
        <v>435</v>
      </c>
      <c r="G57" s="444">
        <v>251</v>
      </c>
      <c r="H57" s="458">
        <f>'1461'!H57</f>
        <v>1047</v>
      </c>
      <c r="I57" s="101">
        <f>ROUND(E57*H57,2)</f>
        <v>8376</v>
      </c>
      <c r="N57" s="572" t="s">
        <v>443</v>
      </c>
      <c r="O57" s="572"/>
      <c r="P57" s="575"/>
      <c r="Q57" s="575"/>
      <c r="R57" s="450" t="s">
        <v>435</v>
      </c>
      <c r="S57" s="450">
        <v>251</v>
      </c>
      <c r="T57" s="461">
        <f>H57</f>
        <v>1047</v>
      </c>
      <c r="U57" s="475">
        <f>ROUND(P57*T57,2)</f>
        <v>0</v>
      </c>
      <c r="V57" s="425"/>
    </row>
    <row r="58" spans="1:22" x14ac:dyDescent="0.25">
      <c r="A58" s="550"/>
      <c r="B58" s="550"/>
      <c r="C58" s="143">
        <v>0.5</v>
      </c>
      <c r="D58" s="143">
        <v>0</v>
      </c>
      <c r="E58" s="116">
        <f t="shared" si="10"/>
        <v>1</v>
      </c>
      <c r="F58" s="444" t="s">
        <v>435</v>
      </c>
      <c r="G58" s="444">
        <v>252</v>
      </c>
      <c r="H58" s="458">
        <f>'1461'!H58</f>
        <v>3380</v>
      </c>
      <c r="I58" s="101">
        <f t="shared" ref="I58:I65" si="11">ROUND(E58*H58,2)</f>
        <v>3380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3.5</v>
      </c>
      <c r="D60" s="143">
        <v>0</v>
      </c>
      <c r="E60" s="116">
        <f t="shared" si="10"/>
        <v>7</v>
      </c>
      <c r="F60" s="445" t="s">
        <v>13</v>
      </c>
      <c r="G60" s="444">
        <v>251</v>
      </c>
      <c r="H60" s="458">
        <f>'1461'!H60</f>
        <v>1173</v>
      </c>
      <c r="I60" s="101">
        <f t="shared" si="11"/>
        <v>8211</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8</v>
      </c>
      <c r="D66" s="97">
        <f>SUM(D57:D65)</f>
        <v>0</v>
      </c>
      <c r="E66" s="97">
        <f>SUM(E57:E65)</f>
        <v>16</v>
      </c>
      <c r="F66" s="551" t="s">
        <v>444</v>
      </c>
      <c r="G66" s="551"/>
      <c r="H66" s="551"/>
      <c r="I66" s="97">
        <f>SUM(I57:I65)</f>
        <v>19967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203</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9.9799999999999997E-4</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228.5857</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1.005E-3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203</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1.0859999999999999E-3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203</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203</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1.0870000000000001E-3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1E-3</v>
      </c>
      <c r="I85" s="101">
        <f>ROUND(F85*H85,2)</f>
        <v>44665.54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9.9799999999999997E-4</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1.0870000000000001E-3</v>
      </c>
      <c r="I90" s="101">
        <f>ROUND(F90*H90,2)</f>
        <v>17573.59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1.0859999999999999E-3</v>
      </c>
      <c r="I92" s="101">
        <f t="shared" ref="I92:I96" si="14">ROUND(F92*H92,2)</f>
        <v>10903.55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1.005E-3</v>
      </c>
      <c r="I94" s="101">
        <f t="shared" si="14"/>
        <v>240192.66</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1.005E-3</v>
      </c>
      <c r="I96" s="101">
        <f t="shared" si="14"/>
        <v>-1608.05</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168.9358</v>
      </c>
      <c r="D101" s="557"/>
      <c r="E101" s="46">
        <f>H8</f>
        <v>1.0442</v>
      </c>
      <c r="F101" s="304">
        <f>'1461'!F101</f>
        <v>947.59</v>
      </c>
      <c r="G101" s="39" t="s">
        <v>12</v>
      </c>
      <c r="H101" s="101">
        <f>ROUND(C101*E101*F101,2)</f>
        <v>167157.49</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59.649900000000002</v>
      </c>
      <c r="D102" s="557"/>
      <c r="E102" s="46">
        <f>H8</f>
        <v>1.0442</v>
      </c>
      <c r="F102" s="304">
        <f>'1461'!F102</f>
        <v>904.74</v>
      </c>
      <c r="G102" s="39" t="s">
        <v>12</v>
      </c>
      <c r="H102" s="101">
        <f>ROUND(C102*E102*F102,2)</f>
        <v>56353.02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228.5857</v>
      </c>
      <c r="D104" s="547"/>
      <c r="E104" s="123"/>
      <c r="F104" s="123"/>
      <c r="G104" s="123"/>
      <c r="H104" s="124" t="s">
        <v>100</v>
      </c>
      <c r="I104" s="101">
        <f>IF(A1=75,0,H103+H102+H101)</f>
        <v>223510.50999999998</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25</v>
      </c>
      <c r="D110" s="143">
        <v>0</v>
      </c>
      <c r="E110" s="116">
        <f>C110</f>
        <v>25</v>
      </c>
      <c r="F110" s="126" t="s">
        <v>30</v>
      </c>
      <c r="G110" s="305">
        <f>'1461'!G110</f>
        <v>565</v>
      </c>
      <c r="I110" s="101">
        <f>ROUND(G110*E110,2)</f>
        <v>14125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1796127.78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1723378.6600000001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1723378.6600000001</v>
      </c>
      <c r="I132" s="94">
        <f>ROUND(IF(E30=0,0,IF(E30&gt;250,-(((250/E30)*H132)*IF(G132="H",0.02,0.05)),IF(G132="H",-0.02*H132,-0.05*H132))),2)</f>
        <v>-86168.93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1709958.85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-288335.7-140413.24-140413.24-140413.24-140413.24-142387.44</f>
        <v>-992376.09999999986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717582.75000000023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143516.54999999999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18"/>
  <sheetViews>
    <sheetView topLeftCell="A12" workbookViewId="0">
      <selection activeCell="F26" sqref="F26:G2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287</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75.680000000000007</v>
      </c>
      <c r="D14" s="141">
        <v>0</v>
      </c>
      <c r="E14" s="187">
        <f>IF(D$30=0,C14*2,C14+D14)</f>
        <v>151.36000000000001</v>
      </c>
      <c r="F14" s="628">
        <f>'1461'!F14:G14</f>
        <v>1.1220000000000001</v>
      </c>
      <c r="G14" s="628"/>
      <c r="H14" s="145">
        <f>ROUND(E14*F14,4)</f>
        <v>169.82589999999999</v>
      </c>
      <c r="I14" s="111">
        <f>ROUND(ROUND(ROUND(H14*$C$8,4)*($H$8),2)*(MAX($H$9,1)),2)</f>
        <v>911439.65</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6</v>
      </c>
      <c r="D15" s="143">
        <v>0</v>
      </c>
      <c r="E15" s="116">
        <f t="shared" ref="E15:E29" si="1">IF(D$30=0,C15*2,C15+D15)</f>
        <v>12</v>
      </c>
      <c r="F15" s="624">
        <f>'1461'!F15:G15</f>
        <v>1.1220000000000001</v>
      </c>
      <c r="G15" s="624"/>
      <c r="H15" s="80">
        <f t="shared" ref="H15:H29" si="2">ROUND(E15*F15,4)</f>
        <v>13.464</v>
      </c>
      <c r="I15" s="101">
        <f t="shared" ref="I15:I29" si="3">ROUND(ROUND(ROUND(H15*$C$8,4)*($H$8),2)*(MAX($H$9,1)),2)</f>
        <v>72260.02</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103.38</v>
      </c>
      <c r="D16" s="143">
        <v>0</v>
      </c>
      <c r="E16" s="116">
        <f t="shared" si="1"/>
        <v>206.76</v>
      </c>
      <c r="F16" s="624">
        <f>'1461'!F16:G16</f>
        <v>1</v>
      </c>
      <c r="G16" s="624"/>
      <c r="H16" s="80">
        <f t="shared" si="2"/>
        <v>206.76</v>
      </c>
      <c r="I16" s="101">
        <f t="shared" si="3"/>
        <v>1109661.5</v>
      </c>
      <c r="N16" s="564" t="s">
        <v>22</v>
      </c>
      <c r="O16" s="564"/>
      <c r="P16" s="603">
        <f t="shared" si="0"/>
        <v>0</v>
      </c>
      <c r="Q16" s="603"/>
      <c r="R16" s="608">
        <v>1</v>
      </c>
      <c r="S16" s="608"/>
      <c r="T16" s="95">
        <f t="shared" si="4"/>
        <v>0</v>
      </c>
      <c r="U16" s="474">
        <f t="shared" si="5"/>
        <v>0</v>
      </c>
    </row>
    <row r="17" spans="1:21" x14ac:dyDescent="0.25">
      <c r="A17" s="539" t="s">
        <v>23</v>
      </c>
      <c r="B17" s="539"/>
      <c r="C17" s="143">
        <v>21.5</v>
      </c>
      <c r="D17" s="143">
        <v>0</v>
      </c>
      <c r="E17" s="116">
        <f t="shared" si="1"/>
        <v>43</v>
      </c>
      <c r="F17" s="624">
        <f>'1461'!F17:G17</f>
        <v>1</v>
      </c>
      <c r="G17" s="624"/>
      <c r="H17" s="80">
        <f t="shared" si="2"/>
        <v>43</v>
      </c>
      <c r="I17" s="101">
        <f t="shared" si="3"/>
        <v>230776.95999999999</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41.82</v>
      </c>
      <c r="D26" s="143">
        <v>0</v>
      </c>
      <c r="E26" s="116">
        <f t="shared" si="1"/>
        <v>83.64</v>
      </c>
      <c r="F26" s="624">
        <f>'1461'!F26:G26</f>
        <v>1.208</v>
      </c>
      <c r="G26" s="624"/>
      <c r="H26" s="80">
        <f t="shared" si="2"/>
        <v>101.0371</v>
      </c>
      <c r="I26" s="101">
        <f t="shared" si="3"/>
        <v>542256.62</v>
      </c>
      <c r="N26" s="564" t="s">
        <v>85</v>
      </c>
      <c r="O26" s="564"/>
      <c r="P26" s="603">
        <f t="shared" si="0"/>
        <v>0</v>
      </c>
      <c r="Q26" s="603"/>
      <c r="R26" s="608">
        <v>1</v>
      </c>
      <c r="S26" s="608"/>
      <c r="T26" s="95">
        <f t="shared" si="4"/>
        <v>0</v>
      </c>
      <c r="U26" s="474">
        <f t="shared" si="5"/>
        <v>0</v>
      </c>
    </row>
    <row r="27" spans="1:21" x14ac:dyDescent="0.25">
      <c r="A27" s="539" t="s">
        <v>86</v>
      </c>
      <c r="B27" s="539"/>
      <c r="C27" s="143">
        <v>15.12</v>
      </c>
      <c r="D27" s="143">
        <v>0</v>
      </c>
      <c r="E27" s="116">
        <f t="shared" si="1"/>
        <v>30.24</v>
      </c>
      <c r="F27" s="624">
        <f>'1461'!F27:G27</f>
        <v>1.208</v>
      </c>
      <c r="G27" s="624"/>
      <c r="H27" s="80">
        <f t="shared" si="2"/>
        <v>36.529899999999998</v>
      </c>
      <c r="I27" s="101">
        <f t="shared" si="3"/>
        <v>196052.54</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263.5</v>
      </c>
      <c r="D30" s="94">
        <f>SUM(D14:D29)</f>
        <v>0</v>
      </c>
      <c r="E30" s="94">
        <f>SUM(E14:E29)</f>
        <v>527</v>
      </c>
      <c r="F30" s="543"/>
      <c r="G30" s="543"/>
      <c r="H30" s="99">
        <f>SUM(H14:H29)</f>
        <v>570.61689999999999</v>
      </c>
      <c r="I30" s="94">
        <f>SUM(I14:I29)</f>
        <v>3062447.29</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570.61689999999999</v>
      </c>
      <c r="F46" s="34"/>
      <c r="G46" s="106"/>
      <c r="H46" s="107" t="s">
        <v>98</v>
      </c>
      <c r="I46" s="94">
        <f>SUM(I44,I30)</f>
        <v>3062447.29</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3062447.29</v>
      </c>
      <c r="G51" s="109" t="s">
        <v>6</v>
      </c>
      <c r="H51" s="402">
        <v>4.5199999999999997E-2</v>
      </c>
      <c r="I51" s="101">
        <f>ROUND(F51*H51,2)</f>
        <v>138422.62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3062447.29</v>
      </c>
      <c r="G52" s="109" t="s">
        <v>6</v>
      </c>
      <c r="H52" s="402">
        <v>1.41E-2</v>
      </c>
      <c r="I52" s="101">
        <f>ROUND(F52*H52,2)</f>
        <v>43180.51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181603.13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6</v>
      </c>
      <c r="D57" s="143">
        <v>0</v>
      </c>
      <c r="E57" s="116">
        <f t="shared" ref="E57:E65" si="10">IF(D$66=0,C57*2,C57+D57)</f>
        <v>12</v>
      </c>
      <c r="F57" s="444" t="s">
        <v>435</v>
      </c>
      <c r="G57" s="444">
        <v>251</v>
      </c>
      <c r="H57" s="458">
        <f>'1461'!H57</f>
        <v>1047</v>
      </c>
      <c r="I57" s="101">
        <f>ROUND(E57*H57,2)</f>
        <v>12564</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21.5</v>
      </c>
      <c r="D60" s="143">
        <v>0</v>
      </c>
      <c r="E60" s="116">
        <f t="shared" si="10"/>
        <v>43</v>
      </c>
      <c r="F60" s="445" t="s">
        <v>13</v>
      </c>
      <c r="G60" s="444">
        <v>251</v>
      </c>
      <c r="H60" s="458">
        <f>'1461'!H60</f>
        <v>1173</v>
      </c>
      <c r="I60" s="101">
        <f t="shared" si="11"/>
        <v>50439</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27.5</v>
      </c>
      <c r="D66" s="97">
        <f>SUM(D57:D65)</f>
        <v>0</v>
      </c>
      <c r="E66" s="97">
        <f>SUM(E57:E65)</f>
        <v>55</v>
      </c>
      <c r="F66" s="551" t="s">
        <v>444</v>
      </c>
      <c r="G66" s="551"/>
      <c r="H66" s="551"/>
      <c r="I66" s="97">
        <f>SUM(I57:I65)</f>
        <v>63003</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527</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2.5920000000000001E-3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570.61689999999999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2.5079999999999998E-3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527</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2.82E-3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527</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2.5950000000000001E-3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527</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2.823E-3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2.5950000000000001E-3</v>
      </c>
      <c r="I85" s="101">
        <f>ROUND(F85*H85,2)</f>
        <v>115907.07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2.5920000000000001E-3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2.823E-3</v>
      </c>
      <c r="I90" s="101">
        <f>ROUND(F90*H90,2)</f>
        <v>45639.59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2.82E-3</v>
      </c>
      <c r="I92" s="101">
        <f t="shared" ref="I92:I96" si="14">ROUND(F92*H92,2)</f>
        <v>28313.08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2.5079999999999998E-3</v>
      </c>
      <c r="I94" s="101">
        <f t="shared" si="14"/>
        <v>599406.17000000004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2.5079999999999998E-3</v>
      </c>
      <c r="I96" s="101">
        <f t="shared" si="14"/>
        <v>-4012.92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284.327</v>
      </c>
      <c r="D101" s="557"/>
      <c r="E101" s="46">
        <f>H8</f>
        <v>1.0442</v>
      </c>
      <c r="F101" s="304">
        <f>'1461'!F101</f>
        <v>947.59</v>
      </c>
      <c r="G101" s="39" t="s">
        <v>12</v>
      </c>
      <c r="H101" s="101">
        <f>ROUND(C101*E101*F101,2)</f>
        <v>281334.03000000003</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286.28989999999999</v>
      </c>
      <c r="D102" s="557"/>
      <c r="E102" s="46">
        <f>H8</f>
        <v>1.0442</v>
      </c>
      <c r="F102" s="304">
        <f>'1461'!F102</f>
        <v>904.74</v>
      </c>
      <c r="G102" s="39" t="s">
        <v>12</v>
      </c>
      <c r="H102" s="101">
        <f>ROUND(C102*E102*F102,2)</f>
        <v>270466.52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570.61689999999999</v>
      </c>
      <c r="D104" s="547"/>
      <c r="E104" s="123"/>
      <c r="F104" s="123"/>
      <c r="G104" s="123"/>
      <c r="H104" s="124" t="s">
        <v>100</v>
      </c>
      <c r="I104" s="101">
        <f>IF(A1=75,0,H103+H102+H101)</f>
        <v>551800.55000000005</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25</v>
      </c>
      <c r="D110" s="143">
        <v>0</v>
      </c>
      <c r="E110" s="116">
        <f>C110</f>
        <v>25</v>
      </c>
      <c r="F110" s="126" t="s">
        <v>30</v>
      </c>
      <c r="G110" s="305">
        <f>'1461'!G110</f>
        <v>565</v>
      </c>
      <c r="I110" s="101">
        <f>ROUND(G110*E110,2)</f>
        <v>14125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4476628.83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4295025.7</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4295025.7</v>
      </c>
      <c r="I132" s="94">
        <f>ROUND(IF(E30=0,0,IF(E30&gt;250,-(((250/E30)*H132)*IF(G132="H",0.02,0.05)),IF(G132="H",-0.02*H132,-0.05*H132))),2)</f>
        <v>-101874.42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4374754.41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-719753.09-350402.77-350402.76-350402.77-350402.76-376373.89</f>
        <v>-2497738.04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1877016.37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375403.27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112876.87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18"/>
  <sheetViews>
    <sheetView topLeftCell="A9" workbookViewId="0">
      <selection activeCell="E65" sqref="E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120</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259.93</v>
      </c>
      <c r="D18" s="143">
        <v>0</v>
      </c>
      <c r="E18" s="116">
        <f t="shared" si="1"/>
        <v>519.86</v>
      </c>
      <c r="F18" s="624">
        <f>'1461'!F18:G18</f>
        <v>0.98799999999999999</v>
      </c>
      <c r="G18" s="624"/>
      <c r="H18" s="80">
        <f t="shared" si="2"/>
        <v>513.62170000000003</v>
      </c>
      <c r="I18" s="101">
        <f t="shared" si="3"/>
        <v>2756559.42</v>
      </c>
      <c r="N18" s="564" t="s">
        <v>24</v>
      </c>
      <c r="O18" s="564"/>
      <c r="P18" s="603">
        <f t="shared" si="0"/>
        <v>0</v>
      </c>
      <c r="Q18" s="603"/>
      <c r="R18" s="608">
        <v>1</v>
      </c>
      <c r="S18" s="608"/>
      <c r="T18" s="95">
        <f t="shared" si="4"/>
        <v>0</v>
      </c>
      <c r="U18" s="474">
        <f t="shared" si="5"/>
        <v>0</v>
      </c>
    </row>
    <row r="19" spans="1:21" x14ac:dyDescent="0.25">
      <c r="A19" s="539" t="s">
        <v>25</v>
      </c>
      <c r="B19" s="539"/>
      <c r="C19" s="143">
        <v>44</v>
      </c>
      <c r="D19" s="143">
        <v>0</v>
      </c>
      <c r="E19" s="116">
        <f t="shared" si="1"/>
        <v>88</v>
      </c>
      <c r="F19" s="624">
        <f>'1461'!F19:G19</f>
        <v>0.98799999999999999</v>
      </c>
      <c r="G19" s="624"/>
      <c r="H19" s="80">
        <f t="shared" si="2"/>
        <v>86.944000000000003</v>
      </c>
      <c r="I19" s="101">
        <f t="shared" si="3"/>
        <v>466620.28</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11.15</v>
      </c>
      <c r="D28" s="143">
        <v>0</v>
      </c>
      <c r="E28" s="116">
        <f t="shared" si="1"/>
        <v>22.3</v>
      </c>
      <c r="F28" s="624">
        <f>'1461'!F28:G28</f>
        <v>1.208</v>
      </c>
      <c r="G28" s="624"/>
      <c r="H28" s="80">
        <f t="shared" si="2"/>
        <v>26.938400000000001</v>
      </c>
      <c r="I28" s="101">
        <f t="shared" si="3"/>
        <v>144575.85999999999</v>
      </c>
      <c r="N28" s="564" t="s">
        <v>87</v>
      </c>
      <c r="O28" s="564"/>
      <c r="P28" s="603">
        <f t="shared" si="0"/>
        <v>0</v>
      </c>
      <c r="Q28" s="603"/>
      <c r="R28" s="608">
        <v>1</v>
      </c>
      <c r="S28" s="608"/>
      <c r="T28" s="95">
        <f t="shared" si="4"/>
        <v>0</v>
      </c>
      <c r="U28" s="474">
        <f t="shared" si="5"/>
        <v>0</v>
      </c>
    </row>
    <row r="29" spans="1:21" x14ac:dyDescent="0.25">
      <c r="A29" s="539" t="s">
        <v>88</v>
      </c>
      <c r="B29" s="539"/>
      <c r="C29" s="110">
        <v>26.61</v>
      </c>
      <c r="D29" s="110">
        <v>0</v>
      </c>
      <c r="E29" s="116">
        <f t="shared" si="1"/>
        <v>53.22</v>
      </c>
      <c r="F29" s="624">
        <f>'1461'!F29:G29</f>
        <v>1.0720000000000001</v>
      </c>
      <c r="G29" s="624"/>
      <c r="H29" s="93">
        <f t="shared" si="2"/>
        <v>57.0518</v>
      </c>
      <c r="I29" s="94">
        <f t="shared" si="3"/>
        <v>306191.65000000002</v>
      </c>
      <c r="N29" s="569" t="s">
        <v>88</v>
      </c>
      <c r="O29" s="569"/>
      <c r="P29" s="603">
        <f t="shared" si="0"/>
        <v>0</v>
      </c>
      <c r="Q29" s="603"/>
      <c r="R29" s="604">
        <v>1</v>
      </c>
      <c r="S29" s="604"/>
      <c r="T29" s="95">
        <f t="shared" si="4"/>
        <v>0</v>
      </c>
      <c r="U29" s="474">
        <f t="shared" si="5"/>
        <v>0</v>
      </c>
    </row>
    <row r="30" spans="1:21" x14ac:dyDescent="0.25">
      <c r="A30" s="551" t="s">
        <v>5</v>
      </c>
      <c r="B30" s="551"/>
      <c r="C30" s="94">
        <f>SUM(C14:C29)</f>
        <v>341.69</v>
      </c>
      <c r="D30" s="94">
        <f>SUM(D14:D29)</f>
        <v>0</v>
      </c>
      <c r="E30" s="97">
        <f>SUM(E14:E29)</f>
        <v>683.38</v>
      </c>
      <c r="F30" s="543"/>
      <c r="G30" s="543"/>
      <c r="H30" s="99">
        <f>SUM(H14:H29)</f>
        <v>684.55589999999995</v>
      </c>
      <c r="I30" s="94">
        <f>SUM(I14:I29)</f>
        <v>3673947.21</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684.55589999999995</v>
      </c>
      <c r="F46" s="34"/>
      <c r="G46" s="106"/>
      <c r="H46" s="107" t="s">
        <v>98</v>
      </c>
      <c r="I46" s="94">
        <f>SUM(I44,I30)</f>
        <v>3673947.21</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3673947.21</v>
      </c>
      <c r="G51" s="109" t="s">
        <v>6</v>
      </c>
      <c r="H51" s="402">
        <v>4.5199999999999997E-2</v>
      </c>
      <c r="I51" s="101">
        <f>ROUND(F51*H51,2)</f>
        <v>166062.41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3673947.21</v>
      </c>
      <c r="G52" s="109" t="s">
        <v>6</v>
      </c>
      <c r="H52" s="402">
        <v>1.41E-2</v>
      </c>
      <c r="I52" s="101">
        <f>ROUND(F52*H52,2)</f>
        <v>51802.66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217865.07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39.99</v>
      </c>
      <c r="D63" s="143">
        <v>0</v>
      </c>
      <c r="E63" s="116">
        <f t="shared" si="10"/>
        <v>79.98</v>
      </c>
      <c r="F63" s="445" t="s">
        <v>14</v>
      </c>
      <c r="G63" s="444">
        <v>251</v>
      </c>
      <c r="H63" s="458">
        <f>'1461'!H63</f>
        <v>835</v>
      </c>
      <c r="I63" s="101">
        <f t="shared" si="11"/>
        <v>66783.3</v>
      </c>
      <c r="N63" s="573"/>
      <c r="O63" s="573"/>
      <c r="P63" s="576"/>
      <c r="Q63" s="576"/>
      <c r="R63" s="40" t="s">
        <v>14</v>
      </c>
      <c r="S63" s="450">
        <v>251</v>
      </c>
      <c r="T63" s="461">
        <f t="shared" si="12"/>
        <v>835</v>
      </c>
      <c r="U63" s="475">
        <f t="shared" si="13"/>
        <v>0</v>
      </c>
      <c r="V63" s="425"/>
    </row>
    <row r="64" spans="1:22" x14ac:dyDescent="0.25">
      <c r="A64" s="550"/>
      <c r="B64" s="550"/>
      <c r="C64" s="143">
        <v>4.01</v>
      </c>
      <c r="D64" s="143">
        <v>0</v>
      </c>
      <c r="E64" s="116">
        <f t="shared" si="10"/>
        <v>8.02</v>
      </c>
      <c r="F64" s="445" t="s">
        <v>14</v>
      </c>
      <c r="G64" s="444">
        <v>252</v>
      </c>
      <c r="H64" s="458">
        <f>'1461'!H64</f>
        <v>3168</v>
      </c>
      <c r="I64" s="101">
        <f t="shared" si="11"/>
        <v>25407.360000000001</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44</v>
      </c>
      <c r="D66" s="97">
        <f>SUM(D57:D65)</f>
        <v>0</v>
      </c>
      <c r="E66" s="97">
        <f>SUM(E57:E65)</f>
        <v>88</v>
      </c>
      <c r="F66" s="551" t="s">
        <v>444</v>
      </c>
      <c r="G66" s="551"/>
      <c r="H66" s="551"/>
      <c r="I66" s="97">
        <f>SUM(I57:I65)</f>
        <v>92190.66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683.38</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3.3609999999999998E-3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684.55589999999995</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3.009E-3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683.38</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3.656E-3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683.38</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3.3649999999999999E-3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683.38</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3.6610000000000002E-3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3.3649999999999999E-3</v>
      </c>
      <c r="I85" s="101">
        <f>ROUND(F85*H85,2)</f>
        <v>150299.53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3.3609999999999998E-3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3.6610000000000002E-3</v>
      </c>
      <c r="I90" s="101">
        <f>ROUND(F90*H90,2)</f>
        <v>59187.58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3.656E-3</v>
      </c>
      <c r="I92" s="101">
        <f t="shared" ref="I92:I96" si="14">ROUND(F92*H92,2)</f>
        <v>36706.6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3.009E-3</v>
      </c>
      <c r="I94" s="101">
        <f t="shared" si="14"/>
        <v>719144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3.009E-3</v>
      </c>
      <c r="I96" s="101">
        <f t="shared" si="14"/>
        <v>-4814.54</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684.55589999999995</v>
      </c>
      <c r="D103" s="557"/>
      <c r="E103" s="46">
        <f>H8</f>
        <v>1.0442</v>
      </c>
      <c r="F103" s="304">
        <f>'1461'!F103</f>
        <v>906.93</v>
      </c>
      <c r="G103" s="39" t="s">
        <v>12</v>
      </c>
      <c r="H103" s="94">
        <f>ROUND(C103*E103*F103,2)</f>
        <v>648285.6</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684.55589999999995</v>
      </c>
      <c r="D104" s="547"/>
      <c r="E104" s="123"/>
      <c r="F104" s="123"/>
      <c r="G104" s="123"/>
      <c r="H104" s="124" t="s">
        <v>100</v>
      </c>
      <c r="I104" s="101">
        <f>IF(A1=75,0,H103+H102+H101)</f>
        <v>648285.6</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384</v>
      </c>
      <c r="D110" s="143">
        <v>0</v>
      </c>
      <c r="E110" s="116">
        <f>C110</f>
        <v>384</v>
      </c>
      <c r="F110" s="126" t="s">
        <v>30</v>
      </c>
      <c r="G110" s="305">
        <f>'1461'!G110</f>
        <v>565</v>
      </c>
      <c r="I110" s="101">
        <f>ROUND(G110*E110,2)</f>
        <v>216960</v>
      </c>
      <c r="N110" s="585" t="s">
        <v>52</v>
      </c>
      <c r="O110" s="585"/>
      <c r="P110" s="586">
        <f>IF(H130=1,E110,0)</f>
        <v>0</v>
      </c>
      <c r="Q110" s="586"/>
      <c r="R110" s="586"/>
      <c r="S110" s="83" t="s">
        <v>30</v>
      </c>
      <c r="T110" s="58">
        <f>G110</f>
        <v>565</v>
      </c>
      <c r="U110" s="474">
        <f>ROUND(T110*P110,2)</f>
        <v>0</v>
      </c>
    </row>
    <row r="111" spans="1:21" x14ac:dyDescent="0.25">
      <c r="A111" s="518" t="s">
        <v>377</v>
      </c>
      <c r="B111" s="519"/>
      <c r="C111" s="143">
        <v>1</v>
      </c>
      <c r="D111" s="143">
        <v>0</v>
      </c>
      <c r="E111" s="116">
        <f>C111</f>
        <v>1</v>
      </c>
      <c r="F111" s="126" t="s">
        <v>30</v>
      </c>
      <c r="G111" s="305">
        <f>'1461'!G111</f>
        <v>1762</v>
      </c>
      <c r="I111" s="101">
        <f>ROUND(G111*E111,2)</f>
        <v>1762</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5593668.6399999997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5375803.5699999994</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5375803.5699999994</v>
      </c>
      <c r="I132" s="94">
        <f>ROUND(IF(E30=0,0,IF(E30&gt;250,-(((250/E30)*H132)*IF(G132="H",0.02,0.05)),IF(G132="H",-0.02*H132,-0.05*H132))),2)</f>
        <v>-98331.15</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5495337.4899999993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-995405.93-483819.17-483819.17-483819.17-483819.17-415103.02</f>
        <v>-3345785.63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2149551.8599999994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429910.37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170459.03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topLeftCell="A43" workbookViewId="0">
      <selection activeCell="E45" sqref="E45"/>
    </sheetView>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14" t="s">
        <v>307</v>
      </c>
      <c r="C3" s="515"/>
      <c r="D3" s="205"/>
      <c r="E3" s="514" t="s">
        <v>187</v>
      </c>
      <c r="F3" s="515"/>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355</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361</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361</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355</v>
      </c>
    </row>
    <row r="23" spans="1:9" x14ac:dyDescent="0.2">
      <c r="A23" s="216">
        <v>19</v>
      </c>
      <c r="B23" s="210" t="s">
        <v>177</v>
      </c>
      <c r="C23" s="212" t="s">
        <v>207</v>
      </c>
      <c r="D23" s="205"/>
      <c r="E23" s="210" t="s">
        <v>210</v>
      </c>
      <c r="F23" s="215" t="s">
        <v>354</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354</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351</v>
      </c>
      <c r="F42" s="211" t="s">
        <v>352</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351</v>
      </c>
      <c r="C51" s="211" t="s">
        <v>352</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18"/>
  <sheetViews>
    <sheetView topLeftCell="A33" workbookViewId="0">
      <selection activeCell="C111" sqref="C11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121</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6</v>
      </c>
      <c r="D16" s="143">
        <v>0</v>
      </c>
      <c r="E16" s="116">
        <f t="shared" si="1"/>
        <v>12</v>
      </c>
      <c r="F16" s="624">
        <f>'1461'!F16:G16</f>
        <v>1</v>
      </c>
      <c r="G16" s="624"/>
      <c r="H16" s="80">
        <f t="shared" si="2"/>
        <v>12</v>
      </c>
      <c r="I16" s="101">
        <f t="shared" si="3"/>
        <v>64402.87</v>
      </c>
      <c r="N16" s="564" t="s">
        <v>22</v>
      </c>
      <c r="O16" s="564"/>
      <c r="P16" s="603">
        <f t="shared" si="0"/>
        <v>0</v>
      </c>
      <c r="Q16" s="603"/>
      <c r="R16" s="608">
        <v>1</v>
      </c>
      <c r="S16" s="608"/>
      <c r="T16" s="95">
        <f t="shared" si="4"/>
        <v>0</v>
      </c>
      <c r="U16" s="474">
        <f t="shared" si="5"/>
        <v>0</v>
      </c>
    </row>
    <row r="17" spans="1:21" x14ac:dyDescent="0.25">
      <c r="A17" s="539" t="s">
        <v>23</v>
      </c>
      <c r="B17" s="539"/>
      <c r="C17" s="143">
        <v>0.5</v>
      </c>
      <c r="D17" s="143">
        <v>0</v>
      </c>
      <c r="E17" s="116">
        <f t="shared" si="1"/>
        <v>1</v>
      </c>
      <c r="F17" s="624">
        <f>'1461'!F17:G17</f>
        <v>1</v>
      </c>
      <c r="G17" s="624"/>
      <c r="H17" s="80">
        <f t="shared" si="2"/>
        <v>1</v>
      </c>
      <c r="I17" s="101">
        <f t="shared" si="3"/>
        <v>5366.91</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41.11</v>
      </c>
      <c r="D18" s="143">
        <v>0</v>
      </c>
      <c r="E18" s="116">
        <f t="shared" si="1"/>
        <v>82.22</v>
      </c>
      <c r="F18" s="624">
        <f>'1461'!F18:G18</f>
        <v>0.98799999999999999</v>
      </c>
      <c r="G18" s="624"/>
      <c r="H18" s="80">
        <f t="shared" si="2"/>
        <v>81.233400000000003</v>
      </c>
      <c r="I18" s="101">
        <f t="shared" si="3"/>
        <v>435972.03</v>
      </c>
      <c r="N18" s="564" t="s">
        <v>24</v>
      </c>
      <c r="O18" s="564"/>
      <c r="P18" s="603">
        <f t="shared" si="0"/>
        <v>0</v>
      </c>
      <c r="Q18" s="603"/>
      <c r="R18" s="608">
        <v>1</v>
      </c>
      <c r="S18" s="608"/>
      <c r="T18" s="95">
        <f t="shared" si="4"/>
        <v>0</v>
      </c>
      <c r="U18" s="474">
        <f t="shared" si="5"/>
        <v>0</v>
      </c>
    </row>
    <row r="19" spans="1:21" x14ac:dyDescent="0.25">
      <c r="A19" s="539" t="s">
        <v>25</v>
      </c>
      <c r="B19" s="539"/>
      <c r="C19" s="143">
        <v>13.15</v>
      </c>
      <c r="D19" s="143">
        <v>0</v>
      </c>
      <c r="E19" s="116">
        <f t="shared" si="1"/>
        <v>26.3</v>
      </c>
      <c r="F19" s="624">
        <f>'1461'!F19:G19</f>
        <v>0.98799999999999999</v>
      </c>
      <c r="G19" s="624"/>
      <c r="H19" s="80">
        <f t="shared" si="2"/>
        <v>25.984400000000001</v>
      </c>
      <c r="I19" s="101">
        <f t="shared" si="3"/>
        <v>139455.82999999999</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1.56</v>
      </c>
      <c r="D29" s="110">
        <v>0</v>
      </c>
      <c r="E29" s="116">
        <f t="shared" si="1"/>
        <v>3.12</v>
      </c>
      <c r="F29" s="624">
        <f>'1461'!F29:G29</f>
        <v>1.0720000000000001</v>
      </c>
      <c r="G29" s="624"/>
      <c r="H29" s="93">
        <f t="shared" si="2"/>
        <v>3.3445999999999998</v>
      </c>
      <c r="I29" s="94">
        <f t="shared" si="3"/>
        <v>17950.150000000001</v>
      </c>
      <c r="N29" s="569" t="s">
        <v>88</v>
      </c>
      <c r="O29" s="569"/>
      <c r="P29" s="603">
        <f t="shared" si="0"/>
        <v>0</v>
      </c>
      <c r="Q29" s="603"/>
      <c r="R29" s="604">
        <v>1</v>
      </c>
      <c r="S29" s="604"/>
      <c r="T29" s="95">
        <f t="shared" si="4"/>
        <v>0</v>
      </c>
      <c r="U29" s="474">
        <f t="shared" si="5"/>
        <v>0</v>
      </c>
    </row>
    <row r="30" spans="1:21" x14ac:dyDescent="0.25">
      <c r="A30" s="551" t="s">
        <v>5</v>
      </c>
      <c r="B30" s="551"/>
      <c r="C30" s="94">
        <f>SUM(C14:C29)</f>
        <v>62.32</v>
      </c>
      <c r="D30" s="94">
        <f>SUM(D14:D29)</f>
        <v>0</v>
      </c>
      <c r="E30" s="97">
        <f>SUM(E14:E29)</f>
        <v>124.64</v>
      </c>
      <c r="F30" s="543"/>
      <c r="G30" s="543"/>
      <c r="H30" s="99">
        <f>SUM(H14:H29)</f>
        <v>123.56240000000001</v>
      </c>
      <c r="I30" s="94">
        <f>SUM(I14:I29)</f>
        <v>663147.79</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123.56240000000001</v>
      </c>
      <c r="F46" s="34"/>
      <c r="G46" s="106"/>
      <c r="H46" s="107" t="s">
        <v>98</v>
      </c>
      <c r="I46" s="94">
        <f>SUM(I44,I30)</f>
        <v>663147.79</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663147.79</v>
      </c>
      <c r="G51" s="109" t="s">
        <v>6</v>
      </c>
      <c r="H51" s="402">
        <v>4.5199999999999997E-2</v>
      </c>
      <c r="I51" s="101">
        <f>ROUND(F51*H51,2)</f>
        <v>29974.28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663147.79</v>
      </c>
      <c r="G52" s="109" t="s">
        <v>6</v>
      </c>
      <c r="H52" s="402">
        <v>1.41E-2</v>
      </c>
      <c r="I52" s="101">
        <f>ROUND(F52*H52,2)</f>
        <v>9350.3799999999992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39324.659999999996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0.5</v>
      </c>
      <c r="D60" s="143">
        <v>0</v>
      </c>
      <c r="E60" s="116">
        <f t="shared" si="10"/>
        <v>1</v>
      </c>
      <c r="F60" s="445" t="s">
        <v>13</v>
      </c>
      <c r="G60" s="444">
        <v>251</v>
      </c>
      <c r="H60" s="458">
        <f>'1461'!H60</f>
        <v>1173</v>
      </c>
      <c r="I60" s="101">
        <f t="shared" si="11"/>
        <v>1173</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13.15</v>
      </c>
      <c r="D63" s="143">
        <v>0</v>
      </c>
      <c r="E63" s="116">
        <f t="shared" si="10"/>
        <v>26.3</v>
      </c>
      <c r="F63" s="445" t="s">
        <v>14</v>
      </c>
      <c r="G63" s="444">
        <v>251</v>
      </c>
      <c r="H63" s="458">
        <f>'1461'!H63</f>
        <v>835</v>
      </c>
      <c r="I63" s="101">
        <f t="shared" si="11"/>
        <v>21960.5</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13.65</v>
      </c>
      <c r="D66" s="97">
        <f>SUM(D57:D65)</f>
        <v>0</v>
      </c>
      <c r="E66" s="97">
        <f>SUM(E57:E65)</f>
        <v>27.3</v>
      </c>
      <c r="F66" s="551" t="s">
        <v>444</v>
      </c>
      <c r="G66" s="551"/>
      <c r="H66" s="551"/>
      <c r="I66" s="97">
        <f>SUM(I57:I65)</f>
        <v>23133.5</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124.64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6.1300000000000005E-4</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123.56240000000001</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5.4299999999999997E-4</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124.64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6.6699999999999995E-4</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124.64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6.1399999999999996E-4</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124.64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6.6799999999999997E-4</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6.1399999999999996E-4</v>
      </c>
      <c r="I85" s="101">
        <f>ROUND(F85*H85,2)</f>
        <v>27424.639999999999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6.1300000000000005E-4</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6.6799999999999997E-4</v>
      </c>
      <c r="I90" s="101">
        <f>ROUND(F90*H90,2)</f>
        <v>10799.59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6.6699999999999995E-4</v>
      </c>
      <c r="I92" s="101">
        <f t="shared" ref="I92:I96" si="14">ROUND(F92*H92,2)</f>
        <v>6696.75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5.4299999999999997E-4</v>
      </c>
      <c r="I94" s="101">
        <f t="shared" si="14"/>
        <v>129775.74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5.4299999999999997E-4</v>
      </c>
      <c r="I96" s="101">
        <f t="shared" si="14"/>
        <v>-868.83</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13</v>
      </c>
      <c r="D102" s="557"/>
      <c r="E102" s="46">
        <f>H8</f>
        <v>1.0442</v>
      </c>
      <c r="F102" s="304">
        <f>'1461'!F102</f>
        <v>904.74</v>
      </c>
      <c r="G102" s="39" t="s">
        <v>12</v>
      </c>
      <c r="H102" s="101">
        <f>ROUND(C102*E102*F102,2)</f>
        <v>12281.48</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110.56240000000001</v>
      </c>
      <c r="D103" s="557"/>
      <c r="E103" s="46">
        <f>H8</f>
        <v>1.0442</v>
      </c>
      <c r="F103" s="304">
        <f>'1461'!F103</f>
        <v>906.93</v>
      </c>
      <c r="G103" s="39" t="s">
        <v>12</v>
      </c>
      <c r="H103" s="94">
        <f>ROUND(C103*E103*F103,2)</f>
        <v>104704.4</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123.56240000000001</v>
      </c>
      <c r="D104" s="547"/>
      <c r="E104" s="123"/>
      <c r="F104" s="123"/>
      <c r="G104" s="123"/>
      <c r="H104" s="124" t="s">
        <v>100</v>
      </c>
      <c r="I104" s="101">
        <f>IF(A1=75,0,H103+H102+H101)</f>
        <v>116985.87999999999</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103</v>
      </c>
      <c r="D110" s="143">
        <v>0</v>
      </c>
      <c r="E110" s="116">
        <f>C110</f>
        <v>103</v>
      </c>
      <c r="F110" s="126" t="s">
        <v>30</v>
      </c>
      <c r="G110" s="305">
        <f>'1461'!G110</f>
        <v>565</v>
      </c>
      <c r="I110" s="101">
        <f>ROUND(G110*E110,2)</f>
        <v>58195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1035290.06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995965.4</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995965.4</v>
      </c>
      <c r="I132" s="94">
        <f>ROUND(IF(E30=0,0,IF(E30&gt;250,-(((250/E30)*H132)*IF(G132="H",0.02,0.05)),IF(G132="H",-0.02*H132,-0.05*H132))),2)</f>
        <v>-49798.27</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985491.79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-181975.22-87830.88-87830.88-87830.88-87830.88-74426.2</f>
        <v>-607724.93999999994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377766.85000000009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75553.37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18"/>
  <sheetViews>
    <sheetView topLeftCell="A123" workbookViewId="0">
      <selection activeCell="C66" sqref="C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113</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45.43</v>
      </c>
      <c r="D19" s="143">
        <v>0</v>
      </c>
      <c r="E19" s="116">
        <f t="shared" si="1"/>
        <v>90.86</v>
      </c>
      <c r="F19" s="624">
        <f>'1461'!F19:G19</f>
        <v>0.98799999999999999</v>
      </c>
      <c r="G19" s="624"/>
      <c r="H19" s="80">
        <f t="shared" si="2"/>
        <v>89.7697</v>
      </c>
      <c r="I19" s="101">
        <f t="shared" si="3"/>
        <v>481785.55</v>
      </c>
      <c r="J19" s="65" t="str">
        <f>IF(ROUND(E19,2)=ROUND(SUM(E63:E65),2)," ","CHECK 4-8 LINES BELOW")</f>
        <v xml:space="preserve"> </v>
      </c>
      <c r="N19" s="564" t="s">
        <v>25</v>
      </c>
      <c r="O19" s="564"/>
      <c r="P19" s="603">
        <f t="shared" si="0"/>
        <v>90.86</v>
      </c>
      <c r="Q19" s="603"/>
      <c r="R19" s="608">
        <v>1</v>
      </c>
      <c r="S19" s="608"/>
      <c r="T19" s="95">
        <f t="shared" si="4"/>
        <v>90.86</v>
      </c>
      <c r="U19" s="473">
        <f t="shared" si="5"/>
        <v>487637.09</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45.43</v>
      </c>
      <c r="D30" s="94">
        <f>SUM(D14:D29)</f>
        <v>0</v>
      </c>
      <c r="E30" s="94">
        <f>SUM(E14:E29)</f>
        <v>90.86</v>
      </c>
      <c r="F30" s="543"/>
      <c r="G30" s="543"/>
      <c r="H30" s="99">
        <f>SUM(H14:H29)</f>
        <v>89.7697</v>
      </c>
      <c r="I30" s="94">
        <f>SUM(I14:I29)</f>
        <v>481785.55</v>
      </c>
      <c r="N30" s="605" t="s">
        <v>5</v>
      </c>
      <c r="O30" s="605"/>
      <c r="P30" s="606">
        <f>SUM(P14:P29)</f>
        <v>90.86</v>
      </c>
      <c r="Q30" s="606"/>
      <c r="R30" s="571"/>
      <c r="S30" s="571"/>
      <c r="T30" s="100">
        <f>SUM(T14:T29)</f>
        <v>90.86</v>
      </c>
      <c r="U30" s="474">
        <f>SUM(U14:U29)</f>
        <v>487637.09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89.7697</v>
      </c>
      <c r="F46" s="34"/>
      <c r="G46" s="106"/>
      <c r="H46" s="107" t="s">
        <v>98</v>
      </c>
      <c r="I46" s="94">
        <f>SUM(I44,I30)</f>
        <v>481785.55</v>
      </c>
      <c r="N46" s="562" t="s">
        <v>44</v>
      </c>
      <c r="O46" s="562"/>
      <c r="P46" s="562"/>
      <c r="Q46" s="562"/>
      <c r="R46" s="35">
        <f>R44+T30</f>
        <v>90.86</v>
      </c>
      <c r="S46" s="571" t="s">
        <v>42</v>
      </c>
      <c r="T46" s="571"/>
      <c r="U46" s="108">
        <f>SUM(U44,U30)</f>
        <v>487637.09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481785.55</v>
      </c>
      <c r="G51" s="109" t="s">
        <v>6</v>
      </c>
      <c r="H51" s="402">
        <v>4.5199999999999997E-2</v>
      </c>
      <c r="I51" s="101">
        <f>ROUND(F51*H51,2)</f>
        <v>21776.71</v>
      </c>
      <c r="N51" s="407"/>
      <c r="O51" s="408" t="s">
        <v>395</v>
      </c>
      <c r="P51" s="28"/>
      <c r="Q51" s="44" t="s">
        <v>396</v>
      </c>
      <c r="R51" s="409">
        <f>U30</f>
        <v>487637.09</v>
      </c>
      <c r="S51" s="410" t="s">
        <v>6</v>
      </c>
      <c r="T51" s="411">
        <v>4.5199999999999997E-2</v>
      </c>
      <c r="U51" s="403">
        <f>ROUND(R51*T51,2)</f>
        <v>22041.200000000001</v>
      </c>
    </row>
    <row r="52" spans="1:22" x14ac:dyDescent="0.25">
      <c r="A52" s="26"/>
      <c r="B52" s="81" t="s">
        <v>397</v>
      </c>
      <c r="C52" s="26"/>
      <c r="D52" s="26"/>
      <c r="E52" s="43" t="s">
        <v>396</v>
      </c>
      <c r="F52" s="401">
        <f>I46</f>
        <v>481785.55</v>
      </c>
      <c r="G52" s="109" t="s">
        <v>6</v>
      </c>
      <c r="H52" s="402">
        <v>1.41E-2</v>
      </c>
      <c r="I52" s="101">
        <f>ROUND(F52*H52,2)</f>
        <v>6793.18</v>
      </c>
      <c r="N52" s="28"/>
      <c r="O52" s="384" t="s">
        <v>397</v>
      </c>
      <c r="P52" s="28"/>
      <c r="Q52" s="44" t="s">
        <v>396</v>
      </c>
      <c r="R52" s="409">
        <f>U30</f>
        <v>487637.09</v>
      </c>
      <c r="S52" s="410" t="s">
        <v>6</v>
      </c>
      <c r="T52" s="411">
        <v>1.41E-2</v>
      </c>
      <c r="U52" s="412">
        <f>ROUND(R52*T52,2)</f>
        <v>6875.68</v>
      </c>
    </row>
    <row r="53" spans="1:22" x14ac:dyDescent="0.25">
      <c r="A53" s="26"/>
      <c r="B53" s="81" t="s">
        <v>398</v>
      </c>
      <c r="C53" s="26"/>
      <c r="D53" s="26"/>
      <c r="E53" s="43"/>
      <c r="F53" s="401"/>
      <c r="G53" s="109"/>
      <c r="H53" s="402"/>
      <c r="I53" s="97">
        <f>SUM(I51:I52)</f>
        <v>28569.89</v>
      </c>
      <c r="N53" s="28"/>
      <c r="O53" s="384" t="s">
        <v>398</v>
      </c>
      <c r="P53" s="28"/>
      <c r="Q53" s="44"/>
      <c r="R53" s="409"/>
      <c r="S53" s="410"/>
      <c r="T53" s="411"/>
      <c r="U53" s="403">
        <f>SUM(U51:U52)</f>
        <v>28916.880000000001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31.42</v>
      </c>
      <c r="D64" s="143">
        <v>0</v>
      </c>
      <c r="E64" s="116">
        <f t="shared" si="10"/>
        <v>62.84</v>
      </c>
      <c r="F64" s="445" t="s">
        <v>14</v>
      </c>
      <c r="G64" s="444">
        <v>252</v>
      </c>
      <c r="H64" s="458">
        <f>'1461'!H64</f>
        <v>3168</v>
      </c>
      <c r="I64" s="101">
        <f t="shared" si="11"/>
        <v>199077.12</v>
      </c>
      <c r="N64" s="573"/>
      <c r="O64" s="573"/>
      <c r="P64" s="576"/>
      <c r="Q64" s="576"/>
      <c r="R64" s="40" t="s">
        <v>14</v>
      </c>
      <c r="S64" s="450">
        <v>252</v>
      </c>
      <c r="T64" s="461">
        <f t="shared" si="12"/>
        <v>3168</v>
      </c>
      <c r="U64" s="475">
        <f t="shared" si="13"/>
        <v>0</v>
      </c>
      <c r="V64" s="425"/>
    </row>
    <row r="65" spans="1:22" ht="16.5" thickBot="1" x14ac:dyDescent="0.3">
      <c r="A65" s="550"/>
      <c r="B65" s="550"/>
      <c r="C65" s="143">
        <v>14.01</v>
      </c>
      <c r="D65" s="143">
        <v>0</v>
      </c>
      <c r="E65" s="116">
        <f t="shared" si="10"/>
        <v>28.02</v>
      </c>
      <c r="F65" s="445" t="s">
        <v>14</v>
      </c>
      <c r="G65" s="444">
        <v>253</v>
      </c>
      <c r="H65" s="458">
        <f>'1461'!H65</f>
        <v>6685</v>
      </c>
      <c r="I65" s="101">
        <f t="shared" si="11"/>
        <v>187313.7</v>
      </c>
      <c r="N65" s="573"/>
      <c r="O65" s="573"/>
      <c r="P65" s="577"/>
      <c r="Q65" s="577"/>
      <c r="R65" s="40" t="s">
        <v>14</v>
      </c>
      <c r="S65" s="450">
        <v>253</v>
      </c>
      <c r="T65" s="461">
        <f t="shared" si="12"/>
        <v>6685</v>
      </c>
      <c r="U65" s="476">
        <f t="shared" si="13"/>
        <v>0</v>
      </c>
      <c r="V65" s="425"/>
    </row>
    <row r="66" spans="1:22" ht="16.5" thickBot="1" x14ac:dyDescent="0.3">
      <c r="A66" s="441"/>
      <c r="C66" s="97">
        <f>SUM(C57:C65)</f>
        <v>45.43</v>
      </c>
      <c r="D66" s="97">
        <f>SUM(D57:D65)</f>
        <v>0</v>
      </c>
      <c r="E66" s="97">
        <f>SUM(E57:E65)</f>
        <v>90.86</v>
      </c>
      <c r="F66" s="551" t="s">
        <v>444</v>
      </c>
      <c r="G66" s="551"/>
      <c r="H66" s="551"/>
      <c r="I66" s="97">
        <f>SUM(I57:I65)</f>
        <v>386390.82</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90.86</v>
      </c>
      <c r="D69" s="526" t="s">
        <v>410</v>
      </c>
      <c r="E69" s="526"/>
      <c r="F69" s="526"/>
      <c r="G69" s="526"/>
      <c r="H69" s="301">
        <f>'1461'!H69</f>
        <v>203305.63</v>
      </c>
      <c r="I69" s="113"/>
      <c r="N69" s="566" t="s">
        <v>403</v>
      </c>
      <c r="O69" s="564"/>
      <c r="P69" s="41">
        <f>P30</f>
        <v>90.86</v>
      </c>
      <c r="Q69" s="567" t="s">
        <v>405</v>
      </c>
      <c r="R69" s="568"/>
      <c r="S69" s="568"/>
      <c r="T69" s="563">
        <f>H69</f>
        <v>203305.63</v>
      </c>
      <c r="U69" s="563"/>
    </row>
    <row r="70" spans="1:22" x14ac:dyDescent="0.25">
      <c r="B70" s="69"/>
      <c r="G70" s="42" t="s">
        <v>12</v>
      </c>
      <c r="H70" s="114">
        <f>ROUND(C69/H69,6)</f>
        <v>4.4700000000000002E-4</v>
      </c>
      <c r="I70" s="115"/>
      <c r="N70" s="564"/>
      <c r="O70" s="564"/>
      <c r="P70" s="564"/>
      <c r="Q70" s="564"/>
      <c r="R70" s="564"/>
      <c r="S70" s="564"/>
      <c r="T70" s="565">
        <f>ROUND(P69/T69,6)</f>
        <v>4.4700000000000002E-4</v>
      </c>
      <c r="U70" s="565"/>
    </row>
    <row r="71" spans="1:22" x14ac:dyDescent="0.25">
      <c r="A71" s="443" t="s">
        <v>447</v>
      </c>
      <c r="N71" s="454" t="s">
        <v>455</v>
      </c>
      <c r="O71" s="51"/>
      <c r="P71" s="51"/>
      <c r="Q71" s="51"/>
      <c r="R71" s="51"/>
      <c r="S71" s="51"/>
      <c r="T71" s="51"/>
      <c r="U71" s="51"/>
    </row>
    <row r="72" spans="1:22" x14ac:dyDescent="0.25">
      <c r="A72" s="545" t="s">
        <v>400</v>
      </c>
      <c r="B72" s="539"/>
      <c r="C72" s="112">
        <f>H30</f>
        <v>89.7697</v>
      </c>
      <c r="D72" s="526" t="s">
        <v>411</v>
      </c>
      <c r="E72" s="526"/>
      <c r="F72" s="526"/>
      <c r="G72" s="526"/>
      <c r="H72" s="302">
        <f>'1461'!H72</f>
        <v>227540.36</v>
      </c>
      <c r="I72" s="116"/>
      <c r="N72" s="566" t="s">
        <v>404</v>
      </c>
      <c r="O72" s="564"/>
      <c r="P72" s="41">
        <f>T30</f>
        <v>90.86</v>
      </c>
      <c r="Q72" s="567" t="s">
        <v>406</v>
      </c>
      <c r="R72" s="568"/>
      <c r="S72" s="568"/>
      <c r="T72" s="563">
        <f>H72</f>
        <v>227540.36</v>
      </c>
      <c r="U72" s="563"/>
    </row>
    <row r="73" spans="1:22" x14ac:dyDescent="0.25">
      <c r="G73" s="42" t="s">
        <v>12</v>
      </c>
      <c r="H73" s="114">
        <f>ROUND(C72/H72,6)</f>
        <v>3.9500000000000001E-4</v>
      </c>
      <c r="I73" s="114"/>
      <c r="N73" s="564"/>
      <c r="O73" s="564"/>
      <c r="P73" s="564"/>
      <c r="Q73" s="564"/>
      <c r="R73" s="564"/>
      <c r="S73" s="564"/>
      <c r="T73" s="565">
        <f>ROUND(P72/T72,6)</f>
        <v>3.9899999999999999E-4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90.86</v>
      </c>
      <c r="D75" s="518" t="s">
        <v>412</v>
      </c>
      <c r="E75" s="518"/>
      <c r="F75" s="518"/>
      <c r="G75" s="518"/>
      <c r="H75" s="301">
        <f>'1461'!H75</f>
        <v>186907.73</v>
      </c>
      <c r="I75" s="113"/>
      <c r="N75" s="566" t="s">
        <v>402</v>
      </c>
      <c r="O75" s="564"/>
      <c r="P75" s="41">
        <f>P30</f>
        <v>90.86</v>
      </c>
      <c r="Q75" s="597" t="s">
        <v>407</v>
      </c>
      <c r="R75" s="598"/>
      <c r="S75" s="598"/>
      <c r="T75" s="563">
        <f>H75</f>
        <v>186907.73</v>
      </c>
      <c r="U75" s="563"/>
    </row>
    <row r="76" spans="1:22" x14ac:dyDescent="0.25">
      <c r="B76" s="69"/>
      <c r="G76" s="42" t="s">
        <v>12</v>
      </c>
      <c r="H76" s="114">
        <f>ROUND(C75/H75,6)</f>
        <v>4.86E-4</v>
      </c>
      <c r="I76" s="115"/>
      <c r="N76" s="564"/>
      <c r="O76" s="564"/>
      <c r="P76" s="564"/>
      <c r="Q76" s="564"/>
      <c r="R76" s="564"/>
      <c r="S76" s="564"/>
      <c r="T76" s="565">
        <f>ROUND(P75/T75,6)</f>
        <v>4.86E-4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90.86</v>
      </c>
      <c r="D78" s="546" t="s">
        <v>413</v>
      </c>
      <c r="E78" s="546"/>
      <c r="F78" s="546"/>
      <c r="G78" s="546"/>
      <c r="H78" s="301">
        <f>'1461'!H78</f>
        <v>203080.55</v>
      </c>
      <c r="I78" s="113"/>
      <c r="N78" s="566" t="s">
        <v>402</v>
      </c>
      <c r="O78" s="564"/>
      <c r="P78" s="41">
        <f>P30</f>
        <v>90.86</v>
      </c>
      <c r="Q78" s="595" t="s">
        <v>408</v>
      </c>
      <c r="R78" s="596"/>
      <c r="S78" s="596"/>
      <c r="T78" s="563">
        <f>H78</f>
        <v>203080.55</v>
      </c>
      <c r="U78" s="563"/>
    </row>
    <row r="79" spans="1:22" x14ac:dyDescent="0.25">
      <c r="B79" s="69"/>
      <c r="G79" s="42" t="s">
        <v>12</v>
      </c>
      <c r="H79" s="114">
        <f>ROUND(C78/H78,6)</f>
        <v>4.4700000000000002E-4</v>
      </c>
      <c r="I79" s="115"/>
      <c r="N79" s="564"/>
      <c r="O79" s="564"/>
      <c r="P79" s="564"/>
      <c r="Q79" s="564"/>
      <c r="R79" s="564"/>
      <c r="S79" s="564"/>
      <c r="T79" s="565">
        <f>ROUND(P78/T78,6)</f>
        <v>4.4700000000000002E-4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90.86</v>
      </c>
      <c r="D81" s="518" t="s">
        <v>414</v>
      </c>
      <c r="E81" s="518"/>
      <c r="F81" s="518"/>
      <c r="G81" s="518"/>
      <c r="H81" s="301">
        <f>'1461'!H81</f>
        <v>186682.65</v>
      </c>
      <c r="I81" s="113"/>
      <c r="N81" s="566" t="s">
        <v>415</v>
      </c>
      <c r="O81" s="564"/>
      <c r="P81" s="41">
        <f>P30</f>
        <v>90.86</v>
      </c>
      <c r="Q81" s="597" t="s">
        <v>416</v>
      </c>
      <c r="R81" s="598"/>
      <c r="S81" s="598"/>
      <c r="T81" s="563">
        <f>H81</f>
        <v>186682.65</v>
      </c>
      <c r="U81" s="563"/>
    </row>
    <row r="82" spans="1:21" x14ac:dyDescent="0.25">
      <c r="B82" s="69"/>
      <c r="G82" s="42" t="s">
        <v>12</v>
      </c>
      <c r="H82" s="114">
        <f>ROUND(C81/H81,6)</f>
        <v>4.8700000000000002E-4</v>
      </c>
      <c r="I82" s="115"/>
      <c r="N82" s="564"/>
      <c r="O82" s="564"/>
      <c r="P82" s="564"/>
      <c r="Q82" s="564"/>
      <c r="R82" s="564"/>
      <c r="S82" s="564"/>
      <c r="T82" s="565">
        <f>ROUND(P81/T81,6)</f>
        <v>4.8700000000000002E-4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4.4700000000000002E-4</v>
      </c>
      <c r="I85" s="101">
        <f>ROUND(F85*H85,2)</f>
        <v>19965.490000000002</v>
      </c>
      <c r="N85" s="454" t="s">
        <v>451</v>
      </c>
      <c r="O85" s="51"/>
      <c r="P85" s="51"/>
      <c r="Q85" s="44"/>
      <c r="R85" s="420">
        <f>F85</f>
        <v>44665536</v>
      </c>
      <c r="S85" s="38" t="s">
        <v>6</v>
      </c>
      <c r="T85" s="422">
        <f>T79</f>
        <v>4.4700000000000002E-4</v>
      </c>
      <c r="U85" s="474">
        <f>ROUND(R85*T85,2)</f>
        <v>19965.490000000002</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4.4700000000000002E-4</v>
      </c>
      <c r="I88" s="101">
        <f>ROUND(F88*H88,2)</f>
        <v>0</v>
      </c>
      <c r="N88" s="599" t="s">
        <v>99</v>
      </c>
      <c r="O88" s="564"/>
      <c r="P88" s="564"/>
      <c r="Q88" s="44"/>
      <c r="R88" s="420">
        <f>F88</f>
        <v>0</v>
      </c>
      <c r="S88" s="38" t="s">
        <v>6</v>
      </c>
      <c r="T88" s="422">
        <f>T70</f>
        <v>4.4700000000000002E-4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4.8700000000000002E-4</v>
      </c>
      <c r="I90" s="101">
        <f>ROUND(F90*H90,2)</f>
        <v>7873.35</v>
      </c>
      <c r="N90" s="454" t="s">
        <v>452</v>
      </c>
      <c r="O90" s="51"/>
      <c r="P90" s="51"/>
      <c r="Q90" s="44"/>
      <c r="R90" s="420">
        <f>F90</f>
        <v>16167052</v>
      </c>
      <c r="S90" s="38" t="s">
        <v>6</v>
      </c>
      <c r="T90" s="422">
        <f>T82</f>
        <v>4.8700000000000002E-4</v>
      </c>
      <c r="U90" s="474">
        <f>ROUND(R90*T90,2)</f>
        <v>7873.35</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4.86E-4</v>
      </c>
      <c r="I92" s="101">
        <f t="shared" ref="I92:I96" si="14">ROUND(F92*H92,2)</f>
        <v>4879.49</v>
      </c>
      <c r="N92" s="454" t="s">
        <v>453</v>
      </c>
      <c r="O92" s="51"/>
      <c r="P92" s="51"/>
      <c r="Q92" s="44"/>
      <c r="R92" s="420">
        <f t="shared" ref="R92:R96" si="15">F92</f>
        <v>10040099</v>
      </c>
      <c r="S92" s="38" t="s">
        <v>6</v>
      </c>
      <c r="T92" s="422">
        <f>T76</f>
        <v>4.86E-4</v>
      </c>
      <c r="U92" s="474">
        <f>ROUND(R92*T92,2)</f>
        <v>4879.49</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3.9500000000000001E-4</v>
      </c>
      <c r="I94" s="101">
        <f t="shared" si="14"/>
        <v>94404.08</v>
      </c>
      <c r="N94" s="564" t="s">
        <v>418</v>
      </c>
      <c r="O94" s="564"/>
      <c r="P94" s="564"/>
      <c r="Q94" s="44"/>
      <c r="R94" s="420">
        <f t="shared" si="15"/>
        <v>238997674</v>
      </c>
      <c r="S94" s="38" t="s">
        <v>6</v>
      </c>
      <c r="T94" s="422">
        <f>T73</f>
        <v>3.9899999999999999E-4</v>
      </c>
      <c r="U94" s="474">
        <f>ROUND(R94*T94,2)</f>
        <v>95360.07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3.9500000000000001E-4</v>
      </c>
      <c r="I96" s="101">
        <f t="shared" si="14"/>
        <v>-632.02</v>
      </c>
      <c r="N96" s="566" t="s">
        <v>419</v>
      </c>
      <c r="O96" s="564"/>
      <c r="P96" s="564"/>
      <c r="Q96" s="44"/>
      <c r="R96" s="420">
        <f t="shared" si="15"/>
        <v>-1600047</v>
      </c>
      <c r="S96" s="38" t="s">
        <v>6</v>
      </c>
      <c r="T96" s="422">
        <f>T73</f>
        <v>3.9899999999999999E-4</v>
      </c>
      <c r="U96" s="474">
        <f>ROUND(R96*T96,2)</f>
        <v>-638.41999999999996</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89.7697</v>
      </c>
      <c r="D103" s="557"/>
      <c r="E103" s="46">
        <f>H8</f>
        <v>1.0442</v>
      </c>
      <c r="F103" s="304">
        <f>'1461'!F103</f>
        <v>906.93</v>
      </c>
      <c r="G103" s="39" t="s">
        <v>12</v>
      </c>
      <c r="H103" s="94">
        <f>ROUND(C103*E103*F103,2)</f>
        <v>85013.37</v>
      </c>
      <c r="N103" s="53" t="s">
        <v>14</v>
      </c>
      <c r="O103" s="54">
        <f>T18+T19+T22+T25+T28+T29</f>
        <v>90.86</v>
      </c>
      <c r="P103" s="587">
        <f>T8</f>
        <v>1.0442</v>
      </c>
      <c r="Q103" s="587"/>
      <c r="R103" s="48">
        <f>F103</f>
        <v>906.93</v>
      </c>
      <c r="S103" s="40" t="s">
        <v>12</v>
      </c>
      <c r="T103" s="480">
        <f>ROUND(O103*P103*R103,2)</f>
        <v>86045.9</v>
      </c>
      <c r="U103" s="51"/>
    </row>
    <row r="104" spans="1:21" ht="16.5" thickBot="1" x14ac:dyDescent="0.3">
      <c r="A104" s="55"/>
      <c r="B104" s="122" t="s">
        <v>102</v>
      </c>
      <c r="C104" s="547">
        <f>SUM(C101:C103)</f>
        <v>89.7697</v>
      </c>
      <c r="D104" s="547"/>
      <c r="E104" s="123"/>
      <c r="F104" s="123"/>
      <c r="G104" s="123"/>
      <c r="H104" s="124" t="s">
        <v>100</v>
      </c>
      <c r="I104" s="101">
        <f>IF(A1=75,0,H103+H102+H101)</f>
        <v>85013.37</v>
      </c>
      <c r="N104" s="56" t="s">
        <v>89</v>
      </c>
      <c r="O104" s="57">
        <f>SUM(O101:O103)</f>
        <v>90.86</v>
      </c>
      <c r="P104" s="588" t="s">
        <v>16</v>
      </c>
      <c r="Q104" s="589"/>
      <c r="R104" s="589"/>
      <c r="S104" s="589"/>
      <c r="T104" s="589"/>
      <c r="U104" s="474">
        <f>IF(N1=75,0,T103+T102+T101)</f>
        <v>86045.9</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66</v>
      </c>
      <c r="D110" s="143">
        <v>0</v>
      </c>
      <c r="E110" s="116">
        <f>C110</f>
        <v>66</v>
      </c>
      <c r="F110" s="126" t="s">
        <v>30</v>
      </c>
      <c r="G110" s="305">
        <f>'1461'!G110</f>
        <v>565</v>
      </c>
      <c r="I110" s="101">
        <f>ROUND(G110*E110,2)</f>
        <v>37290</v>
      </c>
      <c r="N110" s="585" t="s">
        <v>52</v>
      </c>
      <c r="O110" s="585"/>
      <c r="P110" s="586">
        <f>IF(H130=1,E110,0)</f>
        <v>66</v>
      </c>
      <c r="Q110" s="586"/>
      <c r="R110" s="586"/>
      <c r="S110" s="83" t="s">
        <v>30</v>
      </c>
      <c r="T110" s="58">
        <f>G110</f>
        <v>565</v>
      </c>
      <c r="U110" s="474">
        <f>ROUND(T110*P110,2)</f>
        <v>37290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1116970.1299999999</v>
      </c>
      <c r="N125" s="454"/>
      <c r="O125" s="453"/>
      <c r="P125" s="453"/>
      <c r="Q125" s="307"/>
      <c r="R125" s="307"/>
      <c r="S125" s="307"/>
      <c r="T125" s="307"/>
      <c r="U125" s="481">
        <f>SUM(U30,U85,U88,U90,U92,U94,U96,U104,U110,U111,U121,U123)</f>
        <v>738412.97</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1088400.24</v>
      </c>
      <c r="N127" s="562" t="s">
        <v>33</v>
      </c>
      <c r="O127" s="562"/>
      <c r="P127" s="562"/>
      <c r="Q127" s="562"/>
      <c r="R127" s="562"/>
      <c r="S127" s="562"/>
      <c r="T127" s="562"/>
      <c r="U127" s="132">
        <f>U125-U53</f>
        <v>709496.09</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709496.09</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709496.09</v>
      </c>
      <c r="I132" s="94">
        <f>ROUND(IF(E30=0,0,IF(E30&gt;250,-(((250/E30)*H132)*IF(G132="H",0.02,0.05)),IF(G132="H",-0.02*H132,-0.05*H132))),2)</f>
        <v>-35474.800000000003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1081495.3299999998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-177852.28-100380.53-100380.53-100380.53-100380.53-91347.75</f>
        <v>-670722.15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410773.17999999982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82154.64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18"/>
  <sheetViews>
    <sheetView topLeftCell="A21" workbookViewId="0">
      <selection activeCell="D60" sqref="D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122</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136.83000000000001</v>
      </c>
      <c r="D18" s="143">
        <v>0</v>
      </c>
      <c r="E18" s="116">
        <f t="shared" si="1"/>
        <v>273.66000000000003</v>
      </c>
      <c r="F18" s="624">
        <f>'1461'!F18:G18</f>
        <v>0.98799999999999999</v>
      </c>
      <c r="G18" s="624"/>
      <c r="H18" s="80">
        <f t="shared" si="2"/>
        <v>270.37610000000001</v>
      </c>
      <c r="I18" s="101">
        <f t="shared" si="3"/>
        <v>1451083.13</v>
      </c>
      <c r="N18" s="564" t="s">
        <v>24</v>
      </c>
      <c r="O18" s="564"/>
      <c r="P18" s="603">
        <f t="shared" si="0"/>
        <v>0</v>
      </c>
      <c r="Q18" s="603"/>
      <c r="R18" s="608">
        <v>1</v>
      </c>
      <c r="S18" s="608"/>
      <c r="T18" s="95">
        <f t="shared" si="4"/>
        <v>0</v>
      </c>
      <c r="U18" s="474">
        <f t="shared" si="5"/>
        <v>0</v>
      </c>
    </row>
    <row r="19" spans="1:21" x14ac:dyDescent="0.25">
      <c r="A19" s="539" t="s">
        <v>25</v>
      </c>
      <c r="B19" s="539"/>
      <c r="C19" s="143">
        <v>29.23</v>
      </c>
      <c r="D19" s="143">
        <v>0</v>
      </c>
      <c r="E19" s="116">
        <f t="shared" si="1"/>
        <v>58.46</v>
      </c>
      <c r="F19" s="624">
        <f>'1461'!F19:G19</f>
        <v>0.98799999999999999</v>
      </c>
      <c r="G19" s="624"/>
      <c r="H19" s="80">
        <f t="shared" si="2"/>
        <v>57.758499999999998</v>
      </c>
      <c r="I19" s="101">
        <f t="shared" si="3"/>
        <v>309984.44</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7.3</v>
      </c>
      <c r="D28" s="143">
        <v>0</v>
      </c>
      <c r="E28" s="116">
        <f t="shared" si="1"/>
        <v>14.6</v>
      </c>
      <c r="F28" s="624">
        <f>'1461'!F28:G28</f>
        <v>1.208</v>
      </c>
      <c r="G28" s="624"/>
      <c r="H28" s="80">
        <f t="shared" si="2"/>
        <v>17.636800000000001</v>
      </c>
      <c r="I28" s="101">
        <f t="shared" si="3"/>
        <v>94655.05</v>
      </c>
      <c r="N28" s="564" t="s">
        <v>87</v>
      </c>
      <c r="O28" s="564"/>
      <c r="P28" s="603">
        <f t="shared" si="0"/>
        <v>0</v>
      </c>
      <c r="Q28" s="603"/>
      <c r="R28" s="608">
        <v>1</v>
      </c>
      <c r="S28" s="608"/>
      <c r="T28" s="95">
        <f t="shared" si="4"/>
        <v>0</v>
      </c>
      <c r="U28" s="474">
        <f t="shared" si="5"/>
        <v>0</v>
      </c>
    </row>
    <row r="29" spans="1:21" x14ac:dyDescent="0.25">
      <c r="A29" s="539" t="s">
        <v>88</v>
      </c>
      <c r="B29" s="539"/>
      <c r="C29" s="110">
        <v>1.9</v>
      </c>
      <c r="D29" s="110">
        <v>0</v>
      </c>
      <c r="E29" s="154">
        <f t="shared" si="1"/>
        <v>3.8</v>
      </c>
      <c r="F29" s="624">
        <f>'1461'!F29:G29</f>
        <v>1.0720000000000001</v>
      </c>
      <c r="G29" s="624"/>
      <c r="H29" s="93">
        <f t="shared" si="2"/>
        <v>4.0735999999999999</v>
      </c>
      <c r="I29" s="94">
        <f t="shared" si="3"/>
        <v>21862.63</v>
      </c>
      <c r="N29" s="569" t="s">
        <v>88</v>
      </c>
      <c r="O29" s="569"/>
      <c r="P29" s="603">
        <f t="shared" si="0"/>
        <v>0</v>
      </c>
      <c r="Q29" s="603"/>
      <c r="R29" s="604">
        <v>1</v>
      </c>
      <c r="S29" s="604"/>
      <c r="T29" s="95">
        <f t="shared" si="4"/>
        <v>0</v>
      </c>
      <c r="U29" s="474">
        <f t="shared" si="5"/>
        <v>0</v>
      </c>
    </row>
    <row r="30" spans="1:21" x14ac:dyDescent="0.25">
      <c r="A30" s="551" t="s">
        <v>5</v>
      </c>
      <c r="B30" s="551"/>
      <c r="C30" s="94">
        <f>SUM(C14:C29)</f>
        <v>175.26000000000002</v>
      </c>
      <c r="D30" s="94">
        <f>SUM(D14:D29)</f>
        <v>0</v>
      </c>
      <c r="E30" s="94">
        <f>SUM(E14:E29)</f>
        <v>350.52000000000004</v>
      </c>
      <c r="F30" s="543"/>
      <c r="G30" s="543"/>
      <c r="H30" s="99">
        <f>SUM(H14:H29)</f>
        <v>349.84499999999997</v>
      </c>
      <c r="I30" s="94">
        <f>SUM(I14:I29)</f>
        <v>1877585.2499999998</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349.84499999999997</v>
      </c>
      <c r="F46" s="34"/>
      <c r="G46" s="106"/>
      <c r="H46" s="107" t="s">
        <v>98</v>
      </c>
      <c r="I46" s="94">
        <f>SUM(I44,I30)</f>
        <v>1877585.2499999998</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1877585.2499999998</v>
      </c>
      <c r="G51" s="109" t="s">
        <v>6</v>
      </c>
      <c r="H51" s="402">
        <v>4.5199999999999997E-2</v>
      </c>
      <c r="I51" s="101">
        <f>ROUND(F51*H51,2)</f>
        <v>84866.85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1877585.2499999998</v>
      </c>
      <c r="G52" s="109" t="s">
        <v>6</v>
      </c>
      <c r="H52" s="402">
        <v>1.41E-2</v>
      </c>
      <c r="I52" s="101">
        <f>ROUND(F52*H52,2)</f>
        <v>26473.95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111340.8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25.23</v>
      </c>
      <c r="D63" s="143">
        <v>0</v>
      </c>
      <c r="E63" s="116">
        <f t="shared" si="10"/>
        <v>50.46</v>
      </c>
      <c r="F63" s="445" t="s">
        <v>14</v>
      </c>
      <c r="G63" s="444">
        <v>251</v>
      </c>
      <c r="H63" s="458">
        <f>'1461'!H63</f>
        <v>835</v>
      </c>
      <c r="I63" s="101">
        <f t="shared" si="11"/>
        <v>42134.1</v>
      </c>
      <c r="N63" s="573"/>
      <c r="O63" s="573"/>
      <c r="P63" s="576"/>
      <c r="Q63" s="576"/>
      <c r="R63" s="40" t="s">
        <v>14</v>
      </c>
      <c r="S63" s="450">
        <v>251</v>
      </c>
      <c r="T63" s="461">
        <f t="shared" si="12"/>
        <v>835</v>
      </c>
      <c r="U63" s="475">
        <f t="shared" si="13"/>
        <v>0</v>
      </c>
      <c r="V63" s="425"/>
    </row>
    <row r="64" spans="1:22" x14ac:dyDescent="0.25">
      <c r="A64" s="550"/>
      <c r="B64" s="550"/>
      <c r="C64" s="143">
        <v>4</v>
      </c>
      <c r="D64" s="143">
        <v>0</v>
      </c>
      <c r="E64" s="116">
        <f t="shared" si="10"/>
        <v>8</v>
      </c>
      <c r="F64" s="445" t="s">
        <v>14</v>
      </c>
      <c r="G64" s="444">
        <v>252</v>
      </c>
      <c r="H64" s="458">
        <f>'1461'!H64</f>
        <v>3168</v>
      </c>
      <c r="I64" s="101">
        <f t="shared" si="11"/>
        <v>25344</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29.23</v>
      </c>
      <c r="D66" s="97">
        <f>SUM(D57:D65)</f>
        <v>0</v>
      </c>
      <c r="E66" s="97">
        <f>SUM(E57:E65)</f>
        <v>58.46</v>
      </c>
      <c r="F66" s="551" t="s">
        <v>444</v>
      </c>
      <c r="G66" s="551"/>
      <c r="H66" s="551"/>
      <c r="I66" s="97">
        <f>SUM(I57:I65)</f>
        <v>67478.100000000006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350.52000000000004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1.7240000000000001E-3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349.84499999999997</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1.5380000000000001E-3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350.52000000000004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1.8749999999999999E-3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350.52000000000004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1.7260000000000001E-3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350.52000000000004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1.8779999999999999E-3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1.7260000000000001E-3</v>
      </c>
      <c r="I85" s="101">
        <f>ROUND(F85*H85,2)</f>
        <v>77092.72</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1.7240000000000001E-3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1.8779999999999999E-3</v>
      </c>
      <c r="I90" s="101">
        <f>ROUND(F90*H90,2)</f>
        <v>30361.72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1.8749999999999999E-3</v>
      </c>
      <c r="I92" s="101">
        <f t="shared" ref="I92:I96" si="14">ROUND(F92*H92,2)</f>
        <v>18825.189999999999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1.5380000000000001E-3</v>
      </c>
      <c r="I94" s="101">
        <f t="shared" si="14"/>
        <v>367578.42</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1.5380000000000001E-3</v>
      </c>
      <c r="I96" s="101">
        <f t="shared" si="14"/>
        <v>-2460.87</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349.84499999999997</v>
      </c>
      <c r="D103" s="557"/>
      <c r="E103" s="46">
        <f>H8</f>
        <v>1.0442</v>
      </c>
      <c r="F103" s="304">
        <f>'1461'!F103</f>
        <v>906.93</v>
      </c>
      <c r="G103" s="39" t="s">
        <v>12</v>
      </c>
      <c r="H103" s="94">
        <f>ROUND(C103*E103*F103,2)</f>
        <v>331308.92</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349.84499999999997</v>
      </c>
      <c r="D104" s="547"/>
      <c r="E104" s="123"/>
      <c r="F104" s="123"/>
      <c r="G104" s="123"/>
      <c r="H104" s="124" t="s">
        <v>100</v>
      </c>
      <c r="I104" s="101">
        <f>IF(A1=75,0,H103+H102+H101)</f>
        <v>331308.92</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254</v>
      </c>
      <c r="D110" s="143">
        <v>0</v>
      </c>
      <c r="E110" s="116">
        <f>C110</f>
        <v>254</v>
      </c>
      <c r="F110" s="126" t="s">
        <v>30</v>
      </c>
      <c r="G110" s="305">
        <f>'1461'!G110</f>
        <v>565</v>
      </c>
      <c r="I110" s="101">
        <f>ROUND(G110*E110,2)</f>
        <v>143510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2911279.4499999997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2799938.65</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2799938.65</v>
      </c>
      <c r="I132" s="94">
        <f>ROUND(IF(E30=0,0,IF(E30&gt;250,-(((250/E30)*H132)*IF(G132="H",0.02,0.05)),IF(G132="H",-0.02*H132,-0.05*H132))),2)</f>
        <v>-99849.46</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2811429.9899999998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-461939.81-224112.15-224112.15-224112.15-224112.15-224736.36</f>
        <v>-1583124.77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1228305.2199999997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245661.04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40147.47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18"/>
  <sheetViews>
    <sheetView topLeftCell="A12" workbookViewId="0">
      <selection activeCell="C25" sqref="C2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123</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96.11</v>
      </c>
      <c r="D14" s="141">
        <v>0</v>
      </c>
      <c r="E14" s="187">
        <f>IF(D$30=0,C14*2,C14+D14)</f>
        <v>192.22</v>
      </c>
      <c r="F14" s="628">
        <f>'1461'!F14:G14</f>
        <v>1.1220000000000001</v>
      </c>
      <c r="G14" s="628"/>
      <c r="H14" s="145">
        <f>ROUND(E14*F14,4)</f>
        <v>215.67080000000001</v>
      </c>
      <c r="I14" s="111">
        <f>ROUND(ROUND(ROUND(H14*$C$8,4)*($H$8),2)*(MAX($H$9,1)),2)</f>
        <v>1157484.92</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23</v>
      </c>
      <c r="D15" s="143">
        <v>0</v>
      </c>
      <c r="E15" s="116">
        <f t="shared" ref="E15:E29" si="1">IF(D$30=0,C15*2,C15+D15)</f>
        <v>46</v>
      </c>
      <c r="F15" s="624">
        <f>'1461'!F15:G15</f>
        <v>1.1220000000000001</v>
      </c>
      <c r="G15" s="624"/>
      <c r="H15" s="80">
        <f t="shared" ref="H15:H29" si="2">ROUND(E15*F15,4)</f>
        <v>51.612000000000002</v>
      </c>
      <c r="I15" s="101">
        <f t="shared" ref="I15:I29" si="3">ROUND(ROUND(ROUND(H15*$C$8,4)*($H$8),2)*(MAX($H$9,1)),2)</f>
        <v>276996.76</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50.22</v>
      </c>
      <c r="D16" s="143">
        <v>0</v>
      </c>
      <c r="E16" s="116">
        <f t="shared" si="1"/>
        <v>100.44</v>
      </c>
      <c r="F16" s="624">
        <f>'1461'!F16:G16</f>
        <v>1</v>
      </c>
      <c r="G16" s="624"/>
      <c r="H16" s="80">
        <f t="shared" si="2"/>
        <v>100.44</v>
      </c>
      <c r="I16" s="101">
        <f t="shared" si="3"/>
        <v>539052.05000000005</v>
      </c>
      <c r="N16" s="564" t="s">
        <v>22</v>
      </c>
      <c r="O16" s="564"/>
      <c r="P16" s="603">
        <f t="shared" si="0"/>
        <v>0</v>
      </c>
      <c r="Q16" s="603"/>
      <c r="R16" s="608">
        <v>1</v>
      </c>
      <c r="S16" s="608"/>
      <c r="T16" s="95">
        <f t="shared" si="4"/>
        <v>0</v>
      </c>
      <c r="U16" s="474">
        <f t="shared" si="5"/>
        <v>0</v>
      </c>
    </row>
    <row r="17" spans="1:21" x14ac:dyDescent="0.25">
      <c r="A17" s="539" t="s">
        <v>23</v>
      </c>
      <c r="B17" s="539"/>
      <c r="C17" s="143">
        <v>12</v>
      </c>
      <c r="D17" s="143">
        <v>0</v>
      </c>
      <c r="E17" s="116">
        <f t="shared" si="1"/>
        <v>24</v>
      </c>
      <c r="F17" s="624">
        <f>'1461'!F17:G17</f>
        <v>1</v>
      </c>
      <c r="G17" s="624"/>
      <c r="H17" s="80">
        <f t="shared" si="2"/>
        <v>24</v>
      </c>
      <c r="I17" s="101">
        <f t="shared" si="3"/>
        <v>128805.75</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6.17</v>
      </c>
      <c r="D26" s="143">
        <v>0</v>
      </c>
      <c r="E26" s="116">
        <f t="shared" si="1"/>
        <v>12.34</v>
      </c>
      <c r="F26" s="624">
        <f>'1461'!F26:G26</f>
        <v>1.208</v>
      </c>
      <c r="G26" s="624"/>
      <c r="H26" s="80">
        <f t="shared" si="2"/>
        <v>14.906700000000001</v>
      </c>
      <c r="I26" s="101">
        <f t="shared" si="3"/>
        <v>80002.86</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187.49999999999997</v>
      </c>
      <c r="D30" s="94">
        <f>SUM(D14:D29)</f>
        <v>0</v>
      </c>
      <c r="E30" s="94">
        <f>SUM(E14:E29)</f>
        <v>374.99999999999994</v>
      </c>
      <c r="F30" s="543"/>
      <c r="G30" s="543"/>
      <c r="H30" s="99">
        <f>SUM(H14:H29)</f>
        <v>406.62950000000001</v>
      </c>
      <c r="I30" s="94">
        <f>SUM(I14:I29)</f>
        <v>2182342.34</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406.62950000000001</v>
      </c>
      <c r="F46" s="34"/>
      <c r="G46" s="106"/>
      <c r="H46" s="107" t="s">
        <v>98</v>
      </c>
      <c r="I46" s="94">
        <f>SUM(I44,I30)</f>
        <v>2182342.34</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2182342.34</v>
      </c>
      <c r="G51" s="109" t="s">
        <v>6</v>
      </c>
      <c r="H51" s="402">
        <v>4.5199999999999997E-2</v>
      </c>
      <c r="I51" s="101">
        <f>ROUND(F51*H51,2)</f>
        <v>98641.87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2182342.34</v>
      </c>
      <c r="G52" s="109" t="s">
        <v>6</v>
      </c>
      <c r="H52" s="402">
        <v>1.41E-2</v>
      </c>
      <c r="I52" s="101">
        <f>ROUND(F52*H52,2)</f>
        <v>30771.03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129412.9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20.5</v>
      </c>
      <c r="D57" s="143">
        <v>0</v>
      </c>
      <c r="E57" s="116">
        <f t="shared" ref="E57:E65" si="10">IF(D$66=0,C57*2,C57+D57)</f>
        <v>41</v>
      </c>
      <c r="F57" s="444" t="s">
        <v>435</v>
      </c>
      <c r="G57" s="444">
        <v>251</v>
      </c>
      <c r="H57" s="458">
        <f>'1461'!H57</f>
        <v>1047</v>
      </c>
      <c r="I57" s="101">
        <f>ROUND(E57*H57,2)</f>
        <v>42927</v>
      </c>
      <c r="N57" s="572" t="s">
        <v>443</v>
      </c>
      <c r="O57" s="572"/>
      <c r="P57" s="575"/>
      <c r="Q57" s="575"/>
      <c r="R57" s="450" t="s">
        <v>435</v>
      </c>
      <c r="S57" s="450">
        <v>251</v>
      </c>
      <c r="T57" s="461">
        <f>H57</f>
        <v>1047</v>
      </c>
      <c r="U57" s="475">
        <f>ROUND(P57*T57,2)</f>
        <v>0</v>
      </c>
      <c r="V57" s="425"/>
    </row>
    <row r="58" spans="1:22" x14ac:dyDescent="0.25">
      <c r="A58" s="550"/>
      <c r="B58" s="550"/>
      <c r="C58" s="143">
        <v>2.5</v>
      </c>
      <c r="D58" s="143">
        <v>0</v>
      </c>
      <c r="E58" s="116">
        <f t="shared" si="10"/>
        <v>5</v>
      </c>
      <c r="F58" s="444" t="s">
        <v>435</v>
      </c>
      <c r="G58" s="444">
        <v>252</v>
      </c>
      <c r="H58" s="458">
        <f>'1461'!H58</f>
        <v>3380</v>
      </c>
      <c r="I58" s="101">
        <f t="shared" ref="I58:I65" si="11">ROUND(E58*H58,2)</f>
        <v>16900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11.5</v>
      </c>
      <c r="D60" s="143">
        <v>0</v>
      </c>
      <c r="E60" s="116">
        <f t="shared" si="10"/>
        <v>23</v>
      </c>
      <c r="F60" s="445" t="s">
        <v>13</v>
      </c>
      <c r="G60" s="444">
        <v>251</v>
      </c>
      <c r="H60" s="458">
        <f>'1461'!H60</f>
        <v>1173</v>
      </c>
      <c r="I60" s="101">
        <f t="shared" si="11"/>
        <v>26979</v>
      </c>
      <c r="N60" s="573"/>
      <c r="O60" s="573"/>
      <c r="P60" s="576"/>
      <c r="Q60" s="576"/>
      <c r="R60" s="40" t="s">
        <v>13</v>
      </c>
      <c r="S60" s="450">
        <v>251</v>
      </c>
      <c r="T60" s="461">
        <f t="shared" si="12"/>
        <v>1173</v>
      </c>
      <c r="U60" s="475">
        <f t="shared" si="13"/>
        <v>0</v>
      </c>
      <c r="V60" s="425"/>
    </row>
    <row r="61" spans="1:22" x14ac:dyDescent="0.25">
      <c r="A61" s="550"/>
      <c r="B61" s="550"/>
      <c r="C61" s="143">
        <v>0.5</v>
      </c>
      <c r="D61" s="143">
        <v>0</v>
      </c>
      <c r="E61" s="116">
        <f t="shared" si="10"/>
        <v>1</v>
      </c>
      <c r="F61" s="445" t="s">
        <v>13</v>
      </c>
      <c r="G61" s="444">
        <v>252</v>
      </c>
      <c r="H61" s="458">
        <f>'1461'!H61</f>
        <v>3506</v>
      </c>
      <c r="I61" s="101">
        <f t="shared" si="11"/>
        <v>3506</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35</v>
      </c>
      <c r="D66" s="97">
        <f>SUM(D57:D65)</f>
        <v>0</v>
      </c>
      <c r="E66" s="97">
        <f>SUM(E57:E65)</f>
        <v>70</v>
      </c>
      <c r="F66" s="551" t="s">
        <v>444</v>
      </c>
      <c r="G66" s="551"/>
      <c r="H66" s="551"/>
      <c r="I66" s="97">
        <f>SUM(I57:I65)</f>
        <v>90312</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374.99999999999994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1.8450000000000001E-3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406.62950000000001</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1.787E-3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374.99999999999994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2.006E-3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374.99999999999994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1.8469999999999999E-3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374.99999999999994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2.0089999999999999E-3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1.8469999999999999E-3</v>
      </c>
      <c r="I85" s="101">
        <f>ROUND(F85*H85,2)</f>
        <v>82497.240000000005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1.8450000000000001E-3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2.0089999999999999E-3</v>
      </c>
      <c r="I90" s="101">
        <f>ROUND(F90*H90,2)</f>
        <v>32479.61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2.006E-3</v>
      </c>
      <c r="I92" s="101">
        <f t="shared" ref="I92:I96" si="14">ROUND(F92*H92,2)</f>
        <v>20140.439999999999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1.787E-3</v>
      </c>
      <c r="I94" s="101">
        <f t="shared" si="14"/>
        <v>427088.84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1.787E-3</v>
      </c>
      <c r="I96" s="101">
        <f t="shared" si="14"/>
        <v>-2859.28</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282.18950000000001</v>
      </c>
      <c r="D101" s="557"/>
      <c r="E101" s="46">
        <f>H8</f>
        <v>1.0442</v>
      </c>
      <c r="F101" s="304">
        <f>'1461'!F101</f>
        <v>947.59</v>
      </c>
      <c r="G101" s="39" t="s">
        <v>12</v>
      </c>
      <c r="H101" s="101">
        <f>ROUND(C101*E101*F101,2)</f>
        <v>279219.03000000003</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124.44</v>
      </c>
      <c r="D102" s="557"/>
      <c r="E102" s="46">
        <f>H8</f>
        <v>1.0442</v>
      </c>
      <c r="F102" s="304">
        <f>'1461'!F102</f>
        <v>904.74</v>
      </c>
      <c r="G102" s="39" t="s">
        <v>12</v>
      </c>
      <c r="H102" s="101">
        <f>ROUND(C102*E102*F102,2)</f>
        <v>117562.14</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406.62950000000001</v>
      </c>
      <c r="D104" s="547"/>
      <c r="E104" s="123"/>
      <c r="F104" s="123"/>
      <c r="G104" s="123"/>
      <c r="H104" s="124" t="s">
        <v>100</v>
      </c>
      <c r="I104" s="101">
        <f>IF(A1=75,0,H103+H102+H101)</f>
        <v>396781.17000000004</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(C110+D110)/2</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3228782.36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3099369.46</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3099369.46</v>
      </c>
      <c r="I132" s="94">
        <f>ROUND(IF(E30=0,0,IF(E30&gt;250,-(((250/E30)*H132)*IF(G132="H",0.02,0.05)),IF(G132="H",-0.02*H132,-0.05*H132))),2)</f>
        <v>-41324.93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3187457.4299999997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-506538.3-245982.01-245982-245982.01-245982-281697.09</f>
        <v>-1772163.4100000001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1415294.0199999996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283058.8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20662.46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18"/>
  <sheetViews>
    <sheetView topLeftCell="A12" workbookViewId="0">
      <selection activeCell="C30" sqref="C3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124</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132.65</v>
      </c>
      <c r="D18" s="143">
        <v>0</v>
      </c>
      <c r="E18" s="116">
        <f t="shared" si="1"/>
        <v>265.3</v>
      </c>
      <c r="F18" s="624">
        <f>'1461'!F18:G18</f>
        <v>0.98799999999999999</v>
      </c>
      <c r="G18" s="624"/>
      <c r="H18" s="80">
        <f t="shared" si="2"/>
        <v>262.1164</v>
      </c>
      <c r="I18" s="101">
        <f t="shared" si="3"/>
        <v>1406754.1</v>
      </c>
      <c r="N18" s="564" t="s">
        <v>24</v>
      </c>
      <c r="O18" s="564"/>
      <c r="P18" s="603">
        <f t="shared" si="0"/>
        <v>0</v>
      </c>
      <c r="Q18" s="603"/>
      <c r="R18" s="608">
        <v>1</v>
      </c>
      <c r="S18" s="608"/>
      <c r="T18" s="95">
        <f t="shared" si="4"/>
        <v>0</v>
      </c>
      <c r="U18" s="474">
        <f t="shared" si="5"/>
        <v>0</v>
      </c>
    </row>
    <row r="19" spans="1:21" x14ac:dyDescent="0.25">
      <c r="A19" s="539" t="s">
        <v>25</v>
      </c>
      <c r="B19" s="539"/>
      <c r="C19" s="143">
        <v>28.43</v>
      </c>
      <c r="D19" s="143">
        <v>0</v>
      </c>
      <c r="E19" s="116">
        <f t="shared" si="1"/>
        <v>56.86</v>
      </c>
      <c r="F19" s="624">
        <f>'1461'!F19:G19</f>
        <v>0.98799999999999999</v>
      </c>
      <c r="G19" s="624"/>
      <c r="H19" s="80">
        <f t="shared" si="2"/>
        <v>56.177700000000002</v>
      </c>
      <c r="I19" s="101">
        <f t="shared" si="3"/>
        <v>301500.44</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11.4</v>
      </c>
      <c r="D28" s="143">
        <v>0</v>
      </c>
      <c r="E28" s="116">
        <f t="shared" si="1"/>
        <v>22.8</v>
      </c>
      <c r="F28" s="624">
        <f>'1461'!F28:G28</f>
        <v>1.208</v>
      </c>
      <c r="G28" s="624"/>
      <c r="H28" s="80">
        <f t="shared" si="2"/>
        <v>27.542400000000001</v>
      </c>
      <c r="I28" s="101">
        <f t="shared" si="3"/>
        <v>147817.47</v>
      </c>
      <c r="N28" s="564" t="s">
        <v>87</v>
      </c>
      <c r="O28" s="564"/>
      <c r="P28" s="603">
        <f t="shared" si="0"/>
        <v>0</v>
      </c>
      <c r="Q28" s="603"/>
      <c r="R28" s="608">
        <v>1</v>
      </c>
      <c r="S28" s="608"/>
      <c r="T28" s="95">
        <f t="shared" si="4"/>
        <v>0</v>
      </c>
      <c r="U28" s="474">
        <f t="shared" si="5"/>
        <v>0</v>
      </c>
    </row>
    <row r="29" spans="1:21" x14ac:dyDescent="0.25">
      <c r="A29" s="539" t="s">
        <v>88</v>
      </c>
      <c r="B29" s="539"/>
      <c r="C29" s="110">
        <v>1.2</v>
      </c>
      <c r="D29" s="110">
        <v>0</v>
      </c>
      <c r="E29" s="154">
        <f t="shared" si="1"/>
        <v>2.4</v>
      </c>
      <c r="F29" s="624">
        <f>'1461'!F29:G29</f>
        <v>1.0720000000000001</v>
      </c>
      <c r="G29" s="624"/>
      <c r="H29" s="93">
        <f t="shared" si="2"/>
        <v>2.5728</v>
      </c>
      <c r="I29" s="94">
        <f t="shared" si="3"/>
        <v>13807.98</v>
      </c>
      <c r="N29" s="569" t="s">
        <v>88</v>
      </c>
      <c r="O29" s="569"/>
      <c r="P29" s="603">
        <f t="shared" si="0"/>
        <v>0</v>
      </c>
      <c r="Q29" s="603"/>
      <c r="R29" s="604">
        <v>1</v>
      </c>
      <c r="S29" s="604"/>
      <c r="T29" s="95">
        <f t="shared" si="4"/>
        <v>0</v>
      </c>
      <c r="U29" s="474">
        <f t="shared" si="5"/>
        <v>0</v>
      </c>
    </row>
    <row r="30" spans="1:21" x14ac:dyDescent="0.25">
      <c r="A30" s="551" t="s">
        <v>5</v>
      </c>
      <c r="B30" s="551"/>
      <c r="C30" s="94">
        <f>SUM(C14:C29)</f>
        <v>173.68</v>
      </c>
      <c r="D30" s="94">
        <f>SUM(D14:D29)</f>
        <v>0</v>
      </c>
      <c r="E30" s="94">
        <f>SUM(E14:E29)</f>
        <v>347.36</v>
      </c>
      <c r="F30" s="543"/>
      <c r="G30" s="543"/>
      <c r="H30" s="99">
        <f>SUM(H14:H29)</f>
        <v>348.40929999999997</v>
      </c>
      <c r="I30" s="94">
        <f>SUM(I14:I29)</f>
        <v>1869879.99</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348.40929999999997</v>
      </c>
      <c r="F46" s="34"/>
      <c r="G46" s="106"/>
      <c r="H46" s="107" t="s">
        <v>98</v>
      </c>
      <c r="I46" s="94">
        <f>SUM(I44,I30)</f>
        <v>1869879.99</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1869879.99</v>
      </c>
      <c r="G51" s="109" t="s">
        <v>6</v>
      </c>
      <c r="H51" s="402">
        <v>4.5199999999999997E-2</v>
      </c>
      <c r="I51" s="101">
        <f>ROUND(F51*H51,2)</f>
        <v>84518.58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1869879.99</v>
      </c>
      <c r="G52" s="109" t="s">
        <v>6</v>
      </c>
      <c r="H52" s="402">
        <v>1.41E-2</v>
      </c>
      <c r="I52" s="101">
        <f>ROUND(F52*H52,2)</f>
        <v>26365.31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110883.89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27.93</v>
      </c>
      <c r="D63" s="143">
        <v>0</v>
      </c>
      <c r="E63" s="116">
        <f t="shared" si="10"/>
        <v>55.86</v>
      </c>
      <c r="F63" s="445" t="s">
        <v>14</v>
      </c>
      <c r="G63" s="444">
        <v>251</v>
      </c>
      <c r="H63" s="458">
        <f>'1461'!H63</f>
        <v>835</v>
      </c>
      <c r="I63" s="101">
        <f t="shared" si="11"/>
        <v>46643.1</v>
      </c>
      <c r="N63" s="573"/>
      <c r="O63" s="573"/>
      <c r="P63" s="576"/>
      <c r="Q63" s="576"/>
      <c r="R63" s="40" t="s">
        <v>14</v>
      </c>
      <c r="S63" s="450">
        <v>251</v>
      </c>
      <c r="T63" s="461">
        <f t="shared" si="12"/>
        <v>835</v>
      </c>
      <c r="U63" s="475">
        <f t="shared" si="13"/>
        <v>0</v>
      </c>
      <c r="V63" s="425"/>
    </row>
    <row r="64" spans="1:22" x14ac:dyDescent="0.25">
      <c r="A64" s="550"/>
      <c r="B64" s="550"/>
      <c r="C64" s="143">
        <v>0.5</v>
      </c>
      <c r="D64" s="143">
        <v>0</v>
      </c>
      <c r="E64" s="116">
        <f t="shared" si="10"/>
        <v>1</v>
      </c>
      <c r="F64" s="445" t="s">
        <v>14</v>
      </c>
      <c r="G64" s="444">
        <v>252</v>
      </c>
      <c r="H64" s="458">
        <f>'1461'!H64</f>
        <v>3168</v>
      </c>
      <c r="I64" s="101">
        <f t="shared" si="11"/>
        <v>3168</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28.43</v>
      </c>
      <c r="D66" s="97">
        <f>SUM(D57:D65)</f>
        <v>0</v>
      </c>
      <c r="E66" s="97">
        <f>SUM(E57:E65)</f>
        <v>56.86</v>
      </c>
      <c r="F66" s="551" t="s">
        <v>444</v>
      </c>
      <c r="G66" s="551"/>
      <c r="H66" s="551"/>
      <c r="I66" s="97">
        <f>SUM(I57:I65)</f>
        <v>49811.1</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347.36</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1.709E-3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348.40929999999997</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1.531E-3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347.36</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1.8580000000000001E-3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347.36</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1.7099999999999999E-3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347.36</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1.861E-3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1.7099999999999999E-3</v>
      </c>
      <c r="I85" s="101">
        <f>ROUND(F85*H85,2)</f>
        <v>76378.070000000007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1.709E-3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1.861E-3</v>
      </c>
      <c r="I90" s="101">
        <f>ROUND(F90*H90,2)</f>
        <v>30086.880000000001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1.8580000000000001E-3</v>
      </c>
      <c r="I92" s="101">
        <f t="shared" ref="I92:I96" si="14">ROUND(F92*H92,2)</f>
        <v>18654.5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1.531E-3</v>
      </c>
      <c r="I94" s="101">
        <f t="shared" si="14"/>
        <v>365905.44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1.531E-3</v>
      </c>
      <c r="I96" s="101">
        <f t="shared" si="14"/>
        <v>-2449.67</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348.40929999999997</v>
      </c>
      <c r="D103" s="557"/>
      <c r="E103" s="46">
        <f>H8</f>
        <v>1.0442</v>
      </c>
      <c r="F103" s="304">
        <f>'1461'!F103</f>
        <v>906.93</v>
      </c>
      <c r="G103" s="39" t="s">
        <v>12</v>
      </c>
      <c r="H103" s="94">
        <f>ROUND(C103*E103*F103,2)</f>
        <v>329949.28999999998</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348.40929999999997</v>
      </c>
      <c r="D104" s="547"/>
      <c r="E104" s="123"/>
      <c r="F104" s="123"/>
      <c r="G104" s="123"/>
      <c r="H104" s="124" t="s">
        <v>100</v>
      </c>
      <c r="I104" s="101">
        <f>IF(A1=75,0,H103+H102+H101)</f>
        <v>329949.28999999998</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102</v>
      </c>
      <c r="D110" s="143">
        <v>0</v>
      </c>
      <c r="E110" s="116">
        <f>C110</f>
        <v>102</v>
      </c>
      <c r="F110" s="126" t="s">
        <v>30</v>
      </c>
      <c r="G110" s="305">
        <f>'1461'!G110</f>
        <v>565</v>
      </c>
      <c r="I110" s="101">
        <f>ROUND(G110*E110,2)</f>
        <v>57630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2795845.6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2684961.71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2684961.71</v>
      </c>
      <c r="I132" s="94">
        <f>ROUND(IF(E30=0,0,IF(E30&gt;250,-(((250/E30)*H132)*IF(G132="H",0.02,0.05)),IF(G132="H",-0.02*H132,-0.05*H132))),2)</f>
        <v>-96620.28</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2699225.3200000003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-422565.92-205255.16-205255.16-205255.16-205255.15-237417.83</f>
        <v>-1481004.3800000001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1218220.9400000002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243644.19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37627.81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18"/>
  <sheetViews>
    <sheetView topLeftCell="A9" workbookViewId="0">
      <selection activeCell="D65" sqref="D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125</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192.02</v>
      </c>
      <c r="D14" s="141">
        <v>0</v>
      </c>
      <c r="E14" s="187">
        <f>IF(D$30=0,C14*2,C14+D14)</f>
        <v>384.04</v>
      </c>
      <c r="F14" s="628">
        <f>'1461'!F14:G14</f>
        <v>1.1220000000000001</v>
      </c>
      <c r="G14" s="628"/>
      <c r="H14" s="145">
        <f>ROUND(E14*F14,4)</f>
        <v>430.8929</v>
      </c>
      <c r="I14" s="111">
        <f>ROUND(ROUND(ROUND(H14*$C$8,4)*($H$8),2)*(MAX($H$9,1)),2)</f>
        <v>2312561.7200000002</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29.5</v>
      </c>
      <c r="D15" s="143">
        <v>0</v>
      </c>
      <c r="E15" s="116">
        <f t="shared" ref="E15:E29" si="1">IF(D$30=0,C15*2,C15+D15)</f>
        <v>59</v>
      </c>
      <c r="F15" s="624">
        <f>'1461'!F15:G15</f>
        <v>1.1220000000000001</v>
      </c>
      <c r="G15" s="624"/>
      <c r="H15" s="80">
        <f t="shared" ref="H15:H29" si="2">ROUND(E15*F15,4)</f>
        <v>66.197999999999993</v>
      </c>
      <c r="I15" s="101">
        <f t="shared" ref="I15:I29" si="3">ROUND(ROUND(ROUND(H15*$C$8,4)*($H$8),2)*(MAX($H$9,1)),2)</f>
        <v>355278.45</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220.73</v>
      </c>
      <c r="D16" s="143">
        <v>0</v>
      </c>
      <c r="E16" s="116">
        <f t="shared" si="1"/>
        <v>441.46</v>
      </c>
      <c r="F16" s="624">
        <f>'1461'!F16:G16</f>
        <v>1</v>
      </c>
      <c r="G16" s="624"/>
      <c r="H16" s="80">
        <f t="shared" si="2"/>
        <v>441.46</v>
      </c>
      <c r="I16" s="101">
        <f t="shared" si="3"/>
        <v>2369274.35</v>
      </c>
      <c r="N16" s="564" t="s">
        <v>22</v>
      </c>
      <c r="O16" s="564"/>
      <c r="P16" s="603">
        <f t="shared" si="0"/>
        <v>0</v>
      </c>
      <c r="Q16" s="603"/>
      <c r="R16" s="608">
        <v>1</v>
      </c>
      <c r="S16" s="608"/>
      <c r="T16" s="95">
        <f t="shared" si="4"/>
        <v>0</v>
      </c>
      <c r="U16" s="474">
        <f t="shared" si="5"/>
        <v>0</v>
      </c>
    </row>
    <row r="17" spans="1:21" x14ac:dyDescent="0.25">
      <c r="A17" s="539" t="s">
        <v>23</v>
      </c>
      <c r="B17" s="539"/>
      <c r="C17" s="143">
        <v>32</v>
      </c>
      <c r="D17" s="143">
        <v>0</v>
      </c>
      <c r="E17" s="116">
        <f t="shared" si="1"/>
        <v>64</v>
      </c>
      <c r="F17" s="624">
        <f>'1461'!F17:G17</f>
        <v>1</v>
      </c>
      <c r="G17" s="624"/>
      <c r="H17" s="80">
        <f t="shared" si="2"/>
        <v>64</v>
      </c>
      <c r="I17" s="101">
        <f t="shared" si="3"/>
        <v>343481.99</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18.48</v>
      </c>
      <c r="D26" s="143">
        <v>0</v>
      </c>
      <c r="E26" s="116">
        <f t="shared" si="1"/>
        <v>36.96</v>
      </c>
      <c r="F26" s="624">
        <f>'1461'!F26:G26</f>
        <v>1.208</v>
      </c>
      <c r="G26" s="624"/>
      <c r="H26" s="80">
        <f t="shared" si="2"/>
        <v>44.6477</v>
      </c>
      <c r="I26" s="101">
        <f t="shared" si="3"/>
        <v>239620.01</v>
      </c>
      <c r="N26" s="564" t="s">
        <v>85</v>
      </c>
      <c r="O26" s="564"/>
      <c r="P26" s="603">
        <f t="shared" si="0"/>
        <v>0</v>
      </c>
      <c r="Q26" s="603"/>
      <c r="R26" s="608">
        <v>1</v>
      </c>
      <c r="S26" s="608"/>
      <c r="T26" s="95">
        <f t="shared" si="4"/>
        <v>0</v>
      </c>
      <c r="U26" s="474">
        <f t="shared" si="5"/>
        <v>0</v>
      </c>
    </row>
    <row r="27" spans="1:21" x14ac:dyDescent="0.25">
      <c r="A27" s="539" t="s">
        <v>86</v>
      </c>
      <c r="B27" s="539"/>
      <c r="C27" s="143">
        <v>4.3499999999999996</v>
      </c>
      <c r="D27" s="143">
        <v>0</v>
      </c>
      <c r="E27" s="116">
        <f t="shared" si="1"/>
        <v>8.6999999999999993</v>
      </c>
      <c r="F27" s="624">
        <f>'1461'!F27:G27</f>
        <v>1.208</v>
      </c>
      <c r="G27" s="624"/>
      <c r="H27" s="80">
        <f t="shared" si="2"/>
        <v>10.509600000000001</v>
      </c>
      <c r="I27" s="101">
        <f t="shared" si="3"/>
        <v>56404.04</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497.08000000000004</v>
      </c>
      <c r="D30" s="94">
        <f>SUM(D14:D29)</f>
        <v>0</v>
      </c>
      <c r="E30" s="94">
        <f>SUM(E14:E29)</f>
        <v>994.16000000000008</v>
      </c>
      <c r="F30" s="543"/>
      <c r="G30" s="543"/>
      <c r="H30" s="99">
        <f>SUM(H14:H29)</f>
        <v>1057.7082</v>
      </c>
      <c r="I30" s="94">
        <f>SUM(I14:I29)</f>
        <v>5676620.5600000005</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1057.7082</v>
      </c>
      <c r="F46" s="34"/>
      <c r="G46" s="106"/>
      <c r="H46" s="107" t="s">
        <v>98</v>
      </c>
      <c r="I46" s="94">
        <f>SUM(I44,I30)</f>
        <v>5676620.5600000005</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5676620.5600000005</v>
      </c>
      <c r="G51" s="109" t="s">
        <v>6</v>
      </c>
      <c r="H51" s="402">
        <v>4.5199999999999997E-2</v>
      </c>
      <c r="I51" s="101">
        <f>ROUND(F51*H51,2)</f>
        <v>256583.25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5676620.5600000005</v>
      </c>
      <c r="G52" s="109" t="s">
        <v>6</v>
      </c>
      <c r="H52" s="402">
        <v>1.41E-2</v>
      </c>
      <c r="I52" s="101">
        <f>ROUND(F52*H52,2)</f>
        <v>80040.350000000006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336623.6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26.5</v>
      </c>
      <c r="D57" s="143">
        <v>0</v>
      </c>
      <c r="E57" s="116">
        <f t="shared" ref="E57:E65" si="10">IF(D$66=0,C57*2,C57+D57)</f>
        <v>53</v>
      </c>
      <c r="F57" s="444" t="s">
        <v>435</v>
      </c>
      <c r="G57" s="444">
        <v>251</v>
      </c>
      <c r="H57" s="458">
        <f>'1461'!H57</f>
        <v>1047</v>
      </c>
      <c r="I57" s="101">
        <f>ROUND(E57*H57,2)</f>
        <v>55491</v>
      </c>
      <c r="N57" s="572" t="s">
        <v>443</v>
      </c>
      <c r="O57" s="572"/>
      <c r="P57" s="575"/>
      <c r="Q57" s="575"/>
      <c r="R57" s="450" t="s">
        <v>435</v>
      </c>
      <c r="S57" s="450">
        <v>251</v>
      </c>
      <c r="T57" s="461">
        <f>H57</f>
        <v>1047</v>
      </c>
      <c r="U57" s="475">
        <f>ROUND(P57*T57,2)</f>
        <v>0</v>
      </c>
      <c r="V57" s="425"/>
    </row>
    <row r="58" spans="1:22" x14ac:dyDescent="0.25">
      <c r="A58" s="550"/>
      <c r="B58" s="550"/>
      <c r="C58" s="143">
        <v>3</v>
      </c>
      <c r="D58" s="143">
        <v>0</v>
      </c>
      <c r="E58" s="116">
        <f t="shared" si="10"/>
        <v>6</v>
      </c>
      <c r="F58" s="444" t="s">
        <v>435</v>
      </c>
      <c r="G58" s="444">
        <v>252</v>
      </c>
      <c r="H58" s="458">
        <f>'1461'!H58</f>
        <v>3380</v>
      </c>
      <c r="I58" s="101">
        <f t="shared" ref="I58:I65" si="11">ROUND(E58*H58,2)</f>
        <v>20280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28</v>
      </c>
      <c r="D60" s="143">
        <v>0</v>
      </c>
      <c r="E60" s="116">
        <f t="shared" si="10"/>
        <v>56</v>
      </c>
      <c r="F60" s="445" t="s">
        <v>13</v>
      </c>
      <c r="G60" s="444">
        <v>251</v>
      </c>
      <c r="H60" s="458">
        <f>'1461'!H60</f>
        <v>1173</v>
      </c>
      <c r="I60" s="101">
        <f t="shared" si="11"/>
        <v>65688</v>
      </c>
      <c r="N60" s="573"/>
      <c r="O60" s="573"/>
      <c r="P60" s="576"/>
      <c r="Q60" s="576"/>
      <c r="R60" s="40" t="s">
        <v>13</v>
      </c>
      <c r="S60" s="450">
        <v>251</v>
      </c>
      <c r="T60" s="461">
        <f t="shared" si="12"/>
        <v>1173</v>
      </c>
      <c r="U60" s="475">
        <f t="shared" si="13"/>
        <v>0</v>
      </c>
      <c r="V60" s="425"/>
    </row>
    <row r="61" spans="1:22" x14ac:dyDescent="0.25">
      <c r="A61" s="550"/>
      <c r="B61" s="550"/>
      <c r="C61" s="143">
        <v>4</v>
      </c>
      <c r="D61" s="143">
        <v>0</v>
      </c>
      <c r="E61" s="116">
        <f t="shared" si="10"/>
        <v>8</v>
      </c>
      <c r="F61" s="445" t="s">
        <v>13</v>
      </c>
      <c r="G61" s="444">
        <v>252</v>
      </c>
      <c r="H61" s="458">
        <f>'1461'!H61</f>
        <v>3506</v>
      </c>
      <c r="I61" s="101">
        <f t="shared" si="11"/>
        <v>28048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61.5</v>
      </c>
      <c r="D66" s="97">
        <f>SUM(D57:D65)</f>
        <v>0</v>
      </c>
      <c r="E66" s="97">
        <f>SUM(E57:E65)</f>
        <v>123</v>
      </c>
      <c r="F66" s="551" t="s">
        <v>444</v>
      </c>
      <c r="G66" s="551"/>
      <c r="H66" s="551"/>
      <c r="I66" s="97">
        <f>SUM(I57:I65)</f>
        <v>169507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994.16000000000008</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4.8900000000000002E-3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1057.7082</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4.6480000000000002E-3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994.16000000000008</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5.3189999999999999E-3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994.16000000000008</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4.895E-3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994.16000000000008</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5.3249999999999999E-3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4.895E-3</v>
      </c>
      <c r="I85" s="101">
        <f>ROUND(F85*H85,2)</f>
        <v>218637.8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4.8900000000000002E-3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5.3249999999999999E-3</v>
      </c>
      <c r="I90" s="101">
        <f>ROUND(F90*H90,2)</f>
        <v>86089.55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5.3189999999999999E-3</v>
      </c>
      <c r="I92" s="101">
        <f t="shared" ref="I92:I96" si="14">ROUND(F92*H92,2)</f>
        <v>53403.29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4.6480000000000002E-3</v>
      </c>
      <c r="I94" s="101">
        <f t="shared" si="14"/>
        <v>1110861.19</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4.6480000000000002E-3</v>
      </c>
      <c r="I96" s="101">
        <f t="shared" si="14"/>
        <v>-7437.02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541.73860000000002</v>
      </c>
      <c r="D101" s="557"/>
      <c r="E101" s="46">
        <f>H8</f>
        <v>1.0442</v>
      </c>
      <c r="F101" s="304">
        <f>'1461'!F101</f>
        <v>947.59</v>
      </c>
      <c r="G101" s="39" t="s">
        <v>12</v>
      </c>
      <c r="H101" s="101">
        <f>ROUND(C101*E101*F101,2)</f>
        <v>536035.98</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515.96960000000001</v>
      </c>
      <c r="D102" s="557"/>
      <c r="E102" s="46">
        <f>H8</f>
        <v>1.0442</v>
      </c>
      <c r="F102" s="304">
        <f>'1461'!F102</f>
        <v>904.74</v>
      </c>
      <c r="G102" s="39" t="s">
        <v>12</v>
      </c>
      <c r="H102" s="101">
        <f>ROUND(C102*E102*F102,2)</f>
        <v>487451.71</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1057.7082</v>
      </c>
      <c r="D104" s="547"/>
      <c r="E104" s="123"/>
      <c r="F104" s="123"/>
      <c r="G104" s="123"/>
      <c r="H104" s="124" t="s">
        <v>100</v>
      </c>
      <c r="I104" s="101">
        <f>IF(A1=75,0,H103+H102+H101)</f>
        <v>1023487.69</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23</v>
      </c>
      <c r="D110" s="143">
        <v>0</v>
      </c>
      <c r="E110" s="116">
        <f>C110</f>
        <v>23</v>
      </c>
      <c r="F110" s="126" t="s">
        <v>30</v>
      </c>
      <c r="G110" s="305">
        <f>'1461'!G110</f>
        <v>565</v>
      </c>
      <c r="I110" s="101">
        <f>ROUND(G110*E110,2)</f>
        <v>12995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8344165.0600000005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8007541.4600000009</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8007541.4600000009</v>
      </c>
      <c r="I132" s="94">
        <f>ROUND(IF(E30=0,0,IF(E30&gt;250,-(((250/E30)*H132)*IF(G132="H",0.02,0.05)),IF(G132="H",-0.02*H132,-0.05*H132))),2)</f>
        <v>-40272.9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8303892.1600000001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-1410938-688388.98-688388.98-688388.98-688388.98-691106.77</f>
        <v>-4855600.6899999995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3448291.4700000007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689658.29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119877.93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18"/>
  <sheetViews>
    <sheetView topLeftCell="A12"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287" t="s">
        <v>126</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J11" s="256"/>
      <c r="K11" s="255"/>
      <c r="L11" s="255"/>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J12" s="254"/>
      <c r="K12" s="255"/>
      <c r="L12" s="255"/>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K13" s="255"/>
      <c r="L13" s="255"/>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224.3</v>
      </c>
      <c r="D16" s="143">
        <v>0</v>
      </c>
      <c r="E16" s="116">
        <f t="shared" si="1"/>
        <v>448.6</v>
      </c>
      <c r="F16" s="624">
        <f>'1461'!F16:G16</f>
        <v>1</v>
      </c>
      <c r="G16" s="624"/>
      <c r="H16" s="80">
        <f t="shared" si="2"/>
        <v>448.6</v>
      </c>
      <c r="I16" s="101">
        <f t="shared" si="3"/>
        <v>2407594.06</v>
      </c>
      <c r="N16" s="564" t="s">
        <v>22</v>
      </c>
      <c r="O16" s="564"/>
      <c r="P16" s="603">
        <f t="shared" si="0"/>
        <v>0</v>
      </c>
      <c r="Q16" s="603"/>
      <c r="R16" s="608">
        <v>1</v>
      </c>
      <c r="S16" s="608"/>
      <c r="T16" s="95">
        <f t="shared" si="4"/>
        <v>0</v>
      </c>
      <c r="U16" s="474">
        <f t="shared" si="5"/>
        <v>0</v>
      </c>
    </row>
    <row r="17" spans="1:21" x14ac:dyDescent="0.25">
      <c r="A17" s="539" t="s">
        <v>23</v>
      </c>
      <c r="B17" s="539"/>
      <c r="C17" s="143">
        <v>34.5</v>
      </c>
      <c r="D17" s="143">
        <v>0</v>
      </c>
      <c r="E17" s="116">
        <f t="shared" si="1"/>
        <v>69</v>
      </c>
      <c r="F17" s="624">
        <f>'1461'!F17:G17</f>
        <v>1</v>
      </c>
      <c r="G17" s="624"/>
      <c r="H17" s="80">
        <f t="shared" si="2"/>
        <v>69</v>
      </c>
      <c r="I17" s="101">
        <f t="shared" si="3"/>
        <v>370316.52</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4.01</v>
      </c>
      <c r="D27" s="143">
        <v>0</v>
      </c>
      <c r="E27" s="116">
        <f t="shared" si="1"/>
        <v>8.02</v>
      </c>
      <c r="F27" s="624">
        <f>'1461'!F27:G27</f>
        <v>1.208</v>
      </c>
      <c r="G27" s="624"/>
      <c r="H27" s="80">
        <f t="shared" si="2"/>
        <v>9.6882000000000001</v>
      </c>
      <c r="I27" s="101">
        <f t="shared" si="3"/>
        <v>51995.66</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262.81</v>
      </c>
      <c r="D30" s="94">
        <f>SUM(D14:D29)</f>
        <v>0</v>
      </c>
      <c r="E30" s="94">
        <f>SUM(E14:E29)</f>
        <v>525.62</v>
      </c>
      <c r="F30" s="543"/>
      <c r="G30" s="543"/>
      <c r="H30" s="99">
        <f>SUM(H14:H29)</f>
        <v>527.28820000000007</v>
      </c>
      <c r="I30" s="94">
        <f>SUM(I14:I29)</f>
        <v>2829906.24</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527.28820000000007</v>
      </c>
      <c r="F46" s="34"/>
      <c r="G46" s="106"/>
      <c r="H46" s="107" t="s">
        <v>98</v>
      </c>
      <c r="I46" s="94">
        <f>SUM(I44,I30)</f>
        <v>2829906.24</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2829906.24</v>
      </c>
      <c r="G51" s="109" t="s">
        <v>6</v>
      </c>
      <c r="H51" s="402">
        <v>4.5199999999999997E-2</v>
      </c>
      <c r="I51" s="101">
        <f>ROUND(F51*H51,2)</f>
        <v>127911.76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2829906.24</v>
      </c>
      <c r="G52" s="109" t="s">
        <v>6</v>
      </c>
      <c r="H52" s="402">
        <v>1.41E-2</v>
      </c>
      <c r="I52" s="101">
        <f>ROUND(F52*H52,2)</f>
        <v>39901.68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167813.44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34</v>
      </c>
      <c r="D60" s="143">
        <v>0</v>
      </c>
      <c r="E60" s="116">
        <f t="shared" si="10"/>
        <v>68</v>
      </c>
      <c r="F60" s="445" t="s">
        <v>13</v>
      </c>
      <c r="G60" s="444">
        <v>251</v>
      </c>
      <c r="H60" s="458">
        <f>'1461'!H60</f>
        <v>1173</v>
      </c>
      <c r="I60" s="101">
        <f t="shared" si="11"/>
        <v>79764</v>
      </c>
      <c r="N60" s="573"/>
      <c r="O60" s="573"/>
      <c r="P60" s="576"/>
      <c r="Q60" s="576"/>
      <c r="R60" s="40" t="s">
        <v>13</v>
      </c>
      <c r="S60" s="450">
        <v>251</v>
      </c>
      <c r="T60" s="461">
        <f t="shared" si="12"/>
        <v>1173</v>
      </c>
      <c r="U60" s="475">
        <f t="shared" si="13"/>
        <v>0</v>
      </c>
      <c r="V60" s="425"/>
    </row>
    <row r="61" spans="1:22" x14ac:dyDescent="0.25">
      <c r="A61" s="550"/>
      <c r="B61" s="550"/>
      <c r="C61" s="143">
        <v>0.5</v>
      </c>
      <c r="D61" s="143">
        <v>0</v>
      </c>
      <c r="E61" s="116">
        <f t="shared" si="10"/>
        <v>1</v>
      </c>
      <c r="F61" s="445" t="s">
        <v>13</v>
      </c>
      <c r="G61" s="444">
        <v>252</v>
      </c>
      <c r="H61" s="458">
        <f>'1461'!H61</f>
        <v>3506</v>
      </c>
      <c r="I61" s="101">
        <f t="shared" si="11"/>
        <v>3506</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34.5</v>
      </c>
      <c r="D66" s="97">
        <f>SUM(D57:D65)</f>
        <v>0</v>
      </c>
      <c r="E66" s="97">
        <f>SUM(E57:E65)</f>
        <v>69</v>
      </c>
      <c r="F66" s="551" t="s">
        <v>444</v>
      </c>
      <c r="G66" s="551"/>
      <c r="H66" s="551"/>
      <c r="I66" s="97">
        <f>SUM(I57:I65)</f>
        <v>83270</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525.62</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2.5850000000000001E-3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527.28820000000007</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2.317E-3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525.62</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2.8119999999999998E-3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525.62</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2.588E-3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525.62</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2.8159999999999999E-3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2.588E-3</v>
      </c>
      <c r="I85" s="101">
        <f>ROUND(F85*H85,2)</f>
        <v>115594.41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2.5850000000000001E-3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2.8159999999999999E-3</v>
      </c>
      <c r="I90" s="101">
        <f>ROUND(F90*H90,2)</f>
        <v>45526.42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2.8119999999999998E-3</v>
      </c>
      <c r="I92" s="101">
        <f t="shared" ref="I92:I96" si="14">ROUND(F92*H92,2)</f>
        <v>28232.76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2.317E-3</v>
      </c>
      <c r="I94" s="101">
        <f t="shared" si="14"/>
        <v>553757.61</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2.317E-3</v>
      </c>
      <c r="I96" s="101">
        <f t="shared" si="14"/>
        <v>-3707.31</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527.28820000000007</v>
      </c>
      <c r="D102" s="557"/>
      <c r="E102" s="46">
        <f>H8</f>
        <v>1.0442</v>
      </c>
      <c r="F102" s="304">
        <f>'1461'!F102</f>
        <v>904.74</v>
      </c>
      <c r="G102" s="39" t="s">
        <v>12</v>
      </c>
      <c r="H102" s="101">
        <f>ROUND(C102*E102*F102,2)</f>
        <v>498144.72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527.28820000000007</v>
      </c>
      <c r="D104" s="547"/>
      <c r="E104" s="123"/>
      <c r="F104" s="123"/>
      <c r="G104" s="123"/>
      <c r="H104" s="124" t="s">
        <v>100</v>
      </c>
      <c r="I104" s="101">
        <f>IF(A1=75,0,H103+H102+H101)</f>
        <v>498144.72</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345</v>
      </c>
      <c r="D110" s="143">
        <v>0</v>
      </c>
      <c r="E110" s="116">
        <f>C110</f>
        <v>345</v>
      </c>
      <c r="F110" s="126" t="s">
        <v>30</v>
      </c>
      <c r="G110" s="305">
        <f>'1461'!G110</f>
        <v>565</v>
      </c>
      <c r="I110" s="101">
        <f>ROUND(G110*E110,2)</f>
        <v>194925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4345649.8499999996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4177836.4099999997</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4177836.4099999997</v>
      </c>
      <c r="I132" s="94">
        <f>ROUND(IF(E30=0,0,IF(E30&gt;250,-(((250/E30)*H132)*IF(G132="H",0.02,0.05)),IF(G132="H",-0.02*H132,-0.05*H132))),2)</f>
        <v>-99354.96</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4246294.8899999997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-736759.87-358334.41-358334.41-358334.41-358334.41-344999.34</f>
        <v>-2515096.8499999996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1731198.04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346239.61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109536.86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18"/>
  <sheetViews>
    <sheetView topLeftCell="A12" workbookViewId="0">
      <selection activeCell="C64" sqref="C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359</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112.94</v>
      </c>
      <c r="D16" s="143">
        <v>0</v>
      </c>
      <c r="E16" s="116">
        <f t="shared" si="1"/>
        <v>225.88</v>
      </c>
      <c r="F16" s="624">
        <f>'1461'!F16:G16</f>
        <v>1</v>
      </c>
      <c r="G16" s="624"/>
      <c r="H16" s="80">
        <f t="shared" si="2"/>
        <v>225.88</v>
      </c>
      <c r="I16" s="101">
        <f t="shared" si="3"/>
        <v>1212276.74</v>
      </c>
      <c r="N16" s="564" t="s">
        <v>22</v>
      </c>
      <c r="O16" s="564"/>
      <c r="P16" s="603">
        <f t="shared" si="0"/>
        <v>0</v>
      </c>
      <c r="Q16" s="603"/>
      <c r="R16" s="608">
        <v>1</v>
      </c>
      <c r="S16" s="608"/>
      <c r="T16" s="95">
        <f t="shared" si="4"/>
        <v>0</v>
      </c>
      <c r="U16" s="474">
        <f t="shared" si="5"/>
        <v>0</v>
      </c>
    </row>
    <row r="17" spans="1:21" x14ac:dyDescent="0.25">
      <c r="A17" s="539" t="s">
        <v>23</v>
      </c>
      <c r="B17" s="539"/>
      <c r="C17" s="143">
        <v>23</v>
      </c>
      <c r="D17" s="143">
        <v>0</v>
      </c>
      <c r="E17" s="116">
        <f t="shared" si="1"/>
        <v>46</v>
      </c>
      <c r="F17" s="624">
        <f>'1461'!F17:G17</f>
        <v>1</v>
      </c>
      <c r="G17" s="624"/>
      <c r="H17" s="80">
        <f t="shared" si="2"/>
        <v>46</v>
      </c>
      <c r="I17" s="101">
        <f t="shared" si="3"/>
        <v>246877.68</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60.76</v>
      </c>
      <c r="D18" s="143">
        <v>0</v>
      </c>
      <c r="E18" s="116">
        <f t="shared" si="1"/>
        <v>121.52</v>
      </c>
      <c r="F18" s="624">
        <f>'1461'!F18:G18</f>
        <v>0.98799999999999999</v>
      </c>
      <c r="G18" s="624"/>
      <c r="H18" s="80">
        <f t="shared" si="2"/>
        <v>120.06180000000001</v>
      </c>
      <c r="I18" s="101">
        <f t="shared" si="3"/>
        <v>644360.4</v>
      </c>
      <c r="N18" s="564" t="s">
        <v>24</v>
      </c>
      <c r="O18" s="564"/>
      <c r="P18" s="603">
        <f t="shared" si="0"/>
        <v>0</v>
      </c>
      <c r="Q18" s="603"/>
      <c r="R18" s="608">
        <v>1</v>
      </c>
      <c r="S18" s="608"/>
      <c r="T18" s="95">
        <f t="shared" si="4"/>
        <v>0</v>
      </c>
      <c r="U18" s="474">
        <f t="shared" si="5"/>
        <v>0</v>
      </c>
    </row>
    <row r="19" spans="1:21" x14ac:dyDescent="0.25">
      <c r="A19" s="539" t="s">
        <v>25</v>
      </c>
      <c r="B19" s="539"/>
      <c r="C19" s="143">
        <v>11.28</v>
      </c>
      <c r="D19" s="143">
        <v>0</v>
      </c>
      <c r="E19" s="116">
        <f t="shared" si="1"/>
        <v>22.56</v>
      </c>
      <c r="F19" s="624">
        <f>'1461'!F19:G19</f>
        <v>0.98799999999999999</v>
      </c>
      <c r="G19" s="624"/>
      <c r="H19" s="80">
        <f t="shared" si="2"/>
        <v>22.289300000000001</v>
      </c>
      <c r="I19" s="101">
        <f t="shared" si="3"/>
        <v>119624.58</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19.559999999999999</v>
      </c>
      <c r="D27" s="143">
        <v>0</v>
      </c>
      <c r="E27" s="116">
        <f t="shared" si="1"/>
        <v>39.119999999999997</v>
      </c>
      <c r="F27" s="624">
        <f>'1461'!F27:G27</f>
        <v>1.208</v>
      </c>
      <c r="G27" s="624"/>
      <c r="H27" s="80">
        <f t="shared" si="2"/>
        <v>47.256999999999998</v>
      </c>
      <c r="I27" s="101">
        <f t="shared" si="3"/>
        <v>253623.88</v>
      </c>
      <c r="N27" s="564" t="s">
        <v>86</v>
      </c>
      <c r="O27" s="564"/>
      <c r="P27" s="603">
        <f t="shared" si="0"/>
        <v>0</v>
      </c>
      <c r="Q27" s="603"/>
      <c r="R27" s="608">
        <v>1</v>
      </c>
      <c r="S27" s="608"/>
      <c r="T27" s="95">
        <f t="shared" si="4"/>
        <v>0</v>
      </c>
      <c r="U27" s="474">
        <f t="shared" si="5"/>
        <v>0</v>
      </c>
    </row>
    <row r="28" spans="1:21" x14ac:dyDescent="0.25">
      <c r="A28" s="539" t="s">
        <v>87</v>
      </c>
      <c r="B28" s="539"/>
      <c r="C28" s="143">
        <v>4.5</v>
      </c>
      <c r="D28" s="143">
        <v>0</v>
      </c>
      <c r="E28" s="116">
        <f t="shared" si="1"/>
        <v>9</v>
      </c>
      <c r="F28" s="624">
        <f>'1461'!F28:G28</f>
        <v>1.208</v>
      </c>
      <c r="G28" s="624"/>
      <c r="H28" s="80">
        <f t="shared" si="2"/>
        <v>10.872</v>
      </c>
      <c r="I28" s="101">
        <f t="shared" si="3"/>
        <v>58349</v>
      </c>
      <c r="N28" s="564" t="s">
        <v>87</v>
      </c>
      <c r="O28" s="564"/>
      <c r="P28" s="603">
        <f t="shared" si="0"/>
        <v>0</v>
      </c>
      <c r="Q28" s="603"/>
      <c r="R28" s="608">
        <v>1</v>
      </c>
      <c r="S28" s="608"/>
      <c r="T28" s="95">
        <f t="shared" si="4"/>
        <v>0</v>
      </c>
      <c r="U28" s="474">
        <f t="shared" si="5"/>
        <v>0</v>
      </c>
    </row>
    <row r="29" spans="1:21" x14ac:dyDescent="0.25">
      <c r="A29" s="539" t="s">
        <v>88</v>
      </c>
      <c r="B29" s="539"/>
      <c r="C29" s="110">
        <v>0.99</v>
      </c>
      <c r="D29" s="110">
        <v>0</v>
      </c>
      <c r="E29" s="154">
        <f t="shared" si="1"/>
        <v>1.98</v>
      </c>
      <c r="F29" s="624">
        <f>'1461'!F29:G29</f>
        <v>1.0720000000000001</v>
      </c>
      <c r="G29" s="624"/>
      <c r="H29" s="93">
        <f t="shared" si="2"/>
        <v>2.1225999999999998</v>
      </c>
      <c r="I29" s="94">
        <f t="shared" si="3"/>
        <v>11391.79</v>
      </c>
      <c r="N29" s="569" t="s">
        <v>88</v>
      </c>
      <c r="O29" s="569"/>
      <c r="P29" s="603">
        <f t="shared" si="0"/>
        <v>0</v>
      </c>
      <c r="Q29" s="603"/>
      <c r="R29" s="604">
        <v>1</v>
      </c>
      <c r="S29" s="604"/>
      <c r="T29" s="95">
        <f t="shared" si="4"/>
        <v>0</v>
      </c>
      <c r="U29" s="474">
        <f t="shared" si="5"/>
        <v>0</v>
      </c>
    </row>
    <row r="30" spans="1:21" x14ac:dyDescent="0.25">
      <c r="A30" s="551" t="s">
        <v>5</v>
      </c>
      <c r="B30" s="551"/>
      <c r="C30" s="94">
        <f>SUM(C14:C29)</f>
        <v>233.03</v>
      </c>
      <c r="D30" s="94">
        <f>SUM(D14:D29)</f>
        <v>0</v>
      </c>
      <c r="E30" s="94">
        <f>SUM(E14:E29)</f>
        <v>466.06</v>
      </c>
      <c r="F30" s="543"/>
      <c r="G30" s="543"/>
      <c r="H30" s="99">
        <f>SUM(H14:H29)</f>
        <v>474.48270000000002</v>
      </c>
      <c r="I30" s="94">
        <f>SUM(I14:I29)</f>
        <v>2546504.0699999998</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474.48270000000002</v>
      </c>
      <c r="F46" s="34"/>
      <c r="G46" s="106"/>
      <c r="H46" s="107" t="s">
        <v>98</v>
      </c>
      <c r="I46" s="94">
        <f>SUM(I44,I30)</f>
        <v>2546504.0699999998</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2546504.0699999998</v>
      </c>
      <c r="G51" s="109" t="s">
        <v>6</v>
      </c>
      <c r="H51" s="402">
        <v>4.5199999999999997E-2</v>
      </c>
      <c r="I51" s="101">
        <f>ROUND(F51*H51,2)</f>
        <v>115101.98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2546504.0699999998</v>
      </c>
      <c r="G52" s="109" t="s">
        <v>6</v>
      </c>
      <c r="H52" s="402">
        <v>1.41E-2</v>
      </c>
      <c r="I52" s="101">
        <f>ROUND(F52*H52,2)</f>
        <v>35905.71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151007.69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21.5</v>
      </c>
      <c r="D60" s="143">
        <v>0</v>
      </c>
      <c r="E60" s="116">
        <f t="shared" si="10"/>
        <v>43</v>
      </c>
      <c r="F60" s="445" t="s">
        <v>13</v>
      </c>
      <c r="G60" s="444">
        <v>251</v>
      </c>
      <c r="H60" s="458">
        <f>'1461'!H60</f>
        <v>1173</v>
      </c>
      <c r="I60" s="101">
        <f t="shared" si="11"/>
        <v>50439</v>
      </c>
      <c r="N60" s="573"/>
      <c r="O60" s="573"/>
      <c r="P60" s="576"/>
      <c r="Q60" s="576"/>
      <c r="R60" s="40" t="s">
        <v>13</v>
      </c>
      <c r="S60" s="450">
        <v>251</v>
      </c>
      <c r="T60" s="461">
        <f t="shared" si="12"/>
        <v>1173</v>
      </c>
      <c r="U60" s="475">
        <f t="shared" si="13"/>
        <v>0</v>
      </c>
      <c r="V60" s="425"/>
    </row>
    <row r="61" spans="1:22" x14ac:dyDescent="0.25">
      <c r="A61" s="550"/>
      <c r="B61" s="550"/>
      <c r="C61" s="143">
        <v>1.5</v>
      </c>
      <c r="D61" s="143">
        <v>0</v>
      </c>
      <c r="E61" s="116">
        <f t="shared" si="10"/>
        <v>3</v>
      </c>
      <c r="F61" s="445" t="s">
        <v>13</v>
      </c>
      <c r="G61" s="444">
        <v>252</v>
      </c>
      <c r="H61" s="458">
        <f>'1461'!H61</f>
        <v>3506</v>
      </c>
      <c r="I61" s="101">
        <f t="shared" si="11"/>
        <v>10518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10.27</v>
      </c>
      <c r="D63" s="143">
        <v>0</v>
      </c>
      <c r="E63" s="116">
        <f t="shared" si="10"/>
        <v>20.54</v>
      </c>
      <c r="F63" s="445" t="s">
        <v>14</v>
      </c>
      <c r="G63" s="444">
        <v>251</v>
      </c>
      <c r="H63" s="458">
        <f>'1461'!H63</f>
        <v>835</v>
      </c>
      <c r="I63" s="101">
        <f t="shared" si="11"/>
        <v>17150.900000000001</v>
      </c>
      <c r="N63" s="573"/>
      <c r="O63" s="573"/>
      <c r="P63" s="576"/>
      <c r="Q63" s="576"/>
      <c r="R63" s="40" t="s">
        <v>14</v>
      </c>
      <c r="S63" s="450">
        <v>251</v>
      </c>
      <c r="T63" s="461">
        <f t="shared" si="12"/>
        <v>835</v>
      </c>
      <c r="U63" s="475">
        <f t="shared" si="13"/>
        <v>0</v>
      </c>
      <c r="V63" s="425"/>
    </row>
    <row r="64" spans="1:22" x14ac:dyDescent="0.25">
      <c r="A64" s="550"/>
      <c r="B64" s="550"/>
      <c r="C64" s="143">
        <v>1.01</v>
      </c>
      <c r="D64" s="143">
        <v>0</v>
      </c>
      <c r="E64" s="116">
        <f t="shared" si="10"/>
        <v>2.02</v>
      </c>
      <c r="F64" s="445" t="s">
        <v>14</v>
      </c>
      <c r="G64" s="444">
        <v>252</v>
      </c>
      <c r="H64" s="458">
        <f>'1461'!H64</f>
        <v>3168</v>
      </c>
      <c r="I64" s="101">
        <f t="shared" si="11"/>
        <v>6399.36</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34.279999999999994</v>
      </c>
      <c r="D66" s="97">
        <f>SUM(D57:D65)</f>
        <v>0</v>
      </c>
      <c r="E66" s="97">
        <f>SUM(E57:E65)</f>
        <v>68.559999999999988</v>
      </c>
      <c r="F66" s="551" t="s">
        <v>444</v>
      </c>
      <c r="G66" s="551"/>
      <c r="H66" s="551"/>
      <c r="I66" s="97">
        <f>SUM(I57:I65)</f>
        <v>84507.26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466.06</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2.2920000000000002E-3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474.48270000000002</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2.085E-3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466.06</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2.4940000000000001E-3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466.06</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2.2950000000000002E-3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466.06</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2.4970000000000001E-3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2.2950000000000002E-3</v>
      </c>
      <c r="I85" s="101">
        <f>ROUND(F85*H85,2)</f>
        <v>102507.41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2.2920000000000002E-3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2.4970000000000001E-3</v>
      </c>
      <c r="I90" s="101">
        <f>ROUND(F90*H90,2)</f>
        <v>40369.129999999997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2.4940000000000001E-3</v>
      </c>
      <c r="I92" s="101">
        <f t="shared" ref="I92:I96" si="14">ROUND(F92*H92,2)</f>
        <v>25040.01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2.085E-3</v>
      </c>
      <c r="I94" s="101">
        <f t="shared" si="14"/>
        <v>498310.15</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2.085E-3</v>
      </c>
      <c r="I96" s="101">
        <f t="shared" si="14"/>
        <v>-3336.1</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319.137</v>
      </c>
      <c r="D102" s="557"/>
      <c r="E102" s="46">
        <f>H8</f>
        <v>1.0442</v>
      </c>
      <c r="F102" s="304">
        <f>'1461'!F102</f>
        <v>904.74</v>
      </c>
      <c r="G102" s="39" t="s">
        <v>12</v>
      </c>
      <c r="H102" s="101">
        <f>ROUND(C102*E102*F102,2)</f>
        <v>301498.14</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155.34569999999999</v>
      </c>
      <c r="D103" s="557"/>
      <c r="E103" s="46">
        <f>H8</f>
        <v>1.0442</v>
      </c>
      <c r="F103" s="304">
        <f>'1461'!F103</f>
        <v>906.93</v>
      </c>
      <c r="G103" s="39" t="s">
        <v>12</v>
      </c>
      <c r="H103" s="94">
        <f>ROUND(C103*E103*F103,2)</f>
        <v>147114.91</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474.48270000000002</v>
      </c>
      <c r="D104" s="547"/>
      <c r="E104" s="123"/>
      <c r="F104" s="123"/>
      <c r="G104" s="123"/>
      <c r="H104" s="124" t="s">
        <v>100</v>
      </c>
      <c r="I104" s="101">
        <f>IF(A1=75,0,H103+H102+H101)</f>
        <v>448613.05000000005</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258</v>
      </c>
      <c r="D110" s="143">
        <v>0</v>
      </c>
      <c r="E110" s="116">
        <f>C110</f>
        <v>258</v>
      </c>
      <c r="F110" s="126" t="s">
        <v>30</v>
      </c>
      <c r="G110" s="305">
        <f>'1461'!G110</f>
        <v>565</v>
      </c>
      <c r="I110" s="101">
        <f>ROUND(G110*E110,2)</f>
        <v>145770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3888284.9799999995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3737277.2899999996</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3737277.2899999996</v>
      </c>
      <c r="I132" s="94">
        <f>ROUND(IF(E30=0,0,IF(E30&gt;250,-(((250/E30)*H132)*IF(G132="H",0.02,0.05)),IF(G132="H",-0.02*H132,-0.05*H132))),2)</f>
        <v>-100235.95</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3788049.0299999993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-703501.36-342179.84-342179.84-342179.85-342179.84-287761.53</f>
        <v>-2359982.2600000002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1428066.7699999991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285613.34999999998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86627.91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v>637300</v>
      </c>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18"/>
  <sheetViews>
    <sheetView topLeftCell="A12" workbookViewId="0">
      <selection activeCell="F110" sqref="F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127</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63.15</v>
      </c>
      <c r="D14" s="141">
        <v>0</v>
      </c>
      <c r="E14" s="187">
        <f>IF(D$30=0,C14*2,C14+D14)</f>
        <v>126.3</v>
      </c>
      <c r="F14" s="628">
        <f>'1461'!F14:G14</f>
        <v>1.1220000000000001</v>
      </c>
      <c r="G14" s="628"/>
      <c r="H14" s="145">
        <f>ROUND(E14*F14,4)</f>
        <v>141.70859999999999</v>
      </c>
      <c r="I14" s="111">
        <f>ROUND(ROUND(ROUND(H14*$C$8,4)*($H$8),2)*(MAX($H$9,1)),2)</f>
        <v>760536.74</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15</v>
      </c>
      <c r="D15" s="143">
        <v>0</v>
      </c>
      <c r="E15" s="116">
        <f t="shared" ref="E15:E29" si="1">IF(D$30=0,C15*2,C15+D15)</f>
        <v>30</v>
      </c>
      <c r="F15" s="624">
        <f>'1461'!F15:G15</f>
        <v>1.1220000000000001</v>
      </c>
      <c r="G15" s="624"/>
      <c r="H15" s="80">
        <f t="shared" ref="H15:H29" si="2">ROUND(E15*F15,4)</f>
        <v>33.659999999999997</v>
      </c>
      <c r="I15" s="101">
        <f t="shared" ref="I15:I29" si="3">ROUND(ROUND(ROUND(H15*$C$8,4)*($H$8),2)*(MAX($H$9,1)),2)</f>
        <v>180650.06</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26.93</v>
      </c>
      <c r="D16" s="143">
        <v>0</v>
      </c>
      <c r="E16" s="116">
        <f t="shared" si="1"/>
        <v>53.86</v>
      </c>
      <c r="F16" s="624">
        <f>'1461'!F16:G16</f>
        <v>1</v>
      </c>
      <c r="G16" s="624"/>
      <c r="H16" s="80">
        <f t="shared" si="2"/>
        <v>53.86</v>
      </c>
      <c r="I16" s="101">
        <f t="shared" si="3"/>
        <v>289061.56</v>
      </c>
      <c r="N16" s="564" t="s">
        <v>22</v>
      </c>
      <c r="O16" s="564"/>
      <c r="P16" s="603">
        <f t="shared" si="0"/>
        <v>0</v>
      </c>
      <c r="Q16" s="603"/>
      <c r="R16" s="608">
        <v>1</v>
      </c>
      <c r="S16" s="608"/>
      <c r="T16" s="95">
        <f t="shared" si="4"/>
        <v>0</v>
      </c>
      <c r="U16" s="474">
        <f t="shared" si="5"/>
        <v>0</v>
      </c>
    </row>
    <row r="17" spans="1:21" x14ac:dyDescent="0.25">
      <c r="A17" s="539" t="s">
        <v>23</v>
      </c>
      <c r="B17" s="539"/>
      <c r="C17" s="143">
        <v>9</v>
      </c>
      <c r="D17" s="143">
        <v>0</v>
      </c>
      <c r="E17" s="116">
        <f t="shared" si="1"/>
        <v>18</v>
      </c>
      <c r="F17" s="624">
        <f>'1461'!F17:G17</f>
        <v>1</v>
      </c>
      <c r="G17" s="624"/>
      <c r="H17" s="80">
        <f t="shared" si="2"/>
        <v>18</v>
      </c>
      <c r="I17" s="101">
        <f t="shared" si="3"/>
        <v>96604.31</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10.35</v>
      </c>
      <c r="D26" s="143">
        <v>0</v>
      </c>
      <c r="E26" s="116">
        <f t="shared" si="1"/>
        <v>20.7</v>
      </c>
      <c r="F26" s="624">
        <f>'1461'!F26:G26</f>
        <v>1.208</v>
      </c>
      <c r="G26" s="624"/>
      <c r="H26" s="80">
        <f t="shared" si="2"/>
        <v>25.005600000000001</v>
      </c>
      <c r="I26" s="101">
        <f t="shared" si="3"/>
        <v>134202.71</v>
      </c>
      <c r="N26" s="564" t="s">
        <v>85</v>
      </c>
      <c r="O26" s="564"/>
      <c r="P26" s="603">
        <f t="shared" si="0"/>
        <v>0</v>
      </c>
      <c r="Q26" s="603"/>
      <c r="R26" s="608">
        <v>1</v>
      </c>
      <c r="S26" s="608"/>
      <c r="T26" s="95">
        <f t="shared" si="4"/>
        <v>0</v>
      </c>
      <c r="U26" s="474">
        <f t="shared" si="5"/>
        <v>0</v>
      </c>
    </row>
    <row r="27" spans="1:21" x14ac:dyDescent="0.25">
      <c r="A27" s="539" t="s">
        <v>86</v>
      </c>
      <c r="B27" s="539"/>
      <c r="C27" s="143">
        <v>3.07</v>
      </c>
      <c r="D27" s="143">
        <v>0</v>
      </c>
      <c r="E27" s="116">
        <f t="shared" si="1"/>
        <v>6.14</v>
      </c>
      <c r="F27" s="624">
        <f>'1461'!F27:G27</f>
        <v>1.208</v>
      </c>
      <c r="G27" s="624"/>
      <c r="H27" s="80">
        <f t="shared" si="2"/>
        <v>7.4170999999999996</v>
      </c>
      <c r="I27" s="101">
        <f t="shared" si="3"/>
        <v>39806.879999999997</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127.5</v>
      </c>
      <c r="D30" s="94">
        <f>SUM(D14:D29)</f>
        <v>0</v>
      </c>
      <c r="E30" s="94">
        <f>SUM(E14:E29)</f>
        <v>255</v>
      </c>
      <c r="F30" s="543"/>
      <c r="G30" s="543"/>
      <c r="H30" s="99">
        <f>SUM(H14:H29)</f>
        <v>279.65129999999999</v>
      </c>
      <c r="I30" s="94">
        <f>SUM(I14:I29)</f>
        <v>1500862.26</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279.65129999999999</v>
      </c>
      <c r="F46" s="34"/>
      <c r="G46" s="106"/>
      <c r="H46" s="107" t="s">
        <v>98</v>
      </c>
      <c r="I46" s="94">
        <f>SUM(I44,I30)</f>
        <v>1500862.26</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1500862.26</v>
      </c>
      <c r="G51" s="109" t="s">
        <v>6</v>
      </c>
      <c r="H51" s="402">
        <v>4.5199999999999997E-2</v>
      </c>
      <c r="I51" s="101">
        <f>ROUND(F51*H51,2)</f>
        <v>67838.97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1500862.26</v>
      </c>
      <c r="G52" s="109" t="s">
        <v>6</v>
      </c>
      <c r="H52" s="402">
        <v>1.41E-2</v>
      </c>
      <c r="I52" s="101">
        <f>ROUND(F52*H52,2)</f>
        <v>21162.16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89001.13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11.5</v>
      </c>
      <c r="D57" s="143">
        <v>0</v>
      </c>
      <c r="E57" s="116">
        <f t="shared" ref="E57:E65" si="10">IF(D$66=0,C57*2,C57+D57)</f>
        <v>23</v>
      </c>
      <c r="F57" s="444" t="s">
        <v>435</v>
      </c>
      <c r="G57" s="444">
        <v>251</v>
      </c>
      <c r="H57" s="458">
        <f>'1461'!H57</f>
        <v>1047</v>
      </c>
      <c r="I57" s="101">
        <f>ROUND(E57*H57,2)</f>
        <v>24081</v>
      </c>
      <c r="N57" s="572" t="s">
        <v>443</v>
      </c>
      <c r="O57" s="572"/>
      <c r="P57" s="575"/>
      <c r="Q57" s="575"/>
      <c r="R57" s="450" t="s">
        <v>435</v>
      </c>
      <c r="S57" s="450">
        <v>251</v>
      </c>
      <c r="T57" s="461">
        <f>H57</f>
        <v>1047</v>
      </c>
      <c r="U57" s="475">
        <f>ROUND(P57*T57,2)</f>
        <v>0</v>
      </c>
      <c r="V57" s="425"/>
    </row>
    <row r="58" spans="1:22" x14ac:dyDescent="0.25">
      <c r="A58" s="550"/>
      <c r="B58" s="550"/>
      <c r="C58" s="143">
        <v>3.5</v>
      </c>
      <c r="D58" s="143">
        <v>0</v>
      </c>
      <c r="E58" s="116">
        <f t="shared" si="10"/>
        <v>7</v>
      </c>
      <c r="F58" s="444" t="s">
        <v>435</v>
      </c>
      <c r="G58" s="444">
        <v>252</v>
      </c>
      <c r="H58" s="458">
        <f>'1461'!H58</f>
        <v>3380</v>
      </c>
      <c r="I58" s="101">
        <f t="shared" ref="I58:I65" si="11">ROUND(E58*H58,2)</f>
        <v>23660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7.5</v>
      </c>
      <c r="D60" s="143">
        <v>0</v>
      </c>
      <c r="E60" s="116">
        <f t="shared" si="10"/>
        <v>15</v>
      </c>
      <c r="F60" s="445" t="s">
        <v>13</v>
      </c>
      <c r="G60" s="444">
        <v>251</v>
      </c>
      <c r="H60" s="458">
        <f>'1461'!H60</f>
        <v>1173</v>
      </c>
      <c r="I60" s="101">
        <f t="shared" si="11"/>
        <v>17595</v>
      </c>
      <c r="N60" s="573"/>
      <c r="O60" s="573"/>
      <c r="P60" s="576"/>
      <c r="Q60" s="576"/>
      <c r="R60" s="40" t="s">
        <v>13</v>
      </c>
      <c r="S60" s="450">
        <v>251</v>
      </c>
      <c r="T60" s="461">
        <f t="shared" si="12"/>
        <v>1173</v>
      </c>
      <c r="U60" s="475">
        <f t="shared" si="13"/>
        <v>0</v>
      </c>
      <c r="V60" s="425"/>
    </row>
    <row r="61" spans="1:22" x14ac:dyDescent="0.25">
      <c r="A61" s="550"/>
      <c r="B61" s="550"/>
      <c r="C61" s="143">
        <v>1.5</v>
      </c>
      <c r="D61" s="143">
        <v>0</v>
      </c>
      <c r="E61" s="116">
        <f t="shared" si="10"/>
        <v>3</v>
      </c>
      <c r="F61" s="445" t="s">
        <v>13</v>
      </c>
      <c r="G61" s="444">
        <v>252</v>
      </c>
      <c r="H61" s="458">
        <f>'1461'!H61</f>
        <v>3506</v>
      </c>
      <c r="I61" s="101">
        <f t="shared" si="11"/>
        <v>10518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24</v>
      </c>
      <c r="D66" s="97">
        <f>SUM(D57:D65)</f>
        <v>0</v>
      </c>
      <c r="E66" s="97">
        <f>SUM(E57:E65)</f>
        <v>48</v>
      </c>
      <c r="F66" s="551" t="s">
        <v>444</v>
      </c>
      <c r="G66" s="551"/>
      <c r="H66" s="551"/>
      <c r="I66" s="97">
        <f>SUM(I57:I65)</f>
        <v>75854</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255</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1.2539999999999999E-3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279.65129999999999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1.2290000000000001E-3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255</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1.364E-3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255</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1.256E-3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255</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1.366E-3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1.256E-3</v>
      </c>
      <c r="I85" s="101">
        <f>ROUND(F85*H85,2)</f>
        <v>56099.91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1.2539999999999999E-3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1.366E-3</v>
      </c>
      <c r="I90" s="101">
        <f>ROUND(F90*H90,2)</f>
        <v>22084.19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1.364E-3</v>
      </c>
      <c r="I92" s="101">
        <f t="shared" ref="I92:I96" si="14">ROUND(F92*H92,2)</f>
        <v>13694.7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1.2290000000000001E-3</v>
      </c>
      <c r="I94" s="101">
        <f t="shared" si="14"/>
        <v>293728.14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1.2290000000000001E-3</v>
      </c>
      <c r="I96" s="101">
        <f t="shared" si="14"/>
        <v>-1966.46</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200.37419999999997</v>
      </c>
      <c r="D101" s="557"/>
      <c r="E101" s="46">
        <f>H8</f>
        <v>1.0442</v>
      </c>
      <c r="F101" s="304">
        <f>'1461'!F101</f>
        <v>947.59</v>
      </c>
      <c r="G101" s="39" t="s">
        <v>12</v>
      </c>
      <c r="H101" s="101">
        <f>ROUND(C101*E101*F101,2)</f>
        <v>198264.95999999999</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79.277100000000004</v>
      </c>
      <c r="D102" s="557"/>
      <c r="E102" s="46">
        <f>H8</f>
        <v>1.0442</v>
      </c>
      <c r="F102" s="304">
        <f>'1461'!F102</f>
        <v>904.74</v>
      </c>
      <c r="G102" s="39" t="s">
        <v>12</v>
      </c>
      <c r="H102" s="101">
        <f>ROUND(C102*E102*F102,2)</f>
        <v>74895.42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279.65129999999999</v>
      </c>
      <c r="D104" s="547"/>
      <c r="E104" s="123"/>
      <c r="F104" s="123"/>
      <c r="G104" s="123"/>
      <c r="H104" s="124" t="s">
        <v>100</v>
      </c>
      <c r="I104" s="101">
        <f>IF(A1=75,0,H103+H102+H101)</f>
        <v>273160.38</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v>
      </c>
      <c r="D110" s="143">
        <v>0</v>
      </c>
      <c r="E110" s="116">
        <f>C110</f>
        <v>2</v>
      </c>
      <c r="F110" s="126" t="s">
        <v>30</v>
      </c>
      <c r="G110" s="305">
        <f>'1461'!G110</f>
        <v>565</v>
      </c>
      <c r="I110" s="101">
        <f>ROUND(G110*E110,2)</f>
        <v>1130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2234647.1199999996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2145645.9899999998</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9" t="s">
        <v>241</v>
      </c>
      <c r="H132" s="139">
        <f>IF(H130=1,I130,I127)</f>
        <v>2145645.9899999998</v>
      </c>
      <c r="I132" s="94">
        <f>ROUND(IF(E30=0,0,IF(E30&gt;250,-(((250/E30)*H132)*IF(G132="H",0.02,0.05)),IF(G132="H",-0.02*H132,-0.05*H132))),2)</f>
        <v>-42071.49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2192575.6299999994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-356209.83-173388.33-173388.32-173388.33-173388.32-189696.15</f>
        <v>-1239459.2799999998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953116.34999999963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190623.27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841.43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18"/>
  <sheetViews>
    <sheetView topLeftCell="A6"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54.37</v>
      </c>
      <c r="D14" s="141">
        <v>0</v>
      </c>
      <c r="E14" s="187">
        <f>IF(D$30=0,C14*2,C14+D14)</f>
        <v>108.74</v>
      </c>
      <c r="F14" s="628">
        <f>'1461'!F14:G14</f>
        <v>1.1220000000000001</v>
      </c>
      <c r="G14" s="628"/>
      <c r="H14" s="145">
        <f>ROUND(E14*F14,4)</f>
        <v>122.0063</v>
      </c>
      <c r="I14" s="111">
        <f>ROUND(ROUND(ROUND(H14*$C$8,4)*($H$8),2)*(MAX($H$9,1)),2)</f>
        <v>654796.35</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5.5</v>
      </c>
      <c r="D15" s="143">
        <v>0</v>
      </c>
      <c r="E15" s="116">
        <f t="shared" ref="E15:E29" si="1">IF(D$30=0,C15*2,C15+D15)</f>
        <v>11</v>
      </c>
      <c r="F15" s="624">
        <f>'1461'!F15:G15</f>
        <v>1.1220000000000001</v>
      </c>
      <c r="G15" s="624"/>
      <c r="H15" s="80">
        <f t="shared" ref="H15:H29" si="2">ROUND(E15*F15,4)</f>
        <v>12.342000000000001</v>
      </c>
      <c r="I15" s="101">
        <f t="shared" ref="I15:I29" si="3">ROUND(ROUND(ROUND(H15*$C$8,4)*($H$8),2)*(MAX($H$9,1)),2)</f>
        <v>66238.350000000006</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84.26</v>
      </c>
      <c r="D16" s="143">
        <v>0</v>
      </c>
      <c r="E16" s="116">
        <f t="shared" si="1"/>
        <v>168.52</v>
      </c>
      <c r="F16" s="624">
        <f>'1461'!F16:G16</f>
        <v>1</v>
      </c>
      <c r="G16" s="624"/>
      <c r="H16" s="80">
        <f t="shared" si="2"/>
        <v>168.52</v>
      </c>
      <c r="I16" s="101">
        <f t="shared" si="3"/>
        <v>904431.01</v>
      </c>
      <c r="N16" s="564" t="s">
        <v>22</v>
      </c>
      <c r="O16" s="564"/>
      <c r="P16" s="603">
        <f t="shared" si="0"/>
        <v>0</v>
      </c>
      <c r="Q16" s="603"/>
      <c r="R16" s="608">
        <v>1</v>
      </c>
      <c r="S16" s="608"/>
      <c r="T16" s="95">
        <f t="shared" si="4"/>
        <v>0</v>
      </c>
      <c r="U16" s="474">
        <f t="shared" si="5"/>
        <v>0</v>
      </c>
    </row>
    <row r="17" spans="1:21" x14ac:dyDescent="0.25">
      <c r="A17" s="539" t="s">
        <v>23</v>
      </c>
      <c r="B17" s="539"/>
      <c r="C17" s="143">
        <v>13</v>
      </c>
      <c r="D17" s="143">
        <v>0</v>
      </c>
      <c r="E17" s="116">
        <f t="shared" si="1"/>
        <v>26</v>
      </c>
      <c r="F17" s="624">
        <f>'1461'!F17:G17</f>
        <v>1</v>
      </c>
      <c r="G17" s="624"/>
      <c r="H17" s="80">
        <f t="shared" si="2"/>
        <v>26</v>
      </c>
      <c r="I17" s="101">
        <f t="shared" si="3"/>
        <v>139539.56</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3.13</v>
      </c>
      <c r="D26" s="143">
        <v>0</v>
      </c>
      <c r="E26" s="116">
        <f t="shared" si="1"/>
        <v>6.26</v>
      </c>
      <c r="F26" s="624">
        <f>'1461'!F26:G26</f>
        <v>1.208</v>
      </c>
      <c r="G26" s="624"/>
      <c r="H26" s="80">
        <f t="shared" si="2"/>
        <v>7.5621</v>
      </c>
      <c r="I26" s="101">
        <f t="shared" si="3"/>
        <v>40585.08</v>
      </c>
      <c r="N26" s="564" t="s">
        <v>85</v>
      </c>
      <c r="O26" s="564"/>
      <c r="P26" s="603">
        <f t="shared" si="0"/>
        <v>0</v>
      </c>
      <c r="Q26" s="603"/>
      <c r="R26" s="608">
        <v>1</v>
      </c>
      <c r="S26" s="608"/>
      <c r="T26" s="95">
        <f t="shared" si="4"/>
        <v>0</v>
      </c>
      <c r="U26" s="474">
        <f t="shared" si="5"/>
        <v>0</v>
      </c>
    </row>
    <row r="27" spans="1:21" x14ac:dyDescent="0.25">
      <c r="A27" s="539" t="s">
        <v>86</v>
      </c>
      <c r="B27" s="539"/>
      <c r="C27" s="143">
        <v>3.45</v>
      </c>
      <c r="D27" s="143">
        <v>0</v>
      </c>
      <c r="E27" s="116">
        <f t="shared" si="1"/>
        <v>6.9</v>
      </c>
      <c r="F27" s="624">
        <f>'1461'!F27:G27</f>
        <v>1.208</v>
      </c>
      <c r="G27" s="624"/>
      <c r="H27" s="80">
        <f t="shared" si="2"/>
        <v>8.3352000000000004</v>
      </c>
      <c r="I27" s="101">
        <f t="shared" si="3"/>
        <v>44734.239999999998</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163.70999999999998</v>
      </c>
      <c r="D30" s="94">
        <f>SUM(D14:D29)</f>
        <v>0</v>
      </c>
      <c r="E30" s="94">
        <f>SUM(E14:E29)</f>
        <v>327.41999999999996</v>
      </c>
      <c r="F30" s="543"/>
      <c r="G30" s="543"/>
      <c r="H30" s="99">
        <f>SUM(H14:H29)</f>
        <v>344.76559999999995</v>
      </c>
      <c r="I30" s="94">
        <f>SUM(I14:I29)</f>
        <v>1850324.59</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344.76559999999995</v>
      </c>
      <c r="F46" s="34"/>
      <c r="G46" s="106"/>
      <c r="H46" s="107" t="s">
        <v>98</v>
      </c>
      <c r="I46" s="94">
        <f>SUM(I44,I30)</f>
        <v>1850324.59</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1850324.59</v>
      </c>
      <c r="G51" s="109" t="s">
        <v>6</v>
      </c>
      <c r="H51" s="402">
        <v>4.5199999999999997E-2</v>
      </c>
      <c r="I51" s="101">
        <f>ROUND(F51*H51,2)</f>
        <v>83634.67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1850324.59</v>
      </c>
      <c r="G52" s="109" t="s">
        <v>6</v>
      </c>
      <c r="H52" s="402">
        <v>1.41E-2</v>
      </c>
      <c r="I52" s="101">
        <f>ROUND(F52*H52,2)</f>
        <v>26089.58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109724.25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5</v>
      </c>
      <c r="D57" s="143">
        <v>0</v>
      </c>
      <c r="E57" s="116">
        <f t="shared" ref="E57:E65" si="10">IF(D$66=0,C57*2,C57+D57)</f>
        <v>10</v>
      </c>
      <c r="F57" s="444" t="s">
        <v>435</v>
      </c>
      <c r="G57" s="444">
        <v>251</v>
      </c>
      <c r="H57" s="458">
        <f>'1461'!H57</f>
        <v>1047</v>
      </c>
      <c r="I57" s="101">
        <f>ROUND(E57*H57,2)</f>
        <v>10470</v>
      </c>
      <c r="N57" s="572" t="s">
        <v>443</v>
      </c>
      <c r="O57" s="572"/>
      <c r="P57" s="575"/>
      <c r="Q57" s="575"/>
      <c r="R57" s="450" t="s">
        <v>435</v>
      </c>
      <c r="S57" s="450">
        <v>251</v>
      </c>
      <c r="T57" s="461">
        <f>H57</f>
        <v>1047</v>
      </c>
      <c r="U57" s="475">
        <f>ROUND(P57*T57,2)</f>
        <v>0</v>
      </c>
      <c r="V57" s="425"/>
    </row>
    <row r="58" spans="1:22" x14ac:dyDescent="0.25">
      <c r="A58" s="550"/>
      <c r="B58" s="550"/>
      <c r="C58" s="143">
        <v>0.5</v>
      </c>
      <c r="D58" s="143">
        <v>0</v>
      </c>
      <c r="E58" s="116">
        <f t="shared" si="10"/>
        <v>1</v>
      </c>
      <c r="F58" s="444" t="s">
        <v>435</v>
      </c>
      <c r="G58" s="444">
        <v>252</v>
      </c>
      <c r="H58" s="458">
        <f>'1461'!H58</f>
        <v>3380</v>
      </c>
      <c r="I58" s="101">
        <f t="shared" ref="I58:I65" si="11">ROUND(E58*H58,2)</f>
        <v>3380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12</v>
      </c>
      <c r="D60" s="143">
        <v>0</v>
      </c>
      <c r="E60" s="116">
        <f t="shared" si="10"/>
        <v>24</v>
      </c>
      <c r="F60" s="445" t="s">
        <v>13</v>
      </c>
      <c r="G60" s="444">
        <v>251</v>
      </c>
      <c r="H60" s="458">
        <f>'1461'!H60</f>
        <v>1173</v>
      </c>
      <c r="I60" s="101">
        <f t="shared" si="11"/>
        <v>28152</v>
      </c>
      <c r="N60" s="573"/>
      <c r="O60" s="573"/>
      <c r="P60" s="576"/>
      <c r="Q60" s="576"/>
      <c r="R60" s="40" t="s">
        <v>13</v>
      </c>
      <c r="S60" s="450">
        <v>251</v>
      </c>
      <c r="T60" s="461">
        <f t="shared" si="12"/>
        <v>1173</v>
      </c>
      <c r="U60" s="475">
        <f t="shared" si="13"/>
        <v>0</v>
      </c>
      <c r="V60" s="425"/>
    </row>
    <row r="61" spans="1:22" x14ac:dyDescent="0.25">
      <c r="A61" s="550"/>
      <c r="B61" s="550"/>
      <c r="C61" s="143">
        <v>1</v>
      </c>
      <c r="D61" s="143">
        <v>0</v>
      </c>
      <c r="E61" s="116">
        <f t="shared" si="10"/>
        <v>2</v>
      </c>
      <c r="F61" s="445" t="s">
        <v>13</v>
      </c>
      <c r="G61" s="444">
        <v>252</v>
      </c>
      <c r="H61" s="458">
        <f>'1461'!H61</f>
        <v>3506</v>
      </c>
      <c r="I61" s="101">
        <f t="shared" si="11"/>
        <v>7012</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18.5</v>
      </c>
      <c r="D66" s="97">
        <f>SUM(D57:D65)</f>
        <v>0</v>
      </c>
      <c r="E66" s="97">
        <f>SUM(E57:E65)</f>
        <v>37</v>
      </c>
      <c r="F66" s="551" t="s">
        <v>444</v>
      </c>
      <c r="G66" s="551"/>
      <c r="H66" s="551"/>
      <c r="I66" s="97">
        <f>SUM(I57:I65)</f>
        <v>49014</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327.41999999999996</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1.6100000000000001E-3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344.76559999999995</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1.5150000000000001E-3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327.41999999999996</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1.7520000000000001E-3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327.41999999999996</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1.6119999999999999E-3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327.41999999999996</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1.7539999999999999E-3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1.6119999999999999E-3</v>
      </c>
      <c r="I85" s="101">
        <f>ROUND(F85*H85,2)</f>
        <v>72000.84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1.6100000000000001E-3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1.7539999999999999E-3</v>
      </c>
      <c r="I90" s="101">
        <f>ROUND(F90*H90,2)</f>
        <v>28357.01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1.7520000000000001E-3</v>
      </c>
      <c r="I92" s="101">
        <f t="shared" ref="I92:I96" si="14">ROUND(F92*H92,2)</f>
        <v>17590.25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1.5150000000000001E-3</v>
      </c>
      <c r="I94" s="101">
        <f t="shared" si="14"/>
        <v>362081.48</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1.5150000000000001E-3</v>
      </c>
      <c r="I96" s="101">
        <f t="shared" si="14"/>
        <v>-2424.0700000000002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141.91039999999998</v>
      </c>
      <c r="D101" s="557"/>
      <c r="E101" s="46">
        <f>H8</f>
        <v>1.0442</v>
      </c>
      <c r="F101" s="304">
        <f>'1461'!F101</f>
        <v>947.59</v>
      </c>
      <c r="G101" s="39" t="s">
        <v>12</v>
      </c>
      <c r="H101" s="101">
        <f>ROUND(C101*E101*F101,2)</f>
        <v>140416.57999999999</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202.85520000000002</v>
      </c>
      <c r="D102" s="557"/>
      <c r="E102" s="46">
        <f>H8</f>
        <v>1.0442</v>
      </c>
      <c r="F102" s="304">
        <f>'1461'!F102</f>
        <v>904.74</v>
      </c>
      <c r="G102" s="39" t="s">
        <v>12</v>
      </c>
      <c r="H102" s="101">
        <f>ROUND(C102*E102*F102,2)</f>
        <v>191643.29</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344.76560000000001</v>
      </c>
      <c r="D104" s="547"/>
      <c r="E104" s="123"/>
      <c r="F104" s="123"/>
      <c r="G104" s="123"/>
      <c r="H104" s="124" t="s">
        <v>100</v>
      </c>
      <c r="I104" s="101">
        <f>IF(A1=75,0,H103+H102+H101)</f>
        <v>332059.87</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(C110+D110)/2</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2709003.97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2599279.7200000002</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2599279.7200000002</v>
      </c>
      <c r="I132" s="94">
        <f>ROUND(IF(E30=0,0,IF(E30&gt;250,-(((250/E30)*H132)*IF(G132="H",0.02,0.05)),IF(G132="H",-0.02*H132,-0.05*H132))),2)</f>
        <v>-39693.360000000001</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2669310.6100000003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-479164.24-233650.68-233650.68-233650.68-233650.68-209602.72</f>
        <v>-1623369.6799999997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1045940.9300000006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209188.19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12292.23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A52" workbookViewId="0">
      <selection activeCell="C64" sqref="C64"/>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2" width="15.7109375" style="3" bestFit="1" customWidth="1"/>
    <col min="13" max="16384" width="9.140625" style="3"/>
  </cols>
  <sheetData>
    <row r="1" spans="1:9" ht="16.5" thickBot="1" x14ac:dyDescent="0.3">
      <c r="A1" s="82"/>
      <c r="B1" s="527" t="s">
        <v>15</v>
      </c>
      <c r="C1" s="528"/>
      <c r="D1" s="528"/>
      <c r="E1" s="528"/>
      <c r="F1" s="528"/>
      <c r="G1" s="528"/>
      <c r="H1" s="528"/>
      <c r="I1" s="528"/>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29" t="s">
        <v>0</v>
      </c>
      <c r="B4" s="529"/>
      <c r="C4" s="530" t="s">
        <v>9</v>
      </c>
      <c r="D4" s="530"/>
      <c r="E4" s="530"/>
      <c r="F4" s="4" t="str">
        <f>'1461'!F4</f>
        <v>Feb 2024</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31" t="str">
        <f>'1461'!A7:I7</f>
        <v>1A.   2023-24 FEFP State and Local Funding</v>
      </c>
      <c r="B7" s="531"/>
      <c r="C7" s="531"/>
      <c r="D7" s="531"/>
      <c r="E7" s="531"/>
      <c r="F7" s="531"/>
      <c r="G7" s="531"/>
      <c r="H7" s="531"/>
      <c r="I7" s="531"/>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387</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2023</v>
      </c>
      <c r="D11" s="88" t="str">
        <f>'1461'!D11</f>
        <v>Feb 2024</v>
      </c>
      <c r="E11" s="89" t="s">
        <v>8</v>
      </c>
      <c r="F11" s="532" t="s">
        <v>1</v>
      </c>
      <c r="G11" s="532"/>
      <c r="H11" s="10" t="s">
        <v>60</v>
      </c>
      <c r="I11" s="11" t="s">
        <v>27</v>
      </c>
    </row>
    <row r="12" spans="1:9" x14ac:dyDescent="0.25">
      <c r="A12" s="533" t="s">
        <v>1</v>
      </c>
      <c r="B12" s="533"/>
      <c r="C12" s="436" t="str">
        <f>'1461'!C12</f>
        <v>FTE</v>
      </c>
      <c r="D12" s="436" t="str">
        <f>'1461'!D12</f>
        <v>FTE</v>
      </c>
      <c r="E12" s="90" t="s">
        <v>2</v>
      </c>
      <c r="F12" s="534" t="s">
        <v>63</v>
      </c>
      <c r="G12" s="534"/>
      <c r="H12" s="17" t="s">
        <v>59</v>
      </c>
      <c r="I12" s="389" t="s">
        <v>391</v>
      </c>
    </row>
    <row r="13" spans="1:9" x14ac:dyDescent="0.25">
      <c r="A13" s="535" t="s">
        <v>36</v>
      </c>
      <c r="B13" s="535"/>
      <c r="C13" s="91"/>
      <c r="D13" s="91"/>
      <c r="E13" s="92" t="s">
        <v>37</v>
      </c>
      <c r="F13" s="536" t="s">
        <v>38</v>
      </c>
      <c r="G13" s="536"/>
      <c r="H13" s="20" t="s">
        <v>39</v>
      </c>
      <c r="I13" s="21" t="s">
        <v>40</v>
      </c>
    </row>
    <row r="14" spans="1:9" x14ac:dyDescent="0.25">
      <c r="A14" s="537" t="s">
        <v>20</v>
      </c>
      <c r="B14" s="537"/>
      <c r="C14" s="141">
        <f>SUM('1461:4131'!C14)</f>
        <v>2225.8500000000004</v>
      </c>
      <c r="D14" s="141">
        <f>SUM('1461:4131'!D14)</f>
        <v>0</v>
      </c>
      <c r="E14" s="187">
        <f>SUM('1461:4131'!E14)</f>
        <v>4451.7000000000007</v>
      </c>
      <c r="F14" s="538">
        <f>'1461'!F14:G14</f>
        <v>1.1220000000000001</v>
      </c>
      <c r="G14" s="538"/>
      <c r="H14" s="145">
        <f>SUM('1461:4131'!H14)</f>
        <v>4994.8072000000002</v>
      </c>
      <c r="I14" s="111">
        <f>SUM('1461:4131'!I14)</f>
        <v>26806661.049999993</v>
      </c>
    </row>
    <row r="15" spans="1:9" x14ac:dyDescent="0.25">
      <c r="A15" s="539" t="s">
        <v>21</v>
      </c>
      <c r="B15" s="539"/>
      <c r="C15" s="143">
        <f>SUM('1461:4131'!C15)</f>
        <v>293.5</v>
      </c>
      <c r="D15" s="143">
        <f>SUM('1461:4131'!D15)</f>
        <v>0</v>
      </c>
      <c r="E15" s="116">
        <f>SUM('1461:4131'!E15)</f>
        <v>587</v>
      </c>
      <c r="F15" s="540">
        <f>'1461'!F15:G15</f>
        <v>1.1220000000000001</v>
      </c>
      <c r="G15" s="540"/>
      <c r="H15" s="80">
        <f>SUM('1461:4131'!H15)</f>
        <v>658.61399999999992</v>
      </c>
      <c r="I15" s="101">
        <f>SUM('1461:4131'!I15)</f>
        <v>3534719.48</v>
      </c>
    </row>
    <row r="16" spans="1:9" x14ac:dyDescent="0.25">
      <c r="A16" s="539" t="s">
        <v>22</v>
      </c>
      <c r="B16" s="539"/>
      <c r="C16" s="143">
        <f>SUM('1461:4131'!C16)</f>
        <v>3475.9599999999991</v>
      </c>
      <c r="D16" s="143">
        <f>SUM('1461:4131'!D16)</f>
        <v>0</v>
      </c>
      <c r="E16" s="116">
        <f>SUM('1461:4131'!E16)</f>
        <v>6951.9199999999983</v>
      </c>
      <c r="F16" s="540">
        <f>'1461'!F16:G16</f>
        <v>1</v>
      </c>
      <c r="G16" s="540"/>
      <c r="H16" s="80">
        <f>SUM('1461:4131'!H16)</f>
        <v>6951.9199999999983</v>
      </c>
      <c r="I16" s="101">
        <f>SUM('1461:4131'!I16)</f>
        <v>37310301.620000005</v>
      </c>
    </row>
    <row r="17" spans="1:9" x14ac:dyDescent="0.25">
      <c r="A17" s="539" t="s">
        <v>23</v>
      </c>
      <c r="B17" s="539"/>
      <c r="C17" s="143">
        <f>SUM('1461:4131'!C17)</f>
        <v>622.4</v>
      </c>
      <c r="D17" s="143">
        <f>SUM('1461:4131'!D17)</f>
        <v>0</v>
      </c>
      <c r="E17" s="116">
        <f>SUM('1461:4131'!E17)</f>
        <v>1244.8</v>
      </c>
      <c r="F17" s="540">
        <f>'1461'!F17:G17</f>
        <v>1</v>
      </c>
      <c r="G17" s="540"/>
      <c r="H17" s="80">
        <f>SUM('1461:4131'!H17)</f>
        <v>1244.8</v>
      </c>
      <c r="I17" s="101">
        <f>SUM('1461:4131'!I17)</f>
        <v>6680724.6799999988</v>
      </c>
    </row>
    <row r="18" spans="1:9" x14ac:dyDescent="0.25">
      <c r="A18" s="539" t="s">
        <v>24</v>
      </c>
      <c r="B18" s="539"/>
      <c r="C18" s="143">
        <f>SUM('1461:4131'!C18)</f>
        <v>2220.3100000000004</v>
      </c>
      <c r="D18" s="143">
        <f>SUM('1461:4131'!D18)</f>
        <v>0</v>
      </c>
      <c r="E18" s="116">
        <f>SUM('1461:4131'!E18)</f>
        <v>4440.6200000000008</v>
      </c>
      <c r="F18" s="540">
        <f>'1461'!F18:G18</f>
        <v>0.98799999999999999</v>
      </c>
      <c r="G18" s="540"/>
      <c r="H18" s="80">
        <f>SUM('1461:4131'!H18)</f>
        <v>4387.3326999999999</v>
      </c>
      <c r="I18" s="101">
        <f>SUM('1461:4131'!I18)</f>
        <v>23546402.490000002</v>
      </c>
    </row>
    <row r="19" spans="1:9" x14ac:dyDescent="0.25">
      <c r="A19" s="539" t="s">
        <v>25</v>
      </c>
      <c r="B19" s="539"/>
      <c r="C19" s="143">
        <f>SUM('1461:4131'!C19)</f>
        <v>579.28</v>
      </c>
      <c r="D19" s="143">
        <f>SUM('1461:4131'!D19)</f>
        <v>0</v>
      </c>
      <c r="E19" s="116">
        <f>SUM('1461:4131'!E19)</f>
        <v>1158.56</v>
      </c>
      <c r="F19" s="540">
        <f>'1461'!F19:G19</f>
        <v>0.98799999999999999</v>
      </c>
      <c r="G19" s="540"/>
      <c r="H19" s="80">
        <f>SUM('1461:4131'!H19)</f>
        <v>1144.6574000000003</v>
      </c>
      <c r="I19" s="101">
        <f>SUM('1461:4131'!I19)</f>
        <v>6143268.7300000004</v>
      </c>
    </row>
    <row r="20" spans="1:9" x14ac:dyDescent="0.25">
      <c r="A20" s="539" t="s">
        <v>79</v>
      </c>
      <c r="B20" s="539"/>
      <c r="C20" s="143">
        <f>SUM('1461:4131'!C20)</f>
        <v>85</v>
      </c>
      <c r="D20" s="143">
        <f>SUM('1461:4131'!D20)</f>
        <v>0</v>
      </c>
      <c r="E20" s="116">
        <f>SUM('1461:4131'!E20)</f>
        <v>170</v>
      </c>
      <c r="F20" s="540">
        <f>'1461'!F20:G20</f>
        <v>3.706</v>
      </c>
      <c r="G20" s="540"/>
      <c r="H20" s="80">
        <f>SUM('1461:4131'!H20)</f>
        <v>630.02</v>
      </c>
      <c r="I20" s="101">
        <f>SUM('1461:4131'!I20)</f>
        <v>3381258.16</v>
      </c>
    </row>
    <row r="21" spans="1:9" x14ac:dyDescent="0.25">
      <c r="A21" s="539" t="s">
        <v>80</v>
      </c>
      <c r="B21" s="539"/>
      <c r="C21" s="143">
        <f>SUM('1461:4131'!C21)</f>
        <v>70</v>
      </c>
      <c r="D21" s="143">
        <f>SUM('1461:4131'!D21)</f>
        <v>0</v>
      </c>
      <c r="E21" s="116">
        <f>SUM('1461:4131'!E21)</f>
        <v>140</v>
      </c>
      <c r="F21" s="540">
        <f>'1461'!F21:G21</f>
        <v>3.706</v>
      </c>
      <c r="G21" s="540"/>
      <c r="H21" s="80">
        <f>SUM('1461:4131'!H21)</f>
        <v>518.84</v>
      </c>
      <c r="I21" s="101">
        <f>SUM('1461:4131'!I21)</f>
        <v>2784565.5500000003</v>
      </c>
    </row>
    <row r="22" spans="1:9" x14ac:dyDescent="0.25">
      <c r="A22" s="539" t="s">
        <v>81</v>
      </c>
      <c r="B22" s="539"/>
      <c r="C22" s="143">
        <f>SUM('1461:4131'!C22)</f>
        <v>61.21</v>
      </c>
      <c r="D22" s="143">
        <f>SUM('1461:4131'!D22)</f>
        <v>0</v>
      </c>
      <c r="E22" s="116">
        <f>SUM('1461:4131'!E22)</f>
        <v>122.42</v>
      </c>
      <c r="F22" s="540">
        <f>'1461'!F22:G22</f>
        <v>3.706</v>
      </c>
      <c r="G22" s="540"/>
      <c r="H22" s="80">
        <f>SUM('1461:4131'!H22)</f>
        <v>453.68850000000003</v>
      </c>
      <c r="I22" s="101">
        <f>SUM('1461:4131'!I22)</f>
        <v>2434903.56</v>
      </c>
    </row>
    <row r="23" spans="1:9" x14ac:dyDescent="0.25">
      <c r="A23" s="539" t="s">
        <v>82</v>
      </c>
      <c r="B23" s="539"/>
      <c r="C23" s="143">
        <f>SUM('1461:4131'!C23)</f>
        <v>24.5</v>
      </c>
      <c r="D23" s="143">
        <f>SUM('1461:4131'!D23)</f>
        <v>0</v>
      </c>
      <c r="E23" s="116">
        <f>SUM('1461:4131'!E23)</f>
        <v>49</v>
      </c>
      <c r="F23" s="540">
        <f>'1461'!F23:G23</f>
        <v>5.7069999999999999</v>
      </c>
      <c r="G23" s="540"/>
      <c r="H23" s="80">
        <f>SUM('1461:4131'!H23)</f>
        <v>279.64300000000003</v>
      </c>
      <c r="I23" s="101">
        <f>SUM('1461:4131'!I23)</f>
        <v>1500817.72</v>
      </c>
    </row>
    <row r="24" spans="1:9" x14ac:dyDescent="0.25">
      <c r="A24" s="539" t="s">
        <v>83</v>
      </c>
      <c r="B24" s="539"/>
      <c r="C24" s="143">
        <f>SUM('1461:4131'!C24)</f>
        <v>41.5</v>
      </c>
      <c r="D24" s="143">
        <f>SUM('1461:4131'!D24)</f>
        <v>0</v>
      </c>
      <c r="E24" s="116">
        <f>SUM('1461:4131'!E24)</f>
        <v>83</v>
      </c>
      <c r="F24" s="540">
        <f>'1461'!F24:G24</f>
        <v>5.7069999999999999</v>
      </c>
      <c r="G24" s="540"/>
      <c r="H24" s="80">
        <f>SUM('1461:4131'!H24)</f>
        <v>473.68099999999998</v>
      </c>
      <c r="I24" s="101">
        <f>SUM('1461:4131'!I24)</f>
        <v>2542201.4299999997</v>
      </c>
    </row>
    <row r="25" spans="1:9" x14ac:dyDescent="0.25">
      <c r="A25" s="539" t="s">
        <v>84</v>
      </c>
      <c r="B25" s="539"/>
      <c r="C25" s="143">
        <f>SUM('1461:4131'!C25)</f>
        <v>44.98</v>
      </c>
      <c r="D25" s="143">
        <f>SUM('1461:4131'!D25)</f>
        <v>0</v>
      </c>
      <c r="E25" s="116">
        <f>SUM('1461:4131'!E25)</f>
        <v>89.96</v>
      </c>
      <c r="F25" s="540">
        <f>'1461'!F25:G25</f>
        <v>5.7069999999999999</v>
      </c>
      <c r="G25" s="540"/>
      <c r="H25" s="80">
        <f>SUM('1461:4131'!H25)</f>
        <v>513.40170000000001</v>
      </c>
      <c r="I25" s="101">
        <f>SUM('1461:4131'!I25)</f>
        <v>2755378.69</v>
      </c>
    </row>
    <row r="26" spans="1:9" x14ac:dyDescent="0.25">
      <c r="A26" s="539" t="s">
        <v>85</v>
      </c>
      <c r="B26" s="539"/>
      <c r="C26" s="143">
        <f>SUM('1461:4131'!C26)</f>
        <v>525.57000000000005</v>
      </c>
      <c r="D26" s="143">
        <f>SUM('1461:4131'!D26)</f>
        <v>0</v>
      </c>
      <c r="E26" s="116">
        <f>SUM('1461:4131'!E26)</f>
        <v>1051.1400000000001</v>
      </c>
      <c r="F26" s="540">
        <f>'1461'!F26:G26</f>
        <v>1.208</v>
      </c>
      <c r="G26" s="540"/>
      <c r="H26" s="80">
        <f>SUM('1461:4131'!H26)</f>
        <v>1269.7768999999998</v>
      </c>
      <c r="I26" s="101">
        <f>SUM('1461:4131'!I26)</f>
        <v>6814773.3399999999</v>
      </c>
    </row>
    <row r="27" spans="1:9" x14ac:dyDescent="0.25">
      <c r="A27" s="539" t="s">
        <v>86</v>
      </c>
      <c r="B27" s="539"/>
      <c r="C27" s="143">
        <f>SUM('1461:4131'!C27)</f>
        <v>328.44000000000005</v>
      </c>
      <c r="D27" s="143">
        <f>SUM('1461:4131'!D27)</f>
        <v>0</v>
      </c>
      <c r="E27" s="116">
        <f>SUM('1461:4131'!E27)</f>
        <v>656.88000000000011</v>
      </c>
      <c r="F27" s="540">
        <f>'1461'!F27:G27</f>
        <v>1.208</v>
      </c>
      <c r="G27" s="540"/>
      <c r="H27" s="80">
        <f>SUM('1461:4131'!H27)</f>
        <v>793.51080000000002</v>
      </c>
      <c r="I27" s="101">
        <f>SUM('1461:4131'!I27)</f>
        <v>4258697.9300000006</v>
      </c>
    </row>
    <row r="28" spans="1:9" x14ac:dyDescent="0.25">
      <c r="A28" s="539" t="s">
        <v>87</v>
      </c>
      <c r="B28" s="539"/>
      <c r="C28" s="143">
        <f>SUM('1461:4131'!C28)</f>
        <v>141.30000000000001</v>
      </c>
      <c r="D28" s="143">
        <f>SUM('1461:4131'!D28)</f>
        <v>0</v>
      </c>
      <c r="E28" s="116">
        <f>SUM('1461:4131'!E28)</f>
        <v>282.60000000000002</v>
      </c>
      <c r="F28" s="540">
        <f>'1461'!F28:G28</f>
        <v>1.208</v>
      </c>
      <c r="G28" s="540"/>
      <c r="H28" s="80">
        <f>SUM('1461:4131'!H28)</f>
        <v>341.38070000000005</v>
      </c>
      <c r="I28" s="101">
        <f>SUM('1461:4131'!I28)</f>
        <v>1832158.15</v>
      </c>
    </row>
    <row r="29" spans="1:9" x14ac:dyDescent="0.25">
      <c r="A29" s="539" t="s">
        <v>88</v>
      </c>
      <c r="B29" s="539"/>
      <c r="C29" s="110">
        <f>SUM('1461:4131'!C29)</f>
        <v>290.58999999999992</v>
      </c>
      <c r="D29" s="110">
        <f>SUM('1461:4131'!D29)</f>
        <v>0</v>
      </c>
      <c r="E29" s="154">
        <f>SUM('1461:4131'!E29)</f>
        <v>581.17999999999984</v>
      </c>
      <c r="F29" s="540">
        <f>'1461'!F29:G29</f>
        <v>1.0720000000000001</v>
      </c>
      <c r="G29" s="540"/>
      <c r="H29" s="93">
        <f>SUM('1461:4131'!H29)</f>
        <v>623.02479999999991</v>
      </c>
      <c r="I29" s="94">
        <f>SUM('1461:4131'!I29)</f>
        <v>3343715.5799999996</v>
      </c>
    </row>
    <row r="30" spans="1:9" x14ac:dyDescent="0.25">
      <c r="A30" s="541" t="s">
        <v>154</v>
      </c>
      <c r="B30" s="542"/>
      <c r="C30" s="111">
        <f>SUM(C14:C29)</f>
        <v>11030.39</v>
      </c>
      <c r="D30" s="111">
        <f>SUM(D14:D29)</f>
        <v>0</v>
      </c>
      <c r="E30" s="187">
        <f>SUM(E14:E29)</f>
        <v>22060.78</v>
      </c>
      <c r="F30" s="543"/>
      <c r="G30" s="543"/>
      <c r="H30" s="145">
        <f>SUM(H14:H29)</f>
        <v>25279.098699999999</v>
      </c>
      <c r="I30" s="111">
        <f>SUM(I14:I29)</f>
        <v>135670548.16000003</v>
      </c>
    </row>
    <row r="31" spans="1:9" x14ac:dyDescent="0.25">
      <c r="A31" s="81" t="s">
        <v>155</v>
      </c>
      <c r="B31" s="156"/>
      <c r="C31" s="143">
        <f>Virtual!E22</f>
        <v>0</v>
      </c>
      <c r="D31" s="143">
        <f>Virtual!E23</f>
        <v>0</v>
      </c>
      <c r="E31" s="116">
        <f>IF(D$30=0,C31*2,C31+D31)</f>
        <v>0</v>
      </c>
      <c r="F31" s="540">
        <v>0.7</v>
      </c>
      <c r="G31" s="540"/>
      <c r="H31" s="80">
        <f t="shared" ref="H31" si="0">ROUND(E31*F31,4)</f>
        <v>0</v>
      </c>
      <c r="I31" s="101">
        <f>Virtual!E28</f>
        <v>0</v>
      </c>
    </row>
    <row r="32" spans="1:9" x14ac:dyDescent="0.25">
      <c r="A32" s="541" t="s">
        <v>156</v>
      </c>
      <c r="B32" s="542"/>
      <c r="C32" s="97">
        <f>SUM(C30:C31)</f>
        <v>11030.39</v>
      </c>
      <c r="D32" s="97">
        <f>SUM(D30:D31)</f>
        <v>0</v>
      </c>
      <c r="E32" s="97">
        <f>SUM(E30:E31)</f>
        <v>22060.78</v>
      </c>
      <c r="F32" s="27"/>
      <c r="G32" s="27"/>
      <c r="H32" s="80"/>
      <c r="I32" s="97">
        <f>SUM(I30:I31)</f>
        <v>135670548.16000003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2"/>
      <c r="C35" s="101"/>
      <c r="D35" s="101"/>
      <c r="E35" s="101"/>
      <c r="F35" s="487"/>
      <c r="G35" s="487"/>
      <c r="H35" s="80"/>
      <c r="I35" s="101"/>
    </row>
    <row r="36" spans="1:9" hidden="1" x14ac:dyDescent="0.25">
      <c r="A36" s="3"/>
      <c r="B36" s="69"/>
      <c r="C36" s="69"/>
      <c r="D36" s="69"/>
      <c r="E36" s="69"/>
      <c r="F36" s="69"/>
      <c r="G36" s="69"/>
      <c r="H36" s="69"/>
      <c r="I36" s="322" t="s">
        <v>299</v>
      </c>
    </row>
    <row r="37" spans="1:9" hidden="1" x14ac:dyDescent="0.25">
      <c r="A37" s="26"/>
      <c r="B37" s="26"/>
      <c r="C37" s="88" t="str">
        <f>C11</f>
        <v>Oct 2023</v>
      </c>
      <c r="D37" s="88" t="str">
        <f>D11</f>
        <v>Feb 2024</v>
      </c>
      <c r="E37" s="89" t="s">
        <v>8</v>
      </c>
      <c r="F37" s="27"/>
      <c r="G37" s="27"/>
      <c r="H37" s="104"/>
      <c r="I37" s="24" t="s">
        <v>27</v>
      </c>
    </row>
    <row r="38" spans="1:9" hidden="1" x14ac:dyDescent="0.25">
      <c r="A38" s="533" t="s">
        <v>50</v>
      </c>
      <c r="B38" s="533"/>
      <c r="C38" s="325" t="s">
        <v>2</v>
      </c>
      <c r="D38" s="325" t="s">
        <v>2</v>
      </c>
      <c r="E38" s="90" t="s">
        <v>2</v>
      </c>
      <c r="F38" s="105"/>
      <c r="G38" s="105"/>
      <c r="H38" s="105"/>
      <c r="I38" s="31" t="s">
        <v>62</v>
      </c>
    </row>
    <row r="39" spans="1:9" hidden="1" x14ac:dyDescent="0.25">
      <c r="A39" s="537" t="s">
        <v>45</v>
      </c>
      <c r="B39" s="537"/>
      <c r="C39" s="147">
        <f>SUM('1461:4111'!C38)</f>
        <v>0</v>
      </c>
      <c r="D39" s="147">
        <f>SUM('1461:4111'!D38)</f>
        <v>0</v>
      </c>
      <c r="E39" s="187">
        <f>SUM('1461:4111'!E38)</f>
        <v>0</v>
      </c>
      <c r="F39" s="148"/>
      <c r="G39" s="148"/>
      <c r="H39" s="148"/>
      <c r="I39" s="111">
        <f>SUM('1461:4111'!I38)</f>
        <v>0</v>
      </c>
    </row>
    <row r="40" spans="1:9" hidden="1" x14ac:dyDescent="0.25">
      <c r="A40" s="539" t="s">
        <v>46</v>
      </c>
      <c r="B40" s="539"/>
      <c r="C40" s="150">
        <f>SUM('1461:4111'!C39)</f>
        <v>0</v>
      </c>
      <c r="D40" s="150">
        <f>SUM('1461:4111'!D39)</f>
        <v>0</v>
      </c>
      <c r="E40" s="116">
        <f>SUM('1461:4111'!E39)</f>
        <v>0</v>
      </c>
      <c r="F40" s="151"/>
      <c r="G40" s="151"/>
      <c r="H40" s="151"/>
      <c r="I40" s="101">
        <f>SUM('1461:4111'!I39)</f>
        <v>0</v>
      </c>
    </row>
    <row r="41" spans="1:9" hidden="1" x14ac:dyDescent="0.25">
      <c r="A41" s="544" t="s">
        <v>47</v>
      </c>
      <c r="B41" s="544"/>
      <c r="C41" s="150">
        <f>SUM('1461:4111'!C40)</f>
        <v>0</v>
      </c>
      <c r="D41" s="150">
        <f>SUM('1461:4111'!D40)</f>
        <v>0</v>
      </c>
      <c r="E41" s="116">
        <f>SUM('1461:4111'!E40)</f>
        <v>0</v>
      </c>
      <c r="F41" s="151"/>
      <c r="G41" s="151"/>
      <c r="H41" s="151"/>
      <c r="I41" s="101">
        <f>SUM('1461:4111'!I40)</f>
        <v>0</v>
      </c>
    </row>
    <row r="42" spans="1:9" hidden="1" x14ac:dyDescent="0.25">
      <c r="A42" s="539" t="s">
        <v>48</v>
      </c>
      <c r="B42" s="539"/>
      <c r="C42" s="150">
        <f>SUM('1461:4111'!C41)</f>
        <v>0</v>
      </c>
      <c r="D42" s="150">
        <f>SUM('1461:4111'!D41)</f>
        <v>0</v>
      </c>
      <c r="E42" s="116">
        <f>SUM('1461:4111'!E41)</f>
        <v>0</v>
      </c>
      <c r="F42" s="151"/>
      <c r="G42" s="151"/>
      <c r="H42" s="151"/>
      <c r="I42" s="101">
        <f>SUM('1461:4111'!I41)</f>
        <v>0</v>
      </c>
    </row>
    <row r="43" spans="1:9" hidden="1" x14ac:dyDescent="0.25">
      <c r="A43" s="539" t="s">
        <v>49</v>
      </c>
      <c r="B43" s="539"/>
      <c r="C43" s="150">
        <f>SUM('1461:4111'!C42)</f>
        <v>0</v>
      </c>
      <c r="D43" s="150">
        <f>SUM('1461:4111'!D42)</f>
        <v>0</v>
      </c>
      <c r="E43" s="116">
        <f>SUM('1461:4111'!E42)</f>
        <v>0</v>
      </c>
      <c r="F43" s="151"/>
      <c r="G43" s="151"/>
      <c r="H43" s="151"/>
      <c r="I43" s="101">
        <f>SUM('1461:4111'!I42)</f>
        <v>0</v>
      </c>
    </row>
    <row r="44" spans="1:9" hidden="1" x14ac:dyDescent="0.25">
      <c r="A44" s="539" t="s">
        <v>41</v>
      </c>
      <c r="B44" s="539"/>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25279.098699999999</v>
      </c>
      <c r="F47" s="34"/>
      <c r="G47" s="106"/>
      <c r="H47" s="107" t="s">
        <v>98</v>
      </c>
      <c r="I47" s="94">
        <f>SUM(I45,I32)</f>
        <v>135670548.16000003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392</v>
      </c>
      <c r="B50" s="26"/>
      <c r="C50" s="26"/>
      <c r="D50" s="26"/>
      <c r="E50" s="26"/>
      <c r="F50" s="34"/>
      <c r="G50" s="27"/>
      <c r="H50" s="27"/>
      <c r="I50" s="101"/>
    </row>
    <row r="51" spans="1:9" s="392" customFormat="1" ht="9" customHeight="1" x14ac:dyDescent="0.2">
      <c r="A51" s="391" t="s">
        <v>393</v>
      </c>
      <c r="F51" s="393"/>
      <c r="G51" s="394"/>
      <c r="H51" s="394"/>
      <c r="I51" s="395"/>
    </row>
    <row r="52" spans="1:9" s="392" customFormat="1" ht="11.25" customHeight="1" x14ac:dyDescent="0.2">
      <c r="A52" s="399" t="s">
        <v>394</v>
      </c>
      <c r="F52" s="393"/>
      <c r="G52" s="394"/>
      <c r="H52" s="394"/>
      <c r="I52" s="395"/>
    </row>
    <row r="53" spans="1:9" x14ac:dyDescent="0.25">
      <c r="A53" s="390"/>
      <c r="B53" s="3" t="s">
        <v>395</v>
      </c>
      <c r="C53" s="26"/>
      <c r="D53" s="26"/>
      <c r="E53" s="43" t="s">
        <v>396</v>
      </c>
      <c r="F53" s="401">
        <f>SUM('1461:4131'!F51)</f>
        <v>135670548.16000003</v>
      </c>
      <c r="G53" s="109" t="s">
        <v>6</v>
      </c>
      <c r="H53" s="402">
        <f>'1461'!H51</f>
        <v>4.5199999999999997E-2</v>
      </c>
      <c r="I53" s="101">
        <f>SUM('1461:4131'!I51)</f>
        <v>6132308.79</v>
      </c>
    </row>
    <row r="54" spans="1:9" x14ac:dyDescent="0.25">
      <c r="A54" s="26"/>
      <c r="B54" s="81" t="s">
        <v>397</v>
      </c>
      <c r="C54" s="26"/>
      <c r="D54" s="26"/>
      <c r="E54" s="43" t="s">
        <v>396</v>
      </c>
      <c r="F54" s="401">
        <f>SUM('1461:4131'!F52)</f>
        <v>135670548.16000003</v>
      </c>
      <c r="G54" s="109" t="s">
        <v>6</v>
      </c>
      <c r="H54" s="402">
        <f>'1461'!H52</f>
        <v>1.41E-2</v>
      </c>
      <c r="I54" s="94">
        <f>SUM('1461:4131'!I52)</f>
        <v>1912954.7700000003</v>
      </c>
    </row>
    <row r="55" spans="1:9" x14ac:dyDescent="0.25">
      <c r="A55" s="26"/>
      <c r="B55" s="81" t="s">
        <v>398</v>
      </c>
      <c r="C55" s="26"/>
      <c r="D55" s="26"/>
      <c r="E55" s="43"/>
      <c r="F55" s="401"/>
      <c r="G55" s="109"/>
      <c r="H55" s="402"/>
      <c r="I55" s="97">
        <f>SUM(I53:I54)</f>
        <v>8045263.5600000005</v>
      </c>
    </row>
    <row r="56" spans="1:9" x14ac:dyDescent="0.25">
      <c r="A56" s="26"/>
      <c r="B56" s="26"/>
      <c r="C56" s="26"/>
      <c r="D56" s="26"/>
      <c r="E56" s="26"/>
      <c r="F56" s="34"/>
      <c r="G56" s="27"/>
      <c r="H56" s="27"/>
      <c r="I56" s="101"/>
    </row>
    <row r="57" spans="1:9" x14ac:dyDescent="0.25">
      <c r="A57" s="492"/>
      <c r="B57" s="492"/>
      <c r="C57" s="88" t="str">
        <f>C11</f>
        <v>Oct 2023</v>
      </c>
      <c r="D57" s="334" t="str">
        <f t="shared" ref="D57:D58" si="1">D11</f>
        <v>Feb 2024</v>
      </c>
      <c r="E57" s="89" t="s">
        <v>8</v>
      </c>
      <c r="F57" s="46" t="s">
        <v>436</v>
      </c>
      <c r="G57" s="109" t="s">
        <v>437</v>
      </c>
      <c r="H57" s="455" t="s">
        <v>438</v>
      </c>
      <c r="I57" s="101"/>
    </row>
    <row r="58" spans="1:9" x14ac:dyDescent="0.25">
      <c r="A58" s="36" t="s">
        <v>439</v>
      </c>
      <c r="B58" s="36"/>
      <c r="C58" s="325" t="str">
        <f t="shared" ref="C58" si="2">C12</f>
        <v>FTE</v>
      </c>
      <c r="D58" s="325" t="str">
        <f t="shared" si="1"/>
        <v>FTE</v>
      </c>
      <c r="E58" s="90" t="s">
        <v>2</v>
      </c>
      <c r="F58" s="485" t="s">
        <v>440</v>
      </c>
      <c r="G58" s="488" t="s">
        <v>440</v>
      </c>
      <c r="H58" s="456" t="s">
        <v>441</v>
      </c>
      <c r="I58" s="36"/>
    </row>
    <row r="59" spans="1:9" ht="15.75" customHeight="1" x14ac:dyDescent="0.25">
      <c r="A59" s="549" t="s">
        <v>443</v>
      </c>
      <c r="B59" s="549"/>
      <c r="C59" s="143">
        <f>SUM('1461:4131'!C57)</f>
        <v>244.5</v>
      </c>
      <c r="D59" s="143">
        <f>SUM('1461:4131'!D57)</f>
        <v>0</v>
      </c>
      <c r="E59" s="116">
        <f>SUM('1461:4131'!E57)</f>
        <v>489</v>
      </c>
      <c r="F59" s="490" t="s">
        <v>435</v>
      </c>
      <c r="G59" s="490">
        <v>251</v>
      </c>
      <c r="H59" s="458">
        <f>'1461'!H57</f>
        <v>1047</v>
      </c>
      <c r="I59" s="101">
        <f>SUM('1461:4131'!I57)</f>
        <v>511983</v>
      </c>
    </row>
    <row r="60" spans="1:9" x14ac:dyDescent="0.25">
      <c r="A60" s="550"/>
      <c r="B60" s="550"/>
      <c r="C60" s="143">
        <f>SUM('1461:4131'!C58)</f>
        <v>39.5</v>
      </c>
      <c r="D60" s="143">
        <f>SUM('1461:4131'!D58)</f>
        <v>0</v>
      </c>
      <c r="E60" s="116">
        <f>SUM('1461:4131'!E58)</f>
        <v>79</v>
      </c>
      <c r="F60" s="490" t="s">
        <v>435</v>
      </c>
      <c r="G60" s="490">
        <v>252</v>
      </c>
      <c r="H60" s="458">
        <f>'1461'!H58</f>
        <v>3380</v>
      </c>
      <c r="I60" s="101">
        <f>SUM('1461:4131'!I58)</f>
        <v>267020</v>
      </c>
    </row>
    <row r="61" spans="1:9" x14ac:dyDescent="0.25">
      <c r="A61" s="550"/>
      <c r="B61" s="550"/>
      <c r="C61" s="143">
        <f>SUM('1461:4131'!C59)</f>
        <v>9.5</v>
      </c>
      <c r="D61" s="143">
        <f>SUM('1461:4131'!D59)</f>
        <v>0</v>
      </c>
      <c r="E61" s="116">
        <f>SUM('1461:4131'!E59)</f>
        <v>19</v>
      </c>
      <c r="F61" s="490" t="s">
        <v>435</v>
      </c>
      <c r="G61" s="490">
        <v>253</v>
      </c>
      <c r="H61" s="458">
        <f>'1461'!H59</f>
        <v>6896</v>
      </c>
      <c r="I61" s="101">
        <f>SUM('1461:4131'!I59)</f>
        <v>131024</v>
      </c>
    </row>
    <row r="62" spans="1:9" x14ac:dyDescent="0.25">
      <c r="A62" s="550"/>
      <c r="B62" s="550"/>
      <c r="C62" s="143">
        <f>SUM('1461:4131'!C60)</f>
        <v>559.37</v>
      </c>
      <c r="D62" s="143">
        <f>SUM('1461:4131'!D60)</f>
        <v>0</v>
      </c>
      <c r="E62" s="116">
        <f>SUM('1461:4131'!E60)</f>
        <v>1118.74</v>
      </c>
      <c r="F62" s="491" t="s">
        <v>13</v>
      </c>
      <c r="G62" s="490">
        <v>251</v>
      </c>
      <c r="H62" s="458">
        <f>'1461'!H60</f>
        <v>1173</v>
      </c>
      <c r="I62" s="101">
        <f>SUM('1461:4131'!I60)</f>
        <v>1312282.02</v>
      </c>
    </row>
    <row r="63" spans="1:9" x14ac:dyDescent="0.25">
      <c r="A63" s="550"/>
      <c r="B63" s="550"/>
      <c r="C63" s="143">
        <f>SUM('1461:4131'!C61)</f>
        <v>51.03</v>
      </c>
      <c r="D63" s="143">
        <f>SUM('1461:4131'!D61)</f>
        <v>0</v>
      </c>
      <c r="E63" s="116">
        <f>SUM('1461:4131'!E61)</f>
        <v>102.06</v>
      </c>
      <c r="F63" s="491" t="s">
        <v>13</v>
      </c>
      <c r="G63" s="490">
        <v>252</v>
      </c>
      <c r="H63" s="458">
        <f>'1461'!H61</f>
        <v>3506</v>
      </c>
      <c r="I63" s="101">
        <f>SUM('1461:4131'!I61)</f>
        <v>357822.36</v>
      </c>
    </row>
    <row r="64" spans="1:9" x14ac:dyDescent="0.25">
      <c r="A64" s="550"/>
      <c r="B64" s="550"/>
      <c r="C64" s="143">
        <f>SUM('1461:4131'!C62)</f>
        <v>12</v>
      </c>
      <c r="D64" s="143">
        <f>SUM('1461:4131'!D62)</f>
        <v>0</v>
      </c>
      <c r="E64" s="116">
        <f>SUM('1461:4131'!E62)</f>
        <v>24</v>
      </c>
      <c r="F64" s="491" t="s">
        <v>13</v>
      </c>
      <c r="G64" s="490">
        <v>253</v>
      </c>
      <c r="H64" s="458">
        <f>'1461'!H62</f>
        <v>7023</v>
      </c>
      <c r="I64" s="101">
        <f>SUM('1461:4131'!I62)</f>
        <v>168552</v>
      </c>
    </row>
    <row r="65" spans="1:9" x14ac:dyDescent="0.25">
      <c r="A65" s="550"/>
      <c r="B65" s="550"/>
      <c r="C65" s="143">
        <f>SUM('1461:4131'!C63)</f>
        <v>403.43</v>
      </c>
      <c r="D65" s="143">
        <f>SUM('1461:4131'!D63)</f>
        <v>0</v>
      </c>
      <c r="E65" s="116">
        <f>SUM('1461:4131'!E63)</f>
        <v>806.86</v>
      </c>
      <c r="F65" s="491" t="s">
        <v>14</v>
      </c>
      <c r="G65" s="490">
        <v>251</v>
      </c>
      <c r="H65" s="458">
        <f>'1461'!H63</f>
        <v>835</v>
      </c>
      <c r="I65" s="101">
        <f>SUM('1461:4131'!I63)</f>
        <v>673728.1</v>
      </c>
    </row>
    <row r="66" spans="1:9" x14ac:dyDescent="0.25">
      <c r="A66" s="550"/>
      <c r="B66" s="550"/>
      <c r="C66" s="143">
        <f>SUM('1461:4131'!C64)</f>
        <v>63.36</v>
      </c>
      <c r="D66" s="143">
        <f>SUM('1461:4131'!D64)</f>
        <v>0</v>
      </c>
      <c r="E66" s="116">
        <f>SUM('1461:4131'!E64)</f>
        <v>126.72</v>
      </c>
      <c r="F66" s="491" t="s">
        <v>14</v>
      </c>
      <c r="G66" s="490">
        <v>252</v>
      </c>
      <c r="H66" s="458">
        <f>'1461'!H64</f>
        <v>3168</v>
      </c>
      <c r="I66" s="101">
        <f>SUM('1461:4131'!I64)</f>
        <v>401448.95999999996</v>
      </c>
    </row>
    <row r="67" spans="1:9" x14ac:dyDescent="0.25">
      <c r="A67" s="550"/>
      <c r="B67" s="550"/>
      <c r="C67" s="143">
        <f>SUM('1461:4131'!C65)</f>
        <v>112.49000000000001</v>
      </c>
      <c r="D67" s="143">
        <f>SUM('1461:4131'!D65)</f>
        <v>0</v>
      </c>
      <c r="E67" s="116">
        <f>SUM('1461:4131'!E65)</f>
        <v>224.98000000000002</v>
      </c>
      <c r="F67" s="491" t="s">
        <v>14</v>
      </c>
      <c r="G67" s="490">
        <v>253</v>
      </c>
      <c r="H67" s="458">
        <f>'1461'!H65</f>
        <v>6685</v>
      </c>
      <c r="I67" s="101">
        <f>SUM('1461:4131'!I65)</f>
        <v>1503991.3</v>
      </c>
    </row>
    <row r="68" spans="1:9" x14ac:dyDescent="0.25">
      <c r="A68" s="486"/>
      <c r="C68" s="97">
        <f>SUM(C59:C67)</f>
        <v>1495.1799999999998</v>
      </c>
      <c r="D68" s="97">
        <f>SUM(D59:D67)</f>
        <v>0</v>
      </c>
      <c r="E68" s="97">
        <f>SUM(E59:E67)</f>
        <v>2990.3599999999997</v>
      </c>
      <c r="F68" s="551" t="s">
        <v>444</v>
      </c>
      <c r="G68" s="551"/>
      <c r="H68" s="551"/>
      <c r="I68" s="97">
        <f>SUM(I59:I67)</f>
        <v>5327851.74</v>
      </c>
    </row>
    <row r="69" spans="1:9" x14ac:dyDescent="0.25">
      <c r="A69" s="492"/>
      <c r="B69" s="492"/>
      <c r="C69" s="492"/>
      <c r="D69" s="492"/>
      <c r="E69" s="492"/>
      <c r="F69" s="34"/>
      <c r="G69" s="487"/>
      <c r="H69" s="487"/>
      <c r="I69" s="101"/>
    </row>
    <row r="70" spans="1:9" x14ac:dyDescent="0.25">
      <c r="A70" s="489" t="s">
        <v>446</v>
      </c>
    </row>
    <row r="71" spans="1:9" x14ac:dyDescent="0.25">
      <c r="A71" s="545" t="s">
        <v>399</v>
      </c>
      <c r="B71" s="539"/>
      <c r="C71" s="112">
        <f>SUM('1461:4131'!C69)</f>
        <v>22060.780000000002</v>
      </c>
      <c r="D71" s="526" t="s">
        <v>410</v>
      </c>
      <c r="E71" s="526"/>
      <c r="F71" s="526"/>
      <c r="G71" s="526"/>
      <c r="H71" s="289">
        <f>'1461'!H69</f>
        <v>203305.63</v>
      </c>
      <c r="I71" s="113"/>
    </row>
    <row r="72" spans="1:9" x14ac:dyDescent="0.25">
      <c r="B72" s="69"/>
      <c r="G72" s="42" t="s">
        <v>12</v>
      </c>
      <c r="H72" s="114">
        <f>ROUND(C71/H71,6)</f>
        <v>0.10851</v>
      </c>
      <c r="I72" s="115"/>
    </row>
    <row r="73" spans="1:9" x14ac:dyDescent="0.25">
      <c r="A73" s="489" t="s">
        <v>447</v>
      </c>
    </row>
    <row r="74" spans="1:9" x14ac:dyDescent="0.25">
      <c r="A74" s="545" t="s">
        <v>400</v>
      </c>
      <c r="B74" s="539"/>
      <c r="C74" s="414">
        <f>SUM('1461:4131'!C72)</f>
        <v>25279.098700000002</v>
      </c>
      <c r="D74" s="526" t="s">
        <v>411</v>
      </c>
      <c r="E74" s="526"/>
      <c r="F74" s="526"/>
      <c r="G74" s="526"/>
      <c r="H74" s="290">
        <f>'1461'!H72</f>
        <v>227540.36</v>
      </c>
      <c r="I74" s="116"/>
    </row>
    <row r="75" spans="1:9" x14ac:dyDescent="0.25">
      <c r="G75" s="42" t="s">
        <v>12</v>
      </c>
      <c r="H75" s="114">
        <f>ROUND(C74/H74,6)</f>
        <v>0.111097</v>
      </c>
      <c r="I75" s="114"/>
    </row>
    <row r="76" spans="1:9" x14ac:dyDescent="0.25">
      <c r="A76" s="418" t="s">
        <v>448</v>
      </c>
      <c r="B76" s="415"/>
      <c r="C76" s="415"/>
      <c r="D76" s="415"/>
      <c r="E76" s="415"/>
      <c r="F76" s="415"/>
      <c r="G76" s="415"/>
      <c r="H76" s="415"/>
      <c r="I76" s="415"/>
    </row>
    <row r="77" spans="1:9" x14ac:dyDescent="0.25">
      <c r="A77" s="545" t="s">
        <v>401</v>
      </c>
      <c r="B77" s="539"/>
      <c r="C77" s="112">
        <f>SUM('1461:4131'!C75)</f>
        <v>22060.780000000002</v>
      </c>
      <c r="D77" s="518" t="s">
        <v>412</v>
      </c>
      <c r="E77" s="518"/>
      <c r="F77" s="518"/>
      <c r="G77" s="518"/>
      <c r="H77" s="289">
        <f>'1461'!H75</f>
        <v>186907.73</v>
      </c>
      <c r="I77" s="113"/>
    </row>
    <row r="78" spans="1:9" x14ac:dyDescent="0.25">
      <c r="B78" s="69"/>
      <c r="G78" s="42" t="s">
        <v>12</v>
      </c>
      <c r="H78" s="114">
        <f>ROUND(C77/H77,6)</f>
        <v>0.11803</v>
      </c>
      <c r="I78" s="115"/>
    </row>
    <row r="79" spans="1:9" x14ac:dyDescent="0.25">
      <c r="A79" s="418" t="s">
        <v>449</v>
      </c>
      <c r="B79" s="415"/>
      <c r="C79" s="415"/>
      <c r="D79" s="415"/>
      <c r="E79" s="415"/>
      <c r="F79" s="415"/>
      <c r="G79" s="415"/>
      <c r="H79" s="415"/>
      <c r="I79" s="415"/>
    </row>
    <row r="80" spans="1:9" x14ac:dyDescent="0.25">
      <c r="A80" s="545" t="s">
        <v>401</v>
      </c>
      <c r="B80" s="539"/>
      <c r="C80" s="112">
        <f>SUM('1461:4131'!C78)</f>
        <v>22060.780000000002</v>
      </c>
      <c r="D80" s="546" t="s">
        <v>413</v>
      </c>
      <c r="E80" s="546"/>
      <c r="F80" s="546"/>
      <c r="G80" s="546"/>
      <c r="H80" s="289">
        <f>'1461'!H78</f>
        <v>203080.55</v>
      </c>
      <c r="I80" s="113"/>
    </row>
    <row r="81" spans="1:9" x14ac:dyDescent="0.25">
      <c r="B81" s="69"/>
      <c r="G81" s="42" t="s">
        <v>12</v>
      </c>
      <c r="H81" s="114">
        <f>ROUND(C80/H80,6)</f>
        <v>0.10863100000000001</v>
      </c>
      <c r="I81" s="115"/>
    </row>
    <row r="82" spans="1:9" x14ac:dyDescent="0.25">
      <c r="A82" s="418" t="s">
        <v>450</v>
      </c>
      <c r="B82" s="415"/>
      <c r="C82" s="415"/>
      <c r="D82" s="415"/>
      <c r="E82" s="415"/>
      <c r="F82" s="415"/>
      <c r="G82" s="415"/>
      <c r="H82" s="415"/>
      <c r="I82" s="415"/>
    </row>
    <row r="83" spans="1:9" x14ac:dyDescent="0.25">
      <c r="A83" s="545" t="s">
        <v>409</v>
      </c>
      <c r="B83" s="539"/>
      <c r="C83" s="112">
        <f>SUM('1461:4131'!C81)</f>
        <v>22060.780000000002</v>
      </c>
      <c r="D83" s="518" t="s">
        <v>414</v>
      </c>
      <c r="E83" s="518"/>
      <c r="F83" s="518"/>
      <c r="G83" s="518"/>
      <c r="H83" s="289">
        <f>'1461'!H81</f>
        <v>186682.65</v>
      </c>
      <c r="I83" s="113"/>
    </row>
    <row r="84" spans="1:9" x14ac:dyDescent="0.25">
      <c r="B84" s="69"/>
      <c r="G84" s="42" t="s">
        <v>12</v>
      </c>
      <c r="H84" s="114">
        <f>ROUND(C83/H83,6)</f>
        <v>0.118173</v>
      </c>
      <c r="I84" s="115"/>
    </row>
    <row r="85" spans="1:9" x14ac:dyDescent="0.25">
      <c r="A85" s="242"/>
      <c r="G85" s="42"/>
      <c r="H85" s="114"/>
      <c r="I85" s="114"/>
    </row>
    <row r="86" spans="1:9" x14ac:dyDescent="0.25">
      <c r="A86" s="489" t="s">
        <v>451</v>
      </c>
      <c r="D86" s="69"/>
      <c r="E86" s="43" t="s">
        <v>294</v>
      </c>
      <c r="F86" s="291">
        <f>'1461'!F85</f>
        <v>44665536</v>
      </c>
      <c r="G86" s="37" t="s">
        <v>6</v>
      </c>
      <c r="H86" s="423">
        <f>H81</f>
        <v>0.10863100000000001</v>
      </c>
      <c r="I86" s="101">
        <f>SUM('1461:4131'!I85)</f>
        <v>4852061.8500000006</v>
      </c>
    </row>
    <row r="87" spans="1:9" x14ac:dyDescent="0.25">
      <c r="A87" s="400"/>
      <c r="D87" s="69"/>
      <c r="E87" s="43"/>
      <c r="F87" s="277"/>
      <c r="G87" s="37"/>
      <c r="H87" s="423"/>
      <c r="I87" s="101"/>
    </row>
    <row r="88" spans="1:9" x14ac:dyDescent="0.25">
      <c r="A88" s="548" t="s">
        <v>71</v>
      </c>
      <c r="B88" s="539"/>
      <c r="C88" s="539"/>
      <c r="D88" s="69"/>
      <c r="E88" s="43"/>
      <c r="F88" s="277"/>
      <c r="G88" s="37"/>
      <c r="H88" s="423"/>
      <c r="I88" s="101"/>
    </row>
    <row r="89" spans="1:9" ht="15.75" customHeight="1" x14ac:dyDescent="0.25">
      <c r="A89" s="548" t="s">
        <v>99</v>
      </c>
      <c r="B89" s="539"/>
      <c r="C89" s="539"/>
      <c r="D89" s="69"/>
      <c r="E89" s="43" t="s">
        <v>3</v>
      </c>
      <c r="F89" s="291">
        <f>'1461'!F88</f>
        <v>0</v>
      </c>
      <c r="G89" s="37" t="s">
        <v>6</v>
      </c>
      <c r="H89" s="423">
        <f>H72</f>
        <v>0.10851</v>
      </c>
      <c r="I89" s="101">
        <f>SUM('1461:4131'!I88)</f>
        <v>0</v>
      </c>
    </row>
    <row r="90" spans="1:9" ht="15.75" customHeight="1" x14ac:dyDescent="0.25">
      <c r="A90" s="432"/>
      <c r="B90" s="69"/>
      <c r="C90" s="69"/>
      <c r="D90" s="69"/>
      <c r="E90" s="43"/>
      <c r="F90" s="277"/>
      <c r="G90" s="37"/>
      <c r="H90" s="423"/>
      <c r="I90" s="101"/>
    </row>
    <row r="91" spans="1:9" x14ac:dyDescent="0.25">
      <c r="A91" s="489" t="s">
        <v>452</v>
      </c>
      <c r="D91" s="69"/>
      <c r="E91" s="43" t="s">
        <v>417</v>
      </c>
      <c r="F91" s="291">
        <f>'1461'!F90</f>
        <v>16167052</v>
      </c>
      <c r="G91" s="37" t="s">
        <v>6</v>
      </c>
      <c r="H91" s="423">
        <f>H84</f>
        <v>0.118173</v>
      </c>
      <c r="I91" s="101">
        <f>SUM('1461:4131'!I90)</f>
        <v>1910573.69</v>
      </c>
    </row>
    <row r="92" spans="1:9" x14ac:dyDescent="0.25">
      <c r="A92" s="400"/>
      <c r="D92" s="69"/>
      <c r="E92" s="43"/>
      <c r="F92" s="277"/>
      <c r="G92" s="37"/>
      <c r="H92" s="423"/>
      <c r="I92" s="101"/>
    </row>
    <row r="93" spans="1:9" x14ac:dyDescent="0.25">
      <c r="A93" s="489" t="s">
        <v>453</v>
      </c>
      <c r="D93" s="69"/>
      <c r="E93" s="43" t="s">
        <v>3</v>
      </c>
      <c r="F93" s="291">
        <f>'1461'!F92</f>
        <v>10040099</v>
      </c>
      <c r="G93" s="37" t="s">
        <v>6</v>
      </c>
      <c r="H93" s="423">
        <f>H78</f>
        <v>0.11803</v>
      </c>
      <c r="I93" s="101">
        <f>SUM('1461:4131'!I92)</f>
        <v>1185032.92</v>
      </c>
    </row>
    <row r="94" spans="1:9" x14ac:dyDescent="0.25">
      <c r="A94" s="81"/>
      <c r="D94" s="69"/>
      <c r="E94" s="43"/>
      <c r="F94" s="116"/>
      <c r="G94" s="37"/>
      <c r="H94" s="419"/>
      <c r="I94" s="101"/>
    </row>
    <row r="95" spans="1:9" x14ac:dyDescent="0.25">
      <c r="A95" s="545" t="s">
        <v>418</v>
      </c>
      <c r="B95" s="539"/>
      <c r="C95" s="539"/>
      <c r="D95" s="69"/>
      <c r="E95" s="43" t="s">
        <v>4</v>
      </c>
      <c r="F95" s="291">
        <f>'1461'!F94</f>
        <v>238997674</v>
      </c>
      <c r="G95" s="37" t="s">
        <v>6</v>
      </c>
      <c r="H95" s="423">
        <f>H75</f>
        <v>0.111097</v>
      </c>
      <c r="I95" s="101">
        <f>SUM('1461:4131'!I94)</f>
        <v>26552641.569999997</v>
      </c>
    </row>
    <row r="96" spans="1:9" x14ac:dyDescent="0.25">
      <c r="A96" s="81"/>
      <c r="B96" s="69"/>
      <c r="C96" s="69"/>
      <c r="D96" s="69"/>
      <c r="E96" s="43"/>
      <c r="F96" s="277"/>
      <c r="G96" s="37"/>
      <c r="H96" s="423"/>
      <c r="I96" s="101"/>
    </row>
    <row r="97" spans="1:9" x14ac:dyDescent="0.25">
      <c r="A97" s="545" t="s">
        <v>419</v>
      </c>
      <c r="B97" s="539"/>
      <c r="C97" s="539"/>
      <c r="D97" s="69"/>
      <c r="E97" s="43" t="s">
        <v>4</v>
      </c>
      <c r="F97" s="291">
        <f>'1461'!F96</f>
        <v>-1600047</v>
      </c>
      <c r="G97" s="37" t="s">
        <v>6</v>
      </c>
      <c r="H97" s="423">
        <f>H75</f>
        <v>0.111097</v>
      </c>
      <c r="I97" s="101">
        <f>SUM('1461:4131'!I96)</f>
        <v>-177765.24000000002</v>
      </c>
    </row>
    <row r="98" spans="1:9" x14ac:dyDescent="0.25">
      <c r="A98" s="81"/>
      <c r="B98" s="69"/>
      <c r="C98" s="69"/>
      <c r="D98" s="69"/>
      <c r="E98" s="43"/>
      <c r="F98" s="277"/>
      <c r="G98" s="37"/>
      <c r="H98" s="423"/>
      <c r="I98" s="101"/>
    </row>
    <row r="99" spans="1:9" x14ac:dyDescent="0.25">
      <c r="A99" s="400" t="s">
        <v>420</v>
      </c>
    </row>
    <row r="100" spans="1:9" x14ac:dyDescent="0.25">
      <c r="B100" s="69"/>
      <c r="C100" s="524" t="s">
        <v>60</v>
      </c>
      <c r="D100" s="524"/>
      <c r="E100" s="69"/>
      <c r="F100" s="39" t="s">
        <v>28</v>
      </c>
      <c r="G100" s="69"/>
      <c r="H100" s="69"/>
      <c r="I100" s="69"/>
    </row>
    <row r="101" spans="1:9" x14ac:dyDescent="0.25">
      <c r="A101" s="3"/>
      <c r="B101" s="118"/>
      <c r="C101" s="525" t="s">
        <v>101</v>
      </c>
      <c r="D101" s="525"/>
      <c r="E101" s="119" t="s">
        <v>421</v>
      </c>
      <c r="F101" s="120" t="s">
        <v>106</v>
      </c>
      <c r="G101" s="121"/>
      <c r="H101" s="121"/>
      <c r="I101" s="121"/>
    </row>
    <row r="102" spans="1:9" x14ac:dyDescent="0.25">
      <c r="A102" s="26"/>
      <c r="B102" s="52" t="s">
        <v>105</v>
      </c>
      <c r="C102" s="557">
        <f>SUM('1461:4131'!C101)</f>
        <v>7832.8611000000001</v>
      </c>
      <c r="D102" s="557">
        <f>SUM('1461:4131'!D101)</f>
        <v>0</v>
      </c>
      <c r="E102" s="46">
        <f>'1461'!E101</f>
        <v>1.0442</v>
      </c>
      <c r="F102" s="292">
        <f>'1461'!F101</f>
        <v>947.59</v>
      </c>
      <c r="G102" s="39" t="s">
        <v>12</v>
      </c>
      <c r="H102" s="101">
        <f>SUM('1461:4131'!H101)</f>
        <v>7750408.330000001</v>
      </c>
      <c r="I102" s="104"/>
    </row>
    <row r="103" spans="1:9" x14ac:dyDescent="0.25">
      <c r="A103" s="49"/>
      <c r="B103" s="49" t="s">
        <v>104</v>
      </c>
      <c r="C103" s="557">
        <f>SUM('1461:4131'!C102)</f>
        <v>9982.7518000000018</v>
      </c>
      <c r="D103" s="557">
        <f>SUM('1461:4131'!D102)</f>
        <v>0</v>
      </c>
      <c r="E103" s="46">
        <f>'1461'!E102</f>
        <v>1.0442</v>
      </c>
      <c r="F103" s="292">
        <f>'1461'!F102</f>
        <v>904.74</v>
      </c>
      <c r="G103" s="39" t="s">
        <v>12</v>
      </c>
      <c r="H103" s="101">
        <f>SUM('1461:4131'!H102)</f>
        <v>9431000.1899999976</v>
      </c>
    </row>
    <row r="104" spans="1:9" x14ac:dyDescent="0.25">
      <c r="A104" s="52"/>
      <c r="B104" s="52" t="s">
        <v>103</v>
      </c>
      <c r="C104" s="557">
        <f>SUM('1461:4131'!C103)</f>
        <v>7463.4858000000004</v>
      </c>
      <c r="D104" s="557">
        <f>SUM('1461:4131'!D103)</f>
        <v>0</v>
      </c>
      <c r="E104" s="46">
        <f>'1461'!E103</f>
        <v>1.0442</v>
      </c>
      <c r="F104" s="292">
        <f>'1461'!F103</f>
        <v>906.93</v>
      </c>
      <c r="G104" s="39" t="s">
        <v>12</v>
      </c>
      <c r="H104" s="94">
        <f>SUM('1461:4131'!H103)</f>
        <v>7068042.7700000005</v>
      </c>
    </row>
    <row r="105" spans="1:9" ht="16.5" thickBot="1" x14ac:dyDescent="0.3">
      <c r="A105" s="55"/>
      <c r="B105" s="122" t="s">
        <v>102</v>
      </c>
      <c r="C105" s="547">
        <f>SUM(C102:C104)</f>
        <v>25279.098700000002</v>
      </c>
      <c r="D105" s="547"/>
      <c r="E105" s="123"/>
      <c r="F105" s="123"/>
      <c r="G105" s="123"/>
      <c r="H105" s="124" t="s">
        <v>100</v>
      </c>
      <c r="I105" s="101">
        <f>SUM('1461:4131'!I104)</f>
        <v>24249451.289999999</v>
      </c>
    </row>
    <row r="106" spans="1:9" ht="16.5" thickTop="1" x14ac:dyDescent="0.25">
      <c r="A106" s="516" t="s">
        <v>65</v>
      </c>
      <c r="B106" s="516"/>
      <c r="C106" s="516"/>
      <c r="D106" s="516"/>
      <c r="E106" s="516"/>
      <c r="F106" s="516"/>
      <c r="G106" s="516"/>
      <c r="H106" s="516"/>
      <c r="I106" s="516"/>
    </row>
    <row r="107" spans="1:9" x14ac:dyDescent="0.25">
      <c r="A107" s="433"/>
      <c r="B107" s="433"/>
      <c r="C107" s="433"/>
      <c r="D107" s="433"/>
      <c r="E107" s="433"/>
      <c r="F107" s="433"/>
      <c r="G107" s="433"/>
      <c r="H107" s="433"/>
      <c r="I107" s="433"/>
    </row>
    <row r="108" spans="1:9" x14ac:dyDescent="0.25">
      <c r="A108" s="81" t="s">
        <v>425</v>
      </c>
      <c r="C108" s="43"/>
      <c r="D108" s="69"/>
      <c r="E108" s="43" t="s">
        <v>32</v>
      </c>
      <c r="F108" s="517"/>
      <c r="G108" s="517"/>
      <c r="H108" s="517"/>
      <c r="I108" s="517"/>
    </row>
    <row r="109" spans="1:9" x14ac:dyDescent="0.25">
      <c r="B109" s="69"/>
      <c r="C109" s="88" t="s">
        <v>356</v>
      </c>
      <c r="D109" s="334" t="s">
        <v>357</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18" t="s">
        <v>376</v>
      </c>
      <c r="B111" s="519"/>
      <c r="C111" s="143">
        <f>SUM('1461:4131'!C110)</f>
        <v>4411</v>
      </c>
      <c r="D111" s="143">
        <f>SUM('1461:4131'!D110)</f>
        <v>0</v>
      </c>
      <c r="E111" s="116">
        <f>SUM('1461:4131'!E110)</f>
        <v>4411</v>
      </c>
      <c r="F111" s="126" t="s">
        <v>30</v>
      </c>
      <c r="G111" s="293">
        <f>'1461'!G110</f>
        <v>565</v>
      </c>
      <c r="I111" s="101">
        <f>SUM('1461:4131'!I110)</f>
        <v>2492215</v>
      </c>
    </row>
    <row r="112" spans="1:9" x14ac:dyDescent="0.25">
      <c r="A112" s="518" t="s">
        <v>377</v>
      </c>
      <c r="B112" s="519"/>
      <c r="C112" s="143">
        <f>SUM('1461:4131'!C111)</f>
        <v>4</v>
      </c>
      <c r="D112" s="143">
        <f>SUM('1461:4131'!D111)</f>
        <v>0</v>
      </c>
      <c r="E112" s="116">
        <f>SUM('1461:4131'!E111)</f>
        <v>4</v>
      </c>
      <c r="F112" s="126" t="s">
        <v>30</v>
      </c>
      <c r="G112" s="293">
        <f>'1461'!G111</f>
        <v>1762</v>
      </c>
      <c r="I112" s="101">
        <f>SUM('1461:4131'!I111)</f>
        <v>7048</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45" t="s">
        <v>426</v>
      </c>
      <c r="B115" s="539"/>
      <c r="C115" s="539"/>
      <c r="D115" s="69"/>
      <c r="E115" s="39" t="s">
        <v>295</v>
      </c>
      <c r="F115" s="524"/>
      <c r="G115" s="524"/>
      <c r="H115" s="524"/>
      <c r="I115" s="524"/>
    </row>
    <row r="116" spans="1:10" hidden="1" x14ac:dyDescent="0.25">
      <c r="B116" s="69"/>
      <c r="C116" s="525" t="s">
        <v>66</v>
      </c>
      <c r="D116" s="525"/>
      <c r="E116" s="525"/>
      <c r="F116" s="37"/>
      <c r="G116" s="37"/>
      <c r="H116" s="39" t="s">
        <v>108</v>
      </c>
      <c r="I116" s="37"/>
    </row>
    <row r="117" spans="1:10" hidden="1" x14ac:dyDescent="0.25">
      <c r="B117" s="69"/>
      <c r="C117" s="88" t="str">
        <f>C109</f>
        <v>Oct 2022</v>
      </c>
      <c r="D117" s="88" t="str">
        <f>D109</f>
        <v>Feb 2023</v>
      </c>
      <c r="E117" s="137" t="s">
        <v>8</v>
      </c>
      <c r="F117" s="526" t="s">
        <v>109</v>
      </c>
      <c r="G117" s="524"/>
      <c r="H117" s="37" t="s">
        <v>29</v>
      </c>
      <c r="I117" s="37"/>
    </row>
    <row r="118" spans="1:10" ht="15.75" hidden="1" customHeight="1" x14ac:dyDescent="0.25">
      <c r="A118" s="525" t="s">
        <v>69</v>
      </c>
      <c r="B118" s="525"/>
      <c r="C118" s="90" t="s">
        <v>2</v>
      </c>
      <c r="D118" s="90" t="s">
        <v>2</v>
      </c>
      <c r="E118" s="59" t="s">
        <v>2</v>
      </c>
      <c r="F118" s="525" t="s">
        <v>28</v>
      </c>
      <c r="G118" s="525"/>
      <c r="H118" s="59" t="s">
        <v>28</v>
      </c>
      <c r="I118" s="59" t="s">
        <v>8</v>
      </c>
    </row>
    <row r="119" spans="1:10" ht="15.75" hidden="1" customHeight="1" x14ac:dyDescent="0.25">
      <c r="A119" s="522" t="s">
        <v>56</v>
      </c>
      <c r="B119" s="522"/>
      <c r="C119" s="141">
        <v>0</v>
      </c>
      <c r="D119" s="141">
        <v>0</v>
      </c>
      <c r="E119" s="187">
        <f>IF(D31=0,C119*2,C119+D119)</f>
        <v>0</v>
      </c>
      <c r="F119" s="523">
        <v>0</v>
      </c>
      <c r="G119" s="523"/>
      <c r="H119" s="224">
        <f>IF(C119=0,0,125)</f>
        <v>0</v>
      </c>
      <c r="I119" s="101">
        <f>ROUND((H119+F119)*E119,2)</f>
        <v>0</v>
      </c>
    </row>
    <row r="120" spans="1:10" ht="15.75" hidden="1" customHeight="1" x14ac:dyDescent="0.25">
      <c r="A120" s="542" t="s">
        <v>57</v>
      </c>
      <c r="B120" s="542"/>
      <c r="C120" s="143">
        <v>0</v>
      </c>
      <c r="D120" s="143">
        <v>0</v>
      </c>
      <c r="E120" s="116">
        <f>IF(D32=0,C120*2,C120+D120)</f>
        <v>0</v>
      </c>
      <c r="F120" s="559">
        <f>ROUND(F119/2,2)</f>
        <v>0</v>
      </c>
      <c r="G120" s="559"/>
      <c r="H120" s="224">
        <f>IF(C120=0,0,62.5)</f>
        <v>0</v>
      </c>
      <c r="I120" s="101">
        <f>ROUND((H120+F120)*E120,2)</f>
        <v>0</v>
      </c>
    </row>
    <row r="121" spans="1:10" ht="15.75" hidden="1" customHeight="1" x14ac:dyDescent="0.25">
      <c r="A121" s="542" t="s">
        <v>58</v>
      </c>
      <c r="B121" s="542"/>
      <c r="C121" s="143">
        <v>0</v>
      </c>
      <c r="D121" s="143">
        <v>0</v>
      </c>
      <c r="E121" s="116">
        <f>IF(D33=0,C121*2,C121+D121)</f>
        <v>0</v>
      </c>
      <c r="F121" s="560"/>
      <c r="G121" s="560"/>
      <c r="H121" s="225">
        <f>IF(H119&gt;0,436,0)</f>
        <v>0</v>
      </c>
      <c r="I121" s="101">
        <f>ROUND(H121*E121,2)</f>
        <v>0</v>
      </c>
    </row>
    <row r="122" spans="1:10" ht="16.5" hidden="1" customHeight="1" x14ac:dyDescent="0.25">
      <c r="A122" s="524" t="s">
        <v>8</v>
      </c>
      <c r="B122" s="524"/>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45" t="s">
        <v>428</v>
      </c>
      <c r="B124" s="539"/>
      <c r="C124" s="539"/>
      <c r="D124" s="69"/>
      <c r="E124" s="68" t="s">
        <v>34</v>
      </c>
      <c r="F124" s="558"/>
      <c r="G124" s="558"/>
      <c r="H124" s="558"/>
      <c r="I124" s="154">
        <f>SUM('1461:4131'!I123)</f>
        <v>0</v>
      </c>
    </row>
    <row r="125" spans="1:10" x14ac:dyDescent="0.25">
      <c r="B125" s="69"/>
      <c r="C125" s="69"/>
      <c r="D125" s="69"/>
      <c r="E125" s="68"/>
      <c r="F125" s="68"/>
      <c r="G125" s="68"/>
      <c r="H125" s="68"/>
      <c r="I125" s="116"/>
    </row>
    <row r="126" spans="1:10" x14ac:dyDescent="0.25">
      <c r="A126" s="551" t="s">
        <v>8</v>
      </c>
      <c r="B126" s="551"/>
      <c r="C126" s="551"/>
      <c r="D126" s="551"/>
      <c r="E126" s="551"/>
      <c r="F126" s="551"/>
      <c r="G126" s="551"/>
      <c r="H126" s="551"/>
      <c r="I126" s="94">
        <f>SUM('1461:4131'!I125)</f>
        <v>202069658.98000005</v>
      </c>
      <c r="J126" s="251"/>
    </row>
    <row r="127" spans="1:10" x14ac:dyDescent="0.25">
      <c r="A127" s="26"/>
      <c r="B127" s="26"/>
      <c r="C127" s="26"/>
      <c r="D127" s="26"/>
      <c r="E127" s="26"/>
      <c r="F127" s="26"/>
      <c r="G127" s="26"/>
      <c r="H127" s="26"/>
      <c r="I127" s="101"/>
      <c r="J127" s="251"/>
    </row>
    <row r="128" spans="1:10" x14ac:dyDescent="0.25">
      <c r="A128" s="81" t="s">
        <v>460</v>
      </c>
      <c r="B128" s="26"/>
      <c r="C128" s="26"/>
      <c r="D128" s="26"/>
      <c r="E128" s="26"/>
      <c r="F128" s="26"/>
      <c r="G128" s="26"/>
      <c r="H128" s="26"/>
      <c r="I128" s="101">
        <f>SUM('1461:4131'!I127)</f>
        <v>194024395.42000002</v>
      </c>
      <c r="J128" s="251"/>
    </row>
    <row r="129" spans="1:13" x14ac:dyDescent="0.25">
      <c r="A129" s="26"/>
      <c r="B129" s="26"/>
      <c r="C129" s="26"/>
      <c r="D129" s="26"/>
      <c r="E129" s="26"/>
      <c r="F129" s="26"/>
      <c r="G129" s="26"/>
      <c r="H129" s="26"/>
      <c r="I129" s="101"/>
      <c r="J129" s="251"/>
    </row>
    <row r="130" spans="1:13" x14ac:dyDescent="0.25">
      <c r="A130" s="545" t="s">
        <v>461</v>
      </c>
      <c r="B130" s="539"/>
      <c r="C130" s="539"/>
      <c r="D130" s="539"/>
      <c r="E130" s="539"/>
      <c r="F130" s="539"/>
      <c r="G130" s="539"/>
      <c r="H130" s="81" t="s">
        <v>326</v>
      </c>
      <c r="I130" s="134"/>
      <c r="J130" s="251"/>
    </row>
    <row r="131" spans="1:13" x14ac:dyDescent="0.25">
      <c r="A131" s="539" t="s">
        <v>70</v>
      </c>
      <c r="B131" s="539"/>
      <c r="C131" s="539"/>
      <c r="D131" s="539"/>
      <c r="E131" s="539"/>
      <c r="F131" s="539"/>
      <c r="G131" s="539"/>
      <c r="H131" s="70"/>
      <c r="I131" s="116">
        <f>SUM('1461:4131'!I130)</f>
        <v>7459549.0299999993</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194024395.42000002</v>
      </c>
      <c r="I133" s="94">
        <f>SUM('1461:4131'!I132)</f>
        <v>-3161910.9199999995</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SUM('1461:4131'!I134)</f>
        <v>198907748.05999994</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SUM('1461:4131'!I136)</f>
        <v>-117312147.56000002</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SUM('1461:4131'!I138)</f>
        <v>81595600.49999997</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'1461'!I140</f>
        <v>5</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SUM('1461:4131'!I142)</f>
        <v>16319120.09</v>
      </c>
      <c r="K143" s="419"/>
      <c r="L143" s="419"/>
      <c r="M143" s="419"/>
    </row>
    <row r="144" spans="1:13" s="135" customFormat="1" ht="16.5" thickTop="1" x14ac:dyDescent="0.25">
      <c r="A144" s="426"/>
      <c r="B144" s="426"/>
      <c r="C144" s="427"/>
      <c r="D144" s="428"/>
      <c r="E144" s="429"/>
      <c r="F144" s="223"/>
      <c r="G144" s="430"/>
      <c r="H144" s="431"/>
      <c r="I144" s="425"/>
    </row>
    <row r="145" spans="1:8" x14ac:dyDescent="0.25">
      <c r="A145" s="520" t="s">
        <v>7</v>
      </c>
      <c r="B145" s="520"/>
      <c r="C145" s="520"/>
      <c r="D145" s="520"/>
      <c r="E145" s="520"/>
      <c r="F145" s="520"/>
      <c r="G145" s="520"/>
      <c r="H145" s="520"/>
    </row>
    <row r="146" spans="1:8" ht="26.25" customHeight="1" x14ac:dyDescent="0.25">
      <c r="A146" s="521" t="s">
        <v>462</v>
      </c>
      <c r="B146" s="521"/>
      <c r="C146" s="521"/>
      <c r="D146" s="521"/>
      <c r="E146" s="521"/>
      <c r="F146" s="521"/>
      <c r="G146" s="521"/>
      <c r="H146" s="521"/>
    </row>
    <row r="147" spans="1:8" x14ac:dyDescent="0.25">
      <c r="A147" s="520" t="s">
        <v>368</v>
      </c>
      <c r="B147" s="520"/>
      <c r="C147" s="520"/>
      <c r="D147" s="520"/>
      <c r="E147" s="520"/>
      <c r="F147" s="520"/>
      <c r="G147" s="520"/>
      <c r="H147" s="520"/>
    </row>
    <row r="148" spans="1:8" x14ac:dyDescent="0.25">
      <c r="A148" s="520" t="s">
        <v>369</v>
      </c>
      <c r="B148" s="520"/>
      <c r="C148" s="520"/>
      <c r="D148" s="520"/>
      <c r="E148" s="520"/>
      <c r="F148" s="520"/>
      <c r="G148" s="520"/>
      <c r="H148" s="520"/>
    </row>
    <row r="149" spans="1:8" x14ac:dyDescent="0.25">
      <c r="A149" s="520" t="s">
        <v>370</v>
      </c>
      <c r="B149" s="520"/>
      <c r="C149" s="520"/>
      <c r="D149" s="520"/>
      <c r="E149" s="520"/>
      <c r="F149" s="520"/>
      <c r="G149" s="520"/>
      <c r="H149" s="520"/>
    </row>
    <row r="150" spans="1:8" x14ac:dyDescent="0.25">
      <c r="A150" s="520" t="s">
        <v>371</v>
      </c>
      <c r="B150" s="520"/>
      <c r="C150" s="520"/>
      <c r="D150" s="520"/>
      <c r="E150" s="520"/>
      <c r="F150" s="520"/>
      <c r="G150" s="520"/>
      <c r="H150" s="520"/>
    </row>
    <row r="151" spans="1:8" x14ac:dyDescent="0.25">
      <c r="A151" s="520" t="s">
        <v>372</v>
      </c>
      <c r="B151" s="520"/>
      <c r="C151" s="520"/>
      <c r="D151" s="520"/>
      <c r="E151" s="520"/>
      <c r="F151" s="520"/>
      <c r="G151" s="520"/>
      <c r="H151" s="520"/>
    </row>
    <row r="152" spans="1:8" ht="26.25" customHeight="1" x14ac:dyDescent="0.25">
      <c r="A152" s="553" t="s">
        <v>463</v>
      </c>
      <c r="B152" s="553"/>
      <c r="C152" s="553"/>
      <c r="D152" s="553"/>
      <c r="E152" s="553"/>
      <c r="F152" s="553"/>
      <c r="G152" s="553"/>
      <c r="H152" s="553"/>
    </row>
    <row r="153" spans="1:8" ht="26.25" customHeight="1" x14ac:dyDescent="0.25">
      <c r="A153" s="521" t="s">
        <v>464</v>
      </c>
      <c r="B153" s="521"/>
      <c r="C153" s="521"/>
      <c r="D153" s="521"/>
      <c r="E153" s="521"/>
      <c r="F153" s="521"/>
      <c r="G153" s="521"/>
      <c r="H153" s="521"/>
    </row>
    <row r="154" spans="1:8" ht="26.25" customHeight="1" x14ac:dyDescent="0.25">
      <c r="A154" s="521" t="s">
        <v>378</v>
      </c>
      <c r="B154" s="521"/>
      <c r="C154" s="521"/>
      <c r="D154" s="521"/>
      <c r="E154" s="521"/>
      <c r="F154" s="521"/>
      <c r="G154" s="521"/>
      <c r="H154" s="521"/>
    </row>
    <row r="155" spans="1:8" ht="16.5" customHeight="1" x14ac:dyDescent="0.25">
      <c r="A155" s="493" t="s">
        <v>289</v>
      </c>
      <c r="B155" s="493"/>
      <c r="C155" s="493"/>
      <c r="D155" s="493"/>
      <c r="E155" s="493"/>
      <c r="F155" s="493"/>
      <c r="G155" s="493"/>
      <c r="H155" s="493"/>
    </row>
    <row r="156" spans="1:8" ht="26.25" customHeight="1" x14ac:dyDescent="0.25">
      <c r="A156" s="553" t="s">
        <v>465</v>
      </c>
      <c r="B156" s="553"/>
      <c r="C156" s="553"/>
      <c r="D156" s="553"/>
      <c r="E156" s="553"/>
      <c r="F156" s="553"/>
      <c r="G156" s="553"/>
      <c r="H156" s="553"/>
    </row>
    <row r="157" spans="1:8" ht="26.25" customHeight="1" x14ac:dyDescent="0.25">
      <c r="A157" s="553" t="s">
        <v>466</v>
      </c>
      <c r="B157" s="553"/>
      <c r="C157" s="553"/>
      <c r="D157" s="553"/>
      <c r="E157" s="553"/>
      <c r="F157" s="553"/>
      <c r="G157" s="553"/>
      <c r="H157" s="553"/>
    </row>
    <row r="158" spans="1:8" x14ac:dyDescent="0.25">
      <c r="A158" s="552" t="s">
        <v>67</v>
      </c>
      <c r="B158" s="553"/>
      <c r="C158" s="553"/>
      <c r="D158" s="553"/>
      <c r="E158" s="553"/>
      <c r="F158" s="553"/>
      <c r="G158" s="553"/>
      <c r="H158" s="553"/>
    </row>
    <row r="159" spans="1:8" ht="54.75" customHeight="1" x14ac:dyDescent="0.25">
      <c r="A159" s="554" t="s">
        <v>467</v>
      </c>
      <c r="B159" s="554"/>
      <c r="C159" s="554"/>
      <c r="D159" s="554"/>
      <c r="E159" s="554"/>
      <c r="F159" s="554"/>
      <c r="G159" s="554"/>
      <c r="H159" s="554"/>
    </row>
    <row r="160" spans="1:8" ht="42.75" customHeight="1" x14ac:dyDescent="0.25">
      <c r="A160" s="554" t="s">
        <v>468</v>
      </c>
      <c r="B160" s="554"/>
      <c r="C160" s="554"/>
      <c r="D160" s="554"/>
      <c r="E160" s="554"/>
      <c r="F160" s="554"/>
      <c r="G160" s="554"/>
      <c r="H160" s="554"/>
    </row>
    <row r="161" spans="1:8" x14ac:dyDescent="0.25">
      <c r="A161" s="494"/>
      <c r="B161" s="494"/>
      <c r="C161" s="494"/>
      <c r="D161" s="494"/>
      <c r="E161" s="494"/>
      <c r="F161" s="494"/>
      <c r="G161" s="494"/>
      <c r="H161" s="494"/>
    </row>
    <row r="162" spans="1:8" x14ac:dyDescent="0.25">
      <c r="A162" s="555" t="s">
        <v>68</v>
      </c>
      <c r="B162" s="555"/>
      <c r="C162" s="555"/>
      <c r="D162" s="555"/>
      <c r="E162" s="555"/>
      <c r="F162" s="555"/>
      <c r="G162" s="555"/>
      <c r="H162" s="555"/>
    </row>
    <row r="163" spans="1:8" ht="26.25" customHeight="1" x14ac:dyDescent="0.25">
      <c r="A163" s="554" t="s">
        <v>469</v>
      </c>
      <c r="B163" s="554"/>
      <c r="C163" s="554"/>
      <c r="D163" s="554"/>
      <c r="E163" s="554"/>
      <c r="F163" s="554"/>
      <c r="G163" s="554"/>
      <c r="H163" s="554"/>
    </row>
    <row r="164" spans="1:8" x14ac:dyDescent="0.25">
      <c r="A164" s="556" t="s">
        <v>11</v>
      </c>
      <c r="B164" s="556"/>
      <c r="C164" s="556"/>
      <c r="D164" s="556"/>
      <c r="E164" s="556"/>
      <c r="F164" s="556"/>
      <c r="G164" s="556"/>
      <c r="H164" s="556"/>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18"/>
  <sheetViews>
    <sheetView topLeftCell="A18" workbookViewId="0">
      <selection activeCell="C110" sqref="C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318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245.98</v>
      </c>
      <c r="D18" s="143">
        <v>0</v>
      </c>
      <c r="E18" s="116">
        <f t="shared" si="1"/>
        <v>491.96</v>
      </c>
      <c r="F18" s="624">
        <f>'1461'!F18:G18</f>
        <v>0.98799999999999999</v>
      </c>
      <c r="G18" s="624"/>
      <c r="H18" s="80">
        <f t="shared" si="2"/>
        <v>486.05650000000003</v>
      </c>
      <c r="I18" s="101">
        <f t="shared" si="3"/>
        <v>2608619.58</v>
      </c>
      <c r="N18" s="564" t="s">
        <v>24</v>
      </c>
      <c r="O18" s="564"/>
      <c r="P18" s="603">
        <f t="shared" si="0"/>
        <v>0</v>
      </c>
      <c r="Q18" s="603"/>
      <c r="R18" s="608">
        <v>1</v>
      </c>
      <c r="S18" s="608"/>
      <c r="T18" s="95">
        <f t="shared" si="4"/>
        <v>0</v>
      </c>
      <c r="U18" s="474">
        <f t="shared" si="5"/>
        <v>0</v>
      </c>
    </row>
    <row r="19" spans="1:21" x14ac:dyDescent="0.25">
      <c r="A19" s="539" t="s">
        <v>25</v>
      </c>
      <c r="B19" s="539"/>
      <c r="C19" s="143">
        <v>46.43</v>
      </c>
      <c r="D19" s="143">
        <v>0</v>
      </c>
      <c r="E19" s="116">
        <f t="shared" si="1"/>
        <v>92.86</v>
      </c>
      <c r="F19" s="624">
        <f>'1461'!F19:G19</f>
        <v>0.98799999999999999</v>
      </c>
      <c r="G19" s="624"/>
      <c r="H19" s="80">
        <f t="shared" si="2"/>
        <v>91.745699999999999</v>
      </c>
      <c r="I19" s="101">
        <f t="shared" si="3"/>
        <v>492390.55</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27.6</v>
      </c>
      <c r="D28" s="143">
        <v>0</v>
      </c>
      <c r="E28" s="116">
        <f t="shared" si="1"/>
        <v>55.2</v>
      </c>
      <c r="F28" s="624">
        <f>'1461'!F28:G28</f>
        <v>1.208</v>
      </c>
      <c r="G28" s="624"/>
      <c r="H28" s="80">
        <f t="shared" si="2"/>
        <v>66.681600000000003</v>
      </c>
      <c r="I28" s="101">
        <f t="shared" si="3"/>
        <v>357873.88</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320.01</v>
      </c>
      <c r="D30" s="94">
        <f>SUM(D14:D29)</f>
        <v>0</v>
      </c>
      <c r="E30" s="94">
        <f>SUM(E14:E29)</f>
        <v>640.02</v>
      </c>
      <c r="F30" s="543"/>
      <c r="G30" s="543"/>
      <c r="H30" s="99">
        <f>SUM(H14:H29)</f>
        <v>644.48380000000009</v>
      </c>
      <c r="I30" s="94">
        <f>SUM(I14:I29)</f>
        <v>3458884.01</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644.48380000000009</v>
      </c>
      <c r="F46" s="34"/>
      <c r="G46" s="106"/>
      <c r="H46" s="107" t="s">
        <v>98</v>
      </c>
      <c r="I46" s="94">
        <f>SUM(I44,I30)</f>
        <v>3458884.01</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3458884.01</v>
      </c>
      <c r="G51" s="109" t="s">
        <v>6</v>
      </c>
      <c r="H51" s="402">
        <v>4.5199999999999997E-2</v>
      </c>
      <c r="I51" s="101">
        <f>ROUND(F51*H51,2)</f>
        <v>156341.56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3458884.01</v>
      </c>
      <c r="G52" s="109" t="s">
        <v>6</v>
      </c>
      <c r="H52" s="402">
        <v>1.41E-2</v>
      </c>
      <c r="I52" s="101">
        <f>ROUND(F52*H52,2)</f>
        <v>48770.26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205111.82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45.93</v>
      </c>
      <c r="D63" s="143">
        <v>0</v>
      </c>
      <c r="E63" s="116">
        <f t="shared" si="10"/>
        <v>91.86</v>
      </c>
      <c r="F63" s="445" t="s">
        <v>14</v>
      </c>
      <c r="G63" s="444">
        <v>251</v>
      </c>
      <c r="H63" s="458">
        <f>'1461'!H63</f>
        <v>835</v>
      </c>
      <c r="I63" s="101">
        <f t="shared" si="11"/>
        <v>76703.100000000006</v>
      </c>
      <c r="N63" s="573"/>
      <c r="O63" s="573"/>
      <c r="P63" s="576"/>
      <c r="Q63" s="576"/>
      <c r="R63" s="40" t="s">
        <v>14</v>
      </c>
      <c r="S63" s="450">
        <v>251</v>
      </c>
      <c r="T63" s="461">
        <f t="shared" si="12"/>
        <v>835</v>
      </c>
      <c r="U63" s="475">
        <f t="shared" si="13"/>
        <v>0</v>
      </c>
      <c r="V63" s="425"/>
    </row>
    <row r="64" spans="1:22" x14ac:dyDescent="0.25">
      <c r="A64" s="550"/>
      <c r="B64" s="550"/>
      <c r="C64" s="143">
        <v>0.5</v>
      </c>
      <c r="D64" s="143">
        <v>0</v>
      </c>
      <c r="E64" s="116">
        <f t="shared" si="10"/>
        <v>1</v>
      </c>
      <c r="F64" s="445" t="s">
        <v>14</v>
      </c>
      <c r="G64" s="444">
        <v>252</v>
      </c>
      <c r="H64" s="458">
        <f>'1461'!H64</f>
        <v>3168</v>
      </c>
      <c r="I64" s="101">
        <f t="shared" si="11"/>
        <v>3168</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46.43</v>
      </c>
      <c r="D66" s="97">
        <f>SUM(D57:D65)</f>
        <v>0</v>
      </c>
      <c r="E66" s="97">
        <f>SUM(E57:E65)</f>
        <v>92.86</v>
      </c>
      <c r="F66" s="551" t="s">
        <v>444</v>
      </c>
      <c r="G66" s="551"/>
      <c r="H66" s="551"/>
      <c r="I66" s="97">
        <f>SUM(I57:I65)</f>
        <v>79871.100000000006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640.02</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3.1480000000000002E-3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644.48380000000009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2.8319999999999999E-3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640.02</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3.424E-3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640.02</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3.1519999999999999E-3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640.02</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3.4280000000000001E-3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3.1519999999999999E-3</v>
      </c>
      <c r="I85" s="101">
        <f>ROUND(F85*H85,2)</f>
        <v>140785.76999999999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3.1480000000000002E-3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3.4280000000000001E-3</v>
      </c>
      <c r="I90" s="101">
        <f>ROUND(F90*H90,2)</f>
        <v>55420.65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3.424E-3</v>
      </c>
      <c r="I92" s="101">
        <f t="shared" ref="I92:I96" si="14">ROUND(F92*H92,2)</f>
        <v>34377.300000000003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2.8319999999999999E-3</v>
      </c>
      <c r="I94" s="101">
        <f t="shared" si="14"/>
        <v>676841.41</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2.8319999999999999E-3</v>
      </c>
      <c r="I96" s="101">
        <f t="shared" si="14"/>
        <v>-4531.33</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644.48380000000009</v>
      </c>
      <c r="D103" s="557"/>
      <c r="E103" s="46">
        <f>H8</f>
        <v>1.0442</v>
      </c>
      <c r="F103" s="304">
        <f>'1461'!F103</f>
        <v>906.93</v>
      </c>
      <c r="G103" s="39" t="s">
        <v>12</v>
      </c>
      <c r="H103" s="94">
        <f>ROUND(C103*E103*F103,2)</f>
        <v>610336.67000000004</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644.48380000000009</v>
      </c>
      <c r="D104" s="547"/>
      <c r="E104" s="123"/>
      <c r="F104" s="123"/>
      <c r="G104" s="123"/>
      <c r="H104" s="124" t="s">
        <v>100</v>
      </c>
      <c r="I104" s="101">
        <f>IF(A1=75,0,H103+H102+H101)</f>
        <v>610336.67000000004</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413</v>
      </c>
      <c r="D110" s="143">
        <v>0</v>
      </c>
      <c r="E110" s="116">
        <f>C110</f>
        <v>413</v>
      </c>
      <c r="F110" s="126" t="s">
        <v>30</v>
      </c>
      <c r="G110" s="305">
        <f>'1461'!G110</f>
        <v>565</v>
      </c>
      <c r="I110" s="101">
        <f>ROUND(G110*E110,2)</f>
        <v>233345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5285330.5799999991</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5080218.7599999988</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5080218.7599999988</v>
      </c>
      <c r="I132" s="94">
        <f>ROUND(IF(E30=0,0,IF(E30&gt;250,-(((250/E30)*H132)*IF(G132="H",0.02,0.05)),IF(G132="H",-0.02*H132,-0.05*H132))),2)</f>
        <v>-99219.92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5186110.6599999992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-780704.28-377049.44-377049.44-377049.44-377049.44-452107.54</f>
        <v>-2741009.58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2445101.0799999991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489020.22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154791.01999999999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18"/>
  <sheetViews>
    <sheetView topLeftCell="A12" workbookViewId="0">
      <selection activeCell="E30" sqref="E3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129</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106.18</v>
      </c>
      <c r="D14" s="141">
        <v>0</v>
      </c>
      <c r="E14" s="187">
        <f>IF(D$30=0,C14*2,C14+D14)</f>
        <v>212.36</v>
      </c>
      <c r="F14" s="628">
        <f>'1461'!F14:G14</f>
        <v>1.1220000000000001</v>
      </c>
      <c r="G14" s="628"/>
      <c r="H14" s="145">
        <f>ROUND(E14*F14,4)</f>
        <v>238.2679</v>
      </c>
      <c r="I14" s="111">
        <f>ROUND(ROUND(ROUND(H14*$C$8,4)*($H$8),2)*(MAX($H$9,1)),2)</f>
        <v>1278761.44</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11</v>
      </c>
      <c r="D15" s="143">
        <v>0</v>
      </c>
      <c r="E15" s="116">
        <f t="shared" ref="E15:E29" si="1">IF(D$30=0,C15*2,C15+D15)</f>
        <v>22</v>
      </c>
      <c r="F15" s="624">
        <f>'1461'!F15:G15</f>
        <v>1.1220000000000001</v>
      </c>
      <c r="G15" s="624"/>
      <c r="H15" s="80">
        <f t="shared" ref="H15:H29" si="2">ROUND(E15*F15,4)</f>
        <v>24.684000000000001</v>
      </c>
      <c r="I15" s="101">
        <f t="shared" ref="I15:I29" si="3">ROUND(ROUND(ROUND(H15*$C$8,4)*($H$8),2)*(MAX($H$9,1)),2)</f>
        <v>132476.71</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174.8</v>
      </c>
      <c r="D16" s="143">
        <v>0</v>
      </c>
      <c r="E16" s="116">
        <f t="shared" si="1"/>
        <v>349.6</v>
      </c>
      <c r="F16" s="624">
        <f>'1461'!F16:G16</f>
        <v>1</v>
      </c>
      <c r="G16" s="624"/>
      <c r="H16" s="80">
        <f t="shared" si="2"/>
        <v>349.6</v>
      </c>
      <c r="I16" s="101">
        <f t="shared" si="3"/>
        <v>1876270.36</v>
      </c>
      <c r="N16" s="564" t="s">
        <v>22</v>
      </c>
      <c r="O16" s="564"/>
      <c r="P16" s="603">
        <f t="shared" si="0"/>
        <v>0</v>
      </c>
      <c r="Q16" s="603"/>
      <c r="R16" s="608">
        <v>1</v>
      </c>
      <c r="S16" s="608"/>
      <c r="T16" s="95">
        <f t="shared" si="4"/>
        <v>0</v>
      </c>
      <c r="U16" s="474">
        <f t="shared" si="5"/>
        <v>0</v>
      </c>
    </row>
    <row r="17" spans="1:21" x14ac:dyDescent="0.25">
      <c r="A17" s="539" t="s">
        <v>23</v>
      </c>
      <c r="B17" s="539"/>
      <c r="C17" s="143">
        <v>20.5</v>
      </c>
      <c r="D17" s="143">
        <v>0</v>
      </c>
      <c r="E17" s="116">
        <f t="shared" si="1"/>
        <v>41</v>
      </c>
      <c r="F17" s="624">
        <f>'1461'!F17:G17</f>
        <v>1</v>
      </c>
      <c r="G17" s="624"/>
      <c r="H17" s="80">
        <f t="shared" si="2"/>
        <v>41</v>
      </c>
      <c r="I17" s="101">
        <f t="shared" si="3"/>
        <v>220043.15</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23.59</v>
      </c>
      <c r="D26" s="143">
        <v>0</v>
      </c>
      <c r="E26" s="116">
        <f t="shared" si="1"/>
        <v>47.18</v>
      </c>
      <c r="F26" s="624">
        <f>'1461'!F26:G26</f>
        <v>1.208</v>
      </c>
      <c r="G26" s="624"/>
      <c r="H26" s="80">
        <f t="shared" si="2"/>
        <v>56.993400000000001</v>
      </c>
      <c r="I26" s="101">
        <f t="shared" si="3"/>
        <v>305878.21999999997</v>
      </c>
      <c r="N26" s="564" t="s">
        <v>85</v>
      </c>
      <c r="O26" s="564"/>
      <c r="P26" s="603">
        <f t="shared" si="0"/>
        <v>0</v>
      </c>
      <c r="Q26" s="603"/>
      <c r="R26" s="608">
        <v>1</v>
      </c>
      <c r="S26" s="608"/>
      <c r="T26" s="95">
        <f t="shared" si="4"/>
        <v>0</v>
      </c>
      <c r="U26" s="474">
        <f t="shared" si="5"/>
        <v>0</v>
      </c>
    </row>
    <row r="27" spans="1:21" x14ac:dyDescent="0.25">
      <c r="A27" s="539" t="s">
        <v>86</v>
      </c>
      <c r="B27" s="539"/>
      <c r="C27" s="143">
        <v>19.2</v>
      </c>
      <c r="D27" s="143">
        <v>0</v>
      </c>
      <c r="E27" s="116">
        <f t="shared" si="1"/>
        <v>38.4</v>
      </c>
      <c r="F27" s="624">
        <f>'1461'!F27:G27</f>
        <v>1.208</v>
      </c>
      <c r="G27" s="624"/>
      <c r="H27" s="80">
        <f t="shared" si="2"/>
        <v>46.3872</v>
      </c>
      <c r="I27" s="101">
        <f t="shared" si="3"/>
        <v>248955.75</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355.27</v>
      </c>
      <c r="D30" s="94">
        <f>SUM(D14:D29)</f>
        <v>0</v>
      </c>
      <c r="E30" s="94">
        <f>SUM(E14:E29)</f>
        <v>710.54</v>
      </c>
      <c r="F30" s="543"/>
      <c r="G30" s="543"/>
      <c r="H30" s="99">
        <f>SUM(H14:H29)</f>
        <v>756.9325</v>
      </c>
      <c r="I30" s="94">
        <f>SUM(I14:I29)</f>
        <v>4062385.63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756.9325</v>
      </c>
      <c r="F46" s="34"/>
      <c r="G46" s="106"/>
      <c r="H46" s="107" t="s">
        <v>98</v>
      </c>
      <c r="I46" s="94">
        <f>SUM(I44,I30)</f>
        <v>4062385.63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4062385.63</v>
      </c>
      <c r="G51" s="109" t="s">
        <v>6</v>
      </c>
      <c r="H51" s="402">
        <v>4.5199999999999997E-2</v>
      </c>
      <c r="I51" s="101">
        <f>ROUND(F51*H51,2)</f>
        <v>183619.83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4062385.63</v>
      </c>
      <c r="G52" s="109" t="s">
        <v>6</v>
      </c>
      <c r="H52" s="402">
        <v>1.41E-2</v>
      </c>
      <c r="I52" s="101">
        <f>ROUND(F52*H52,2)</f>
        <v>57279.64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240899.46999999997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10.5</v>
      </c>
      <c r="D57" s="143">
        <v>0</v>
      </c>
      <c r="E57" s="116">
        <f t="shared" ref="E57:E65" si="10">IF(D$66=0,C57*2,C57+D57)</f>
        <v>21</v>
      </c>
      <c r="F57" s="444" t="s">
        <v>435</v>
      </c>
      <c r="G57" s="444">
        <v>251</v>
      </c>
      <c r="H57" s="458">
        <f>'1461'!H57</f>
        <v>1047</v>
      </c>
      <c r="I57" s="101">
        <f>ROUND(E57*H57,2)</f>
        <v>21987</v>
      </c>
      <c r="N57" s="572" t="s">
        <v>443</v>
      </c>
      <c r="O57" s="572"/>
      <c r="P57" s="575"/>
      <c r="Q57" s="575"/>
      <c r="R57" s="450" t="s">
        <v>435</v>
      </c>
      <c r="S57" s="450">
        <v>251</v>
      </c>
      <c r="T57" s="461">
        <f>H57</f>
        <v>1047</v>
      </c>
      <c r="U57" s="475">
        <f>ROUND(P57*T57,2)</f>
        <v>0</v>
      </c>
      <c r="V57" s="425"/>
    </row>
    <row r="58" spans="1:22" x14ac:dyDescent="0.25">
      <c r="A58" s="550"/>
      <c r="B58" s="550"/>
      <c r="C58" s="143">
        <v>0.5</v>
      </c>
      <c r="D58" s="143">
        <v>0</v>
      </c>
      <c r="E58" s="116">
        <f t="shared" si="10"/>
        <v>1</v>
      </c>
      <c r="F58" s="444" t="s">
        <v>435</v>
      </c>
      <c r="G58" s="444">
        <v>252</v>
      </c>
      <c r="H58" s="458">
        <f>'1461'!H58</f>
        <v>3380</v>
      </c>
      <c r="I58" s="101">
        <f t="shared" ref="I58:I65" si="11">ROUND(E58*H58,2)</f>
        <v>3380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16.5</v>
      </c>
      <c r="D60" s="143">
        <v>0</v>
      </c>
      <c r="E60" s="116">
        <f t="shared" si="10"/>
        <v>33</v>
      </c>
      <c r="F60" s="445" t="s">
        <v>13</v>
      </c>
      <c r="G60" s="444">
        <v>251</v>
      </c>
      <c r="H60" s="458">
        <f>'1461'!H60</f>
        <v>1173</v>
      </c>
      <c r="I60" s="101">
        <f t="shared" si="11"/>
        <v>38709</v>
      </c>
      <c r="N60" s="573"/>
      <c r="O60" s="573"/>
      <c r="P60" s="576"/>
      <c r="Q60" s="576"/>
      <c r="R60" s="40" t="s">
        <v>13</v>
      </c>
      <c r="S60" s="450">
        <v>251</v>
      </c>
      <c r="T60" s="461">
        <f t="shared" si="12"/>
        <v>1173</v>
      </c>
      <c r="U60" s="475">
        <f t="shared" si="13"/>
        <v>0</v>
      </c>
      <c r="V60" s="425"/>
    </row>
    <row r="61" spans="1:22" x14ac:dyDescent="0.25">
      <c r="A61" s="550"/>
      <c r="B61" s="550"/>
      <c r="C61" s="143">
        <v>4</v>
      </c>
      <c r="D61" s="143">
        <v>0</v>
      </c>
      <c r="E61" s="116">
        <f t="shared" si="10"/>
        <v>8</v>
      </c>
      <c r="F61" s="445" t="s">
        <v>13</v>
      </c>
      <c r="G61" s="444">
        <v>252</v>
      </c>
      <c r="H61" s="458">
        <f>'1461'!H61</f>
        <v>3506</v>
      </c>
      <c r="I61" s="101">
        <f t="shared" si="11"/>
        <v>28048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31.5</v>
      </c>
      <c r="D66" s="97">
        <f>SUM(D57:D65)</f>
        <v>0</v>
      </c>
      <c r="E66" s="97">
        <f>SUM(E57:E65)</f>
        <v>63</v>
      </c>
      <c r="F66" s="551" t="s">
        <v>444</v>
      </c>
      <c r="G66" s="551"/>
      <c r="H66" s="551"/>
      <c r="I66" s="97">
        <f>SUM(I57:I65)</f>
        <v>92124</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710.54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3.4949999999999998E-3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756.9325</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3.3270000000000001E-3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710.54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3.8019999999999998E-3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710.54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3.4989999999999999E-3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710.54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3.8059999999999999E-3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3.4989999999999999E-3</v>
      </c>
      <c r="I85" s="101">
        <f>ROUND(F85*H85,2)</f>
        <v>156284.71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3.4949999999999998E-3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3.8059999999999999E-3</v>
      </c>
      <c r="I90" s="101">
        <f>ROUND(F90*H90,2)</f>
        <v>61531.8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3.8019999999999998E-3</v>
      </c>
      <c r="I92" s="101">
        <f t="shared" ref="I92:I96" si="14">ROUND(F92*H92,2)</f>
        <v>38172.46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3.3270000000000001E-3</v>
      </c>
      <c r="I94" s="101">
        <f t="shared" si="14"/>
        <v>795145.26</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3.3270000000000001E-3</v>
      </c>
      <c r="I96" s="101">
        <f t="shared" si="14"/>
        <v>-5323.36</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319.94530000000003</v>
      </c>
      <c r="D101" s="557"/>
      <c r="E101" s="46">
        <f>H8</f>
        <v>1.0442</v>
      </c>
      <c r="F101" s="304">
        <f>'1461'!F101</f>
        <v>947.59</v>
      </c>
      <c r="G101" s="39" t="s">
        <v>12</v>
      </c>
      <c r="H101" s="101">
        <f>ROUND(C101*E101*F101,2)</f>
        <v>316577.39</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436.98720000000003</v>
      </c>
      <c r="D102" s="557"/>
      <c r="E102" s="46">
        <f>H8</f>
        <v>1.0442</v>
      </c>
      <c r="F102" s="304">
        <f>'1461'!F102</f>
        <v>904.74</v>
      </c>
      <c r="G102" s="39" t="s">
        <v>12</v>
      </c>
      <c r="H102" s="101">
        <f>ROUND(C102*E102*F102,2)</f>
        <v>412834.7</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756.93250000000012</v>
      </c>
      <c r="D104" s="547"/>
      <c r="E104" s="123"/>
      <c r="F104" s="123"/>
      <c r="G104" s="123"/>
      <c r="H104" s="124" t="s">
        <v>100</v>
      </c>
      <c r="I104" s="101">
        <f>IF(A1=75,0,H103+H102+H101)</f>
        <v>729412.09000000008</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91</v>
      </c>
      <c r="D110" s="143">
        <v>0</v>
      </c>
      <c r="E110" s="116">
        <f>C110</f>
        <v>91</v>
      </c>
      <c r="F110" s="126" t="s">
        <v>30</v>
      </c>
      <c r="G110" s="305">
        <f>'1461'!G110</f>
        <v>565</v>
      </c>
      <c r="I110" s="101">
        <f>ROUND(G110*E110,2)</f>
        <v>51415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5981147.5899999989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5740248.1199999992</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5740248.1199999992</v>
      </c>
      <c r="I132" s="94">
        <f>ROUND(IF(E30=0,0,IF(E30&gt;250,-(((250/E30)*H132)*IF(G132="H",0.02,0.05)),IF(G132="H",-0.02*H132,-0.05*H132))),2)</f>
        <v>-100983.9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5880163.6899999985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-996968.76-486113.26-486113.26-486113.26-486113.26-483836.29</f>
        <v>-3425258.09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2454905.5999999987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490981.12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186028.51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18"/>
  <sheetViews>
    <sheetView topLeftCell="A12" workbookViewId="0">
      <selection activeCell="E112" sqref="E11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130</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151.69</v>
      </c>
      <c r="D14" s="141">
        <v>0</v>
      </c>
      <c r="E14" s="187">
        <f>IF(D$30=0,C14*2,C14+D14)</f>
        <v>303.38</v>
      </c>
      <c r="F14" s="628">
        <f>'1461'!F14:G14</f>
        <v>1.1220000000000001</v>
      </c>
      <c r="G14" s="628"/>
      <c r="H14" s="145">
        <f>ROUND(E14*F14,4)</f>
        <v>340.39240000000001</v>
      </c>
      <c r="I14" s="111">
        <f>ROUND(ROUND(ROUND(H14*$C$8,4)*($H$8),2)*(MAX($H$9,1)),2)</f>
        <v>1826854.04</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21.5</v>
      </c>
      <c r="D15" s="143">
        <v>0</v>
      </c>
      <c r="E15" s="116">
        <f t="shared" ref="E15:E29" si="1">IF(D$30=0,C15*2,C15+D15)</f>
        <v>43</v>
      </c>
      <c r="F15" s="624">
        <f>'1461'!F15:G15</f>
        <v>1.1220000000000001</v>
      </c>
      <c r="G15" s="624"/>
      <c r="H15" s="80">
        <f t="shared" ref="H15:H29" si="2">ROUND(E15*F15,4)</f>
        <v>48.246000000000002</v>
      </c>
      <c r="I15" s="101">
        <f t="shared" ref="I15:I29" si="3">ROUND(ROUND(ROUND(H15*$C$8,4)*($H$8),2)*(MAX($H$9,1)),2)</f>
        <v>258931.75</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210.56</v>
      </c>
      <c r="D16" s="143">
        <v>0</v>
      </c>
      <c r="E16" s="116">
        <f t="shared" si="1"/>
        <v>421.12</v>
      </c>
      <c r="F16" s="624">
        <f>'1461'!F16:G16</f>
        <v>1</v>
      </c>
      <c r="G16" s="624"/>
      <c r="H16" s="80">
        <f t="shared" si="2"/>
        <v>421.12</v>
      </c>
      <c r="I16" s="101">
        <f t="shared" si="3"/>
        <v>2260111.48</v>
      </c>
      <c r="N16" s="564" t="s">
        <v>22</v>
      </c>
      <c r="O16" s="564"/>
      <c r="P16" s="603">
        <f t="shared" si="0"/>
        <v>0</v>
      </c>
      <c r="Q16" s="603"/>
      <c r="R16" s="608">
        <v>1</v>
      </c>
      <c r="S16" s="608"/>
      <c r="T16" s="95">
        <f t="shared" si="4"/>
        <v>0</v>
      </c>
      <c r="U16" s="474">
        <f t="shared" si="5"/>
        <v>0</v>
      </c>
    </row>
    <row r="17" spans="1:21" x14ac:dyDescent="0.25">
      <c r="A17" s="539" t="s">
        <v>23</v>
      </c>
      <c r="B17" s="539"/>
      <c r="C17" s="143">
        <v>27.5</v>
      </c>
      <c r="D17" s="143">
        <v>0</v>
      </c>
      <c r="E17" s="116">
        <f t="shared" si="1"/>
        <v>55</v>
      </c>
      <c r="F17" s="624">
        <f>'1461'!F17:G17</f>
        <v>1</v>
      </c>
      <c r="G17" s="624"/>
      <c r="H17" s="80">
        <f t="shared" si="2"/>
        <v>55</v>
      </c>
      <c r="I17" s="101">
        <f t="shared" si="3"/>
        <v>295179.83</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89.32</v>
      </c>
      <c r="D26" s="143">
        <v>0</v>
      </c>
      <c r="E26" s="116">
        <f t="shared" si="1"/>
        <v>178.64</v>
      </c>
      <c r="F26" s="624">
        <f>'1461'!F26:G26</f>
        <v>1.208</v>
      </c>
      <c r="G26" s="624"/>
      <c r="H26" s="80">
        <f t="shared" si="2"/>
        <v>215.7971</v>
      </c>
      <c r="I26" s="101">
        <f t="shared" si="3"/>
        <v>1158162.77</v>
      </c>
      <c r="N26" s="564" t="s">
        <v>85</v>
      </c>
      <c r="O26" s="564"/>
      <c r="P26" s="603">
        <f t="shared" si="0"/>
        <v>0</v>
      </c>
      <c r="Q26" s="603"/>
      <c r="R26" s="608">
        <v>1</v>
      </c>
      <c r="S26" s="608"/>
      <c r="T26" s="95">
        <f t="shared" si="4"/>
        <v>0</v>
      </c>
      <c r="U26" s="474">
        <f t="shared" si="5"/>
        <v>0</v>
      </c>
    </row>
    <row r="27" spans="1:21" x14ac:dyDescent="0.25">
      <c r="A27" s="539" t="s">
        <v>86</v>
      </c>
      <c r="B27" s="539"/>
      <c r="C27" s="143">
        <v>52.44</v>
      </c>
      <c r="D27" s="143">
        <v>0</v>
      </c>
      <c r="E27" s="116">
        <f t="shared" si="1"/>
        <v>104.88</v>
      </c>
      <c r="F27" s="624">
        <f>'1461'!F27:G27</f>
        <v>1.208</v>
      </c>
      <c r="G27" s="624"/>
      <c r="H27" s="80">
        <f t="shared" si="2"/>
        <v>126.69499999999999</v>
      </c>
      <c r="I27" s="101">
        <f t="shared" si="3"/>
        <v>679960.16</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553.01</v>
      </c>
      <c r="D30" s="94">
        <f>SUM(D14:D29)</f>
        <v>0</v>
      </c>
      <c r="E30" s="94">
        <f>SUM(E14:E29)</f>
        <v>1106.02</v>
      </c>
      <c r="F30" s="543"/>
      <c r="G30" s="543"/>
      <c r="H30" s="99">
        <f>SUM(H14:H29)</f>
        <v>1207.2504999999999</v>
      </c>
      <c r="I30" s="94">
        <f>SUM(I14:I29)</f>
        <v>6479200.0299999993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1207.2504999999999</v>
      </c>
      <c r="F46" s="34"/>
      <c r="G46" s="106"/>
      <c r="H46" s="107" t="s">
        <v>98</v>
      </c>
      <c r="I46" s="94">
        <f>SUM(I44,I30)</f>
        <v>6479200.0299999993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6479200.0299999993</v>
      </c>
      <c r="G51" s="109" t="s">
        <v>6</v>
      </c>
      <c r="H51" s="402">
        <v>4.5199999999999997E-2</v>
      </c>
      <c r="I51" s="101">
        <f>ROUND(F51*H51,2)</f>
        <v>292859.84000000003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6479200.0299999993</v>
      </c>
      <c r="G52" s="109" t="s">
        <v>6</v>
      </c>
      <c r="H52" s="402">
        <v>1.41E-2</v>
      </c>
      <c r="I52" s="101">
        <f>ROUND(F52*H52,2)</f>
        <v>91356.72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384216.56000000006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16</v>
      </c>
      <c r="D57" s="143">
        <v>0</v>
      </c>
      <c r="E57" s="116">
        <f t="shared" ref="E57:E65" si="10">IF(D$66=0,C57*2,C57+D57)</f>
        <v>32</v>
      </c>
      <c r="F57" s="444" t="s">
        <v>435</v>
      </c>
      <c r="G57" s="444">
        <v>251</v>
      </c>
      <c r="H57" s="458">
        <f>'1461'!H57</f>
        <v>1047</v>
      </c>
      <c r="I57" s="101">
        <f>ROUND(E57*H57,2)</f>
        <v>33504</v>
      </c>
      <c r="N57" s="572" t="s">
        <v>443</v>
      </c>
      <c r="O57" s="572"/>
      <c r="P57" s="575"/>
      <c r="Q57" s="575"/>
      <c r="R57" s="450" t="s">
        <v>435</v>
      </c>
      <c r="S57" s="450">
        <v>251</v>
      </c>
      <c r="T57" s="461">
        <f>H57</f>
        <v>1047</v>
      </c>
      <c r="U57" s="475">
        <f>ROUND(P57*T57,2)</f>
        <v>0</v>
      </c>
      <c r="V57" s="425"/>
    </row>
    <row r="58" spans="1:22" x14ac:dyDescent="0.25">
      <c r="A58" s="550"/>
      <c r="B58" s="550"/>
      <c r="C58" s="143">
        <v>5.5</v>
      </c>
      <c r="D58" s="143">
        <v>0</v>
      </c>
      <c r="E58" s="116">
        <f t="shared" si="10"/>
        <v>11</v>
      </c>
      <c r="F58" s="444" t="s">
        <v>435</v>
      </c>
      <c r="G58" s="444">
        <v>252</v>
      </c>
      <c r="H58" s="458">
        <f>'1461'!H58</f>
        <v>3380</v>
      </c>
      <c r="I58" s="101">
        <f t="shared" ref="I58:I65" si="11">ROUND(E58*H58,2)</f>
        <v>37180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24.5</v>
      </c>
      <c r="D60" s="143">
        <v>0</v>
      </c>
      <c r="E60" s="116">
        <f t="shared" si="10"/>
        <v>49</v>
      </c>
      <c r="F60" s="445" t="s">
        <v>13</v>
      </c>
      <c r="G60" s="444">
        <v>251</v>
      </c>
      <c r="H60" s="458">
        <f>'1461'!H60</f>
        <v>1173</v>
      </c>
      <c r="I60" s="101">
        <f t="shared" si="11"/>
        <v>57477</v>
      </c>
      <c r="N60" s="573"/>
      <c r="O60" s="573"/>
      <c r="P60" s="576"/>
      <c r="Q60" s="576"/>
      <c r="R60" s="40" t="s">
        <v>13</v>
      </c>
      <c r="S60" s="450">
        <v>251</v>
      </c>
      <c r="T60" s="461">
        <f t="shared" si="12"/>
        <v>1173</v>
      </c>
      <c r="U60" s="475">
        <f t="shared" si="13"/>
        <v>0</v>
      </c>
      <c r="V60" s="425"/>
    </row>
    <row r="61" spans="1:22" x14ac:dyDescent="0.25">
      <c r="A61" s="550"/>
      <c r="B61" s="550"/>
      <c r="C61" s="143">
        <v>3</v>
      </c>
      <c r="D61" s="143">
        <v>0</v>
      </c>
      <c r="E61" s="116">
        <f t="shared" si="10"/>
        <v>6</v>
      </c>
      <c r="F61" s="445" t="s">
        <v>13</v>
      </c>
      <c r="G61" s="444">
        <v>252</v>
      </c>
      <c r="H61" s="458">
        <f>'1461'!H61</f>
        <v>3506</v>
      </c>
      <c r="I61" s="101">
        <f t="shared" si="11"/>
        <v>21036</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49</v>
      </c>
      <c r="D66" s="97">
        <f>SUM(D57:D65)</f>
        <v>0</v>
      </c>
      <c r="E66" s="97">
        <f>SUM(E57:E65)</f>
        <v>98</v>
      </c>
      <c r="F66" s="551" t="s">
        <v>444</v>
      </c>
      <c r="G66" s="551"/>
      <c r="H66" s="551"/>
      <c r="I66" s="97">
        <f>SUM(I57:I65)</f>
        <v>149197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1106.02</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5.4400000000000004E-3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1207.2504999999999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5.306E-3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1106.02</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5.9170000000000004E-3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1106.02</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5.4460000000000003E-3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1106.02</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5.9249999999999997E-3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5.4460000000000003E-3</v>
      </c>
      <c r="I85" s="101">
        <f>ROUND(F85*H85,2)</f>
        <v>243248.51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5.4400000000000004E-3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5.9249999999999997E-3</v>
      </c>
      <c r="I90" s="101">
        <f>ROUND(F90*H90,2)</f>
        <v>95789.78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5.9170000000000004E-3</v>
      </c>
      <c r="I92" s="101">
        <f t="shared" ref="I92:I96" si="14">ROUND(F92*H92,2)</f>
        <v>59407.27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5.306E-3</v>
      </c>
      <c r="I94" s="101">
        <f t="shared" si="14"/>
        <v>1268121.6599999999</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5.306E-3</v>
      </c>
      <c r="I96" s="101">
        <f t="shared" si="14"/>
        <v>-8489.85</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604.43550000000005</v>
      </c>
      <c r="D101" s="557"/>
      <c r="E101" s="46">
        <f>H8</f>
        <v>1.0442</v>
      </c>
      <c r="F101" s="304">
        <f>'1461'!F101</f>
        <v>947.59</v>
      </c>
      <c r="G101" s="39" t="s">
        <v>12</v>
      </c>
      <c r="H101" s="101">
        <f>ROUND(C101*E101*F101,2)</f>
        <v>598072.9</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602.81500000000005</v>
      </c>
      <c r="D102" s="557"/>
      <c r="E102" s="46">
        <f>H8</f>
        <v>1.0442</v>
      </c>
      <c r="F102" s="304">
        <f>'1461'!F102</f>
        <v>904.74</v>
      </c>
      <c r="G102" s="39" t="s">
        <v>12</v>
      </c>
      <c r="H102" s="101">
        <f>ROUND(C102*E102*F102,2)</f>
        <v>569497.12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1207.2505000000001</v>
      </c>
      <c r="D104" s="547"/>
      <c r="E104" s="123"/>
      <c r="F104" s="123"/>
      <c r="G104" s="123"/>
      <c r="H104" s="124" t="s">
        <v>100</v>
      </c>
      <c r="I104" s="101">
        <f>IF(A1=75,0,H103+H102+H101)</f>
        <v>1167570.02</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v>
      </c>
      <c r="D110" s="143">
        <v>0</v>
      </c>
      <c r="E110" s="116">
        <f>C110</f>
        <v>2</v>
      </c>
      <c r="F110" s="126" t="s">
        <v>30</v>
      </c>
      <c r="G110" s="305">
        <f>'1461'!G110</f>
        <v>565</v>
      </c>
      <c r="I110" s="101">
        <f>ROUND(G110*E110,2)</f>
        <v>1130</v>
      </c>
      <c r="N110" s="585" t="s">
        <v>52</v>
      </c>
      <c r="O110" s="585"/>
      <c r="P110" s="586">
        <f>IF(H130=1,E110,0)</f>
        <v>0</v>
      </c>
      <c r="Q110" s="586"/>
      <c r="R110" s="586"/>
      <c r="S110" s="83" t="s">
        <v>30</v>
      </c>
      <c r="T110" s="58">
        <f>G110</f>
        <v>565</v>
      </c>
      <c r="U110" s="474">
        <f>ROUND(T110*P110,2)</f>
        <v>0</v>
      </c>
    </row>
    <row r="111" spans="1:21" x14ac:dyDescent="0.25">
      <c r="A111" s="518" t="s">
        <v>377</v>
      </c>
      <c r="B111" s="519"/>
      <c r="C111" s="143">
        <v>1</v>
      </c>
      <c r="D111" s="143">
        <v>0</v>
      </c>
      <c r="E111" s="116">
        <f>C111</f>
        <v>1</v>
      </c>
      <c r="F111" s="126" t="s">
        <v>30</v>
      </c>
      <c r="G111" s="305">
        <f>'1461'!G111</f>
        <v>1762</v>
      </c>
      <c r="I111" s="101">
        <f>ROUND(G111*E111,2)</f>
        <v>1762</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9456936.4199999999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9072719.8599999994</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9072719.8599999994</v>
      </c>
      <c r="I132" s="94">
        <f>ROUND(IF(E30=0,0,IF(E30&gt;250,-(((250/E30)*H132)*IF(G132="H",0.02,0.05)),IF(G132="H",-0.02*H132,-0.05*H132))),2)</f>
        <v>-102537.93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9354398.4900000002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-1632755.08-797401.21-797401.21-797401.21-797401.21-755455.69</f>
        <v>-5577815.6099999994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3776582.8800000008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755316.58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351098.06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18"/>
  <sheetViews>
    <sheetView topLeftCell="A33" workbookViewId="0">
      <selection activeCell="E62" sqref="E62"/>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131</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264.45</v>
      </c>
      <c r="D16" s="143">
        <v>0</v>
      </c>
      <c r="E16" s="116">
        <f t="shared" si="1"/>
        <v>528.9</v>
      </c>
      <c r="F16" s="624">
        <f>'1461'!F16:G16</f>
        <v>1</v>
      </c>
      <c r="G16" s="624"/>
      <c r="H16" s="80">
        <f t="shared" si="2"/>
        <v>528.9</v>
      </c>
      <c r="I16" s="101">
        <f t="shared" si="3"/>
        <v>2838556.62</v>
      </c>
      <c r="N16" s="564" t="s">
        <v>22</v>
      </c>
      <c r="O16" s="564"/>
      <c r="P16" s="603">
        <f t="shared" si="0"/>
        <v>0</v>
      </c>
      <c r="Q16" s="603"/>
      <c r="R16" s="608">
        <v>1</v>
      </c>
      <c r="S16" s="608"/>
      <c r="T16" s="95">
        <f t="shared" si="4"/>
        <v>0</v>
      </c>
      <c r="U16" s="474">
        <f t="shared" si="5"/>
        <v>0</v>
      </c>
    </row>
    <row r="17" spans="1:21" x14ac:dyDescent="0.25">
      <c r="A17" s="539" t="s">
        <v>23</v>
      </c>
      <c r="B17" s="539"/>
      <c r="C17" s="143">
        <v>53</v>
      </c>
      <c r="D17" s="143">
        <v>0</v>
      </c>
      <c r="E17" s="116">
        <f t="shared" si="1"/>
        <v>106</v>
      </c>
      <c r="F17" s="624">
        <f>'1461'!F17:G17</f>
        <v>1</v>
      </c>
      <c r="G17" s="624"/>
      <c r="H17" s="80">
        <f t="shared" si="2"/>
        <v>106</v>
      </c>
      <c r="I17" s="101">
        <f t="shared" si="3"/>
        <v>568892.04</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5.07</v>
      </c>
      <c r="D27" s="143">
        <v>0</v>
      </c>
      <c r="E27" s="116">
        <f t="shared" si="1"/>
        <v>10.14</v>
      </c>
      <c r="F27" s="624">
        <f>'1461'!F27:G27</f>
        <v>1.208</v>
      </c>
      <c r="G27" s="624"/>
      <c r="H27" s="80">
        <f t="shared" si="2"/>
        <v>12.2491</v>
      </c>
      <c r="I27" s="101">
        <f t="shared" si="3"/>
        <v>65739.77</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322.52</v>
      </c>
      <c r="D30" s="94">
        <f>SUM(D14:D29)</f>
        <v>0</v>
      </c>
      <c r="E30" s="94">
        <f>SUM(E14:E29)</f>
        <v>645.04</v>
      </c>
      <c r="F30" s="543"/>
      <c r="G30" s="543"/>
      <c r="H30" s="99">
        <f>SUM(H14:H29)</f>
        <v>647.14909999999998</v>
      </c>
      <c r="I30" s="94">
        <f>SUM(I14:I29)</f>
        <v>3473188.43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647.14909999999998</v>
      </c>
      <c r="F46" s="34"/>
      <c r="G46" s="106"/>
      <c r="H46" s="107" t="s">
        <v>98</v>
      </c>
      <c r="I46" s="94">
        <f>SUM(I44,I30)</f>
        <v>3473188.43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3473188.43</v>
      </c>
      <c r="G51" s="109" t="s">
        <v>6</v>
      </c>
      <c r="H51" s="402">
        <v>4.5199999999999997E-2</v>
      </c>
      <c r="I51" s="101">
        <f>ROUND(F51*H51,2)</f>
        <v>156988.12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3473188.43</v>
      </c>
      <c r="G52" s="109" t="s">
        <v>6</v>
      </c>
      <c r="H52" s="402">
        <v>1.41E-2</v>
      </c>
      <c r="I52" s="101">
        <f>ROUND(F52*H52,2)</f>
        <v>48971.96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205960.08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IF(D$72=0,C57*2,C57+D57)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48.99</v>
      </c>
      <c r="D60" s="143">
        <v>0</v>
      </c>
      <c r="E60" s="116">
        <f>IF(D$72=0,C60*2,C60+D60)*2</f>
        <v>97.98</v>
      </c>
      <c r="F60" s="445" t="s">
        <v>13</v>
      </c>
      <c r="G60" s="444">
        <v>251</v>
      </c>
      <c r="H60" s="458">
        <f>'1461'!H60</f>
        <v>1173</v>
      </c>
      <c r="I60" s="101">
        <f t="shared" si="11"/>
        <v>114930.54</v>
      </c>
      <c r="N60" s="573"/>
      <c r="O60" s="573"/>
      <c r="P60" s="576"/>
      <c r="Q60" s="576"/>
      <c r="R60" s="40" t="s">
        <v>13</v>
      </c>
      <c r="S60" s="450">
        <v>251</v>
      </c>
      <c r="T60" s="461">
        <f t="shared" si="12"/>
        <v>1173</v>
      </c>
      <c r="U60" s="475">
        <f t="shared" si="13"/>
        <v>0</v>
      </c>
      <c r="V60" s="425"/>
    </row>
    <row r="61" spans="1:22" x14ac:dyDescent="0.25">
      <c r="A61" s="550"/>
      <c r="B61" s="550"/>
      <c r="C61" s="143">
        <v>3.51</v>
      </c>
      <c r="D61" s="143">
        <v>0</v>
      </c>
      <c r="E61" s="116">
        <f>IF(D$72=0,C61*2,C61+D61)*2</f>
        <v>7.02</v>
      </c>
      <c r="F61" s="445" t="s">
        <v>13</v>
      </c>
      <c r="G61" s="444">
        <v>252</v>
      </c>
      <c r="H61" s="458">
        <f>'1461'!H61</f>
        <v>3506</v>
      </c>
      <c r="I61" s="101">
        <f t="shared" si="11"/>
        <v>24612.12</v>
      </c>
      <c r="N61" s="573"/>
      <c r="O61" s="573"/>
      <c r="P61" s="576"/>
      <c r="Q61" s="576"/>
      <c r="R61" s="40" t="s">
        <v>13</v>
      </c>
      <c r="S61" s="450">
        <v>252</v>
      </c>
      <c r="T61" s="461">
        <f t="shared" si="12"/>
        <v>3506</v>
      </c>
      <c r="U61" s="475">
        <f t="shared" si="13"/>
        <v>0</v>
      </c>
      <c r="V61" s="425"/>
    </row>
    <row r="62" spans="1:22" x14ac:dyDescent="0.25">
      <c r="A62" s="550"/>
      <c r="B62" s="550"/>
      <c r="C62" s="143">
        <v>0.5</v>
      </c>
      <c r="D62" s="143">
        <v>0</v>
      </c>
      <c r="E62" s="116">
        <f>IF(D$72=0,C62*2,C62+D62)*2</f>
        <v>1</v>
      </c>
      <c r="F62" s="445" t="s">
        <v>13</v>
      </c>
      <c r="G62" s="444">
        <v>253</v>
      </c>
      <c r="H62" s="458">
        <f>'1461'!H62</f>
        <v>7023</v>
      </c>
      <c r="I62" s="101">
        <f t="shared" si="11"/>
        <v>7023</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53</v>
      </c>
      <c r="D66" s="97">
        <f>SUM(D57:D65)</f>
        <v>0</v>
      </c>
      <c r="E66" s="97">
        <f>SUM(E57:E65)</f>
        <v>106</v>
      </c>
      <c r="F66" s="551" t="s">
        <v>444</v>
      </c>
      <c r="G66" s="551"/>
      <c r="H66" s="551"/>
      <c r="I66" s="97">
        <f>SUM(I57:I65)</f>
        <v>146565.66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645.04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3.173E-3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647.14909999999998</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2.8440000000000002E-3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645.04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3.4510000000000001E-3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645.04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3.176E-3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645.04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3.4550000000000002E-3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3.176E-3</v>
      </c>
      <c r="I85" s="101">
        <f>ROUND(F85*H85,2)</f>
        <v>141857.74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3.173E-3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3.4550000000000002E-3</v>
      </c>
      <c r="I90" s="101">
        <f>ROUND(F90*H90,2)</f>
        <v>55857.16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3.4510000000000001E-3</v>
      </c>
      <c r="I92" s="101">
        <f t="shared" ref="I92:I96" si="14">ROUND(F92*H92,2)</f>
        <v>34648.379999999997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2.8440000000000002E-3</v>
      </c>
      <c r="I94" s="101">
        <f t="shared" si="14"/>
        <v>679709.38</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2.8440000000000002E-3</v>
      </c>
      <c r="I96" s="101">
        <f t="shared" si="14"/>
        <v>-4550.53</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647.14909999999998</v>
      </c>
      <c r="D102" s="557"/>
      <c r="E102" s="46">
        <f>H8</f>
        <v>1.0442</v>
      </c>
      <c r="F102" s="304">
        <f>'1461'!F102</f>
        <v>904.74</v>
      </c>
      <c r="G102" s="39" t="s">
        <v>12</v>
      </c>
      <c r="H102" s="101">
        <f>ROUND(C102*E102*F102,2)</f>
        <v>611380.85</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647.14909999999998</v>
      </c>
      <c r="D104" s="547"/>
      <c r="E104" s="123"/>
      <c r="F104" s="123"/>
      <c r="G104" s="123"/>
      <c r="H104" s="124" t="s">
        <v>100</v>
      </c>
      <c r="I104" s="101">
        <f>IF(A1=75,0,H103+H102+H101)</f>
        <v>611380.85</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v>
      </c>
      <c r="D110" s="143">
        <v>0</v>
      </c>
      <c r="E110" s="116">
        <f>C110</f>
        <v>1</v>
      </c>
      <c r="F110" s="126" t="s">
        <v>30</v>
      </c>
      <c r="G110" s="305">
        <f>'1461'!G110</f>
        <v>565</v>
      </c>
      <c r="I110" s="101">
        <f>ROUND(G110*E110,2)</f>
        <v>565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5139222.0699999994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4933261.9899999993</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4933261.9899999993</v>
      </c>
      <c r="I132" s="94">
        <f>ROUND(IF(E30=0,0,IF(E30&gt;250,-(((250/E30)*H132)*IF(G132="H",0.02,0.05)),IF(G132="H",-0.02*H132,-0.05*H132))),2)</f>
        <v>-38239.97</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5100982.0999999996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-926284.56-449657.87-449657.87-449657.87-449657.87-382604.82</f>
        <v>-3107520.8600000003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1993461.2399999993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398692.25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60425.27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18"/>
  <sheetViews>
    <sheetView topLeftCell="A9" workbookViewId="0">
      <selection activeCell="E66" sqref="E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132</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422.73</v>
      </c>
      <c r="D18" s="143">
        <v>0</v>
      </c>
      <c r="E18" s="116">
        <f t="shared" si="1"/>
        <v>845.46</v>
      </c>
      <c r="F18" s="624">
        <f>'1461'!F18:G18</f>
        <v>0.98799999999999999</v>
      </c>
      <c r="G18" s="624"/>
      <c r="H18" s="80">
        <f t="shared" si="2"/>
        <v>835.31449999999995</v>
      </c>
      <c r="I18" s="101">
        <f t="shared" si="3"/>
        <v>4483054.46</v>
      </c>
      <c r="N18" s="564" t="s">
        <v>24</v>
      </c>
      <c r="O18" s="564"/>
      <c r="P18" s="603">
        <f t="shared" si="0"/>
        <v>0</v>
      </c>
      <c r="Q18" s="603"/>
      <c r="R18" s="608">
        <v>1</v>
      </c>
      <c r="S18" s="608"/>
      <c r="T18" s="95">
        <f t="shared" si="4"/>
        <v>0</v>
      </c>
      <c r="U18" s="474">
        <f t="shared" si="5"/>
        <v>0</v>
      </c>
    </row>
    <row r="19" spans="1:21" x14ac:dyDescent="0.25">
      <c r="A19" s="539" t="s">
        <v>25</v>
      </c>
      <c r="B19" s="539"/>
      <c r="C19" s="143">
        <v>44.5</v>
      </c>
      <c r="D19" s="143">
        <v>0</v>
      </c>
      <c r="E19" s="116">
        <f t="shared" si="1"/>
        <v>89</v>
      </c>
      <c r="F19" s="624">
        <f>'1461'!F19:G19</f>
        <v>0.98799999999999999</v>
      </c>
      <c r="G19" s="624"/>
      <c r="H19" s="80">
        <f t="shared" si="2"/>
        <v>87.932000000000002</v>
      </c>
      <c r="I19" s="101">
        <f t="shared" si="3"/>
        <v>471922.78</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7.47</v>
      </c>
      <c r="D28" s="143">
        <v>0</v>
      </c>
      <c r="E28" s="116">
        <f t="shared" si="1"/>
        <v>14.94</v>
      </c>
      <c r="F28" s="624">
        <f>'1461'!F28:G28</f>
        <v>1.208</v>
      </c>
      <c r="G28" s="624"/>
      <c r="H28" s="80">
        <f t="shared" si="2"/>
        <v>18.047499999999999</v>
      </c>
      <c r="I28" s="101">
        <f t="shared" si="3"/>
        <v>96859.24</v>
      </c>
      <c r="N28" s="564" t="s">
        <v>87</v>
      </c>
      <c r="O28" s="564"/>
      <c r="P28" s="603">
        <f t="shared" si="0"/>
        <v>0</v>
      </c>
      <c r="Q28" s="603"/>
      <c r="R28" s="608">
        <v>1</v>
      </c>
      <c r="S28" s="608"/>
      <c r="T28" s="95">
        <f t="shared" si="4"/>
        <v>0</v>
      </c>
      <c r="U28" s="474">
        <f t="shared" si="5"/>
        <v>0</v>
      </c>
    </row>
    <row r="29" spans="1:21" x14ac:dyDescent="0.25">
      <c r="A29" s="539" t="s">
        <v>88</v>
      </c>
      <c r="B29" s="539"/>
      <c r="C29" s="110">
        <v>24.6</v>
      </c>
      <c r="D29" s="110">
        <v>0</v>
      </c>
      <c r="E29" s="154">
        <f t="shared" si="1"/>
        <v>49.2</v>
      </c>
      <c r="F29" s="624">
        <f>'1461'!F29:G29</f>
        <v>1.0720000000000001</v>
      </c>
      <c r="G29" s="624"/>
      <c r="H29" s="93">
        <f t="shared" si="2"/>
        <v>52.742400000000004</v>
      </c>
      <c r="I29" s="94">
        <f t="shared" si="3"/>
        <v>283063.51</v>
      </c>
      <c r="N29" s="569" t="s">
        <v>88</v>
      </c>
      <c r="O29" s="569"/>
      <c r="P29" s="603">
        <f t="shared" si="0"/>
        <v>0</v>
      </c>
      <c r="Q29" s="603"/>
      <c r="R29" s="604">
        <v>1</v>
      </c>
      <c r="S29" s="604"/>
      <c r="T29" s="95">
        <f t="shared" si="4"/>
        <v>0</v>
      </c>
      <c r="U29" s="474">
        <f t="shared" si="5"/>
        <v>0</v>
      </c>
    </row>
    <row r="30" spans="1:21" x14ac:dyDescent="0.25">
      <c r="A30" s="551" t="s">
        <v>5</v>
      </c>
      <c r="B30" s="551"/>
      <c r="C30" s="94">
        <f>SUM(C14:C29)</f>
        <v>499.30000000000007</v>
      </c>
      <c r="D30" s="94">
        <f>SUM(D14:D29)</f>
        <v>0</v>
      </c>
      <c r="E30" s="94">
        <f>SUM(E14:E29)</f>
        <v>998.60000000000014</v>
      </c>
      <c r="F30" s="543"/>
      <c r="G30" s="543"/>
      <c r="H30" s="99">
        <f>SUM(H14:H29)</f>
        <v>994.03639999999996</v>
      </c>
      <c r="I30" s="94">
        <f>SUM(I14:I29)</f>
        <v>5334899.99</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994.03639999999996</v>
      </c>
      <c r="F46" s="34"/>
      <c r="G46" s="106"/>
      <c r="H46" s="107" t="s">
        <v>98</v>
      </c>
      <c r="I46" s="94">
        <f>SUM(I44,I30)</f>
        <v>5334899.99</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5334899.99</v>
      </c>
      <c r="G51" s="109" t="s">
        <v>6</v>
      </c>
      <c r="H51" s="402">
        <v>4.5199999999999997E-2</v>
      </c>
      <c r="I51" s="101">
        <f>ROUND(F51*H51,2)</f>
        <v>241137.48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5334899.99</v>
      </c>
      <c r="G52" s="109" t="s">
        <v>6</v>
      </c>
      <c r="H52" s="402">
        <v>1.41E-2</v>
      </c>
      <c r="I52" s="101">
        <f>ROUND(F52*H52,2)</f>
        <v>75222.09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316359.57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43</v>
      </c>
      <c r="D63" s="143">
        <v>0</v>
      </c>
      <c r="E63" s="116">
        <f t="shared" si="10"/>
        <v>86</v>
      </c>
      <c r="F63" s="445" t="s">
        <v>14</v>
      </c>
      <c r="G63" s="444">
        <v>251</v>
      </c>
      <c r="H63" s="458">
        <f>'1461'!H63</f>
        <v>835</v>
      </c>
      <c r="I63" s="101">
        <f t="shared" si="11"/>
        <v>71810</v>
      </c>
      <c r="N63" s="573"/>
      <c r="O63" s="573"/>
      <c r="P63" s="576"/>
      <c r="Q63" s="576"/>
      <c r="R63" s="40" t="s">
        <v>14</v>
      </c>
      <c r="S63" s="450">
        <v>251</v>
      </c>
      <c r="T63" s="461">
        <f t="shared" si="12"/>
        <v>835</v>
      </c>
      <c r="U63" s="475">
        <f t="shared" si="13"/>
        <v>0</v>
      </c>
      <c r="V63" s="425"/>
    </row>
    <row r="64" spans="1:22" x14ac:dyDescent="0.25">
      <c r="A64" s="550"/>
      <c r="B64" s="550"/>
      <c r="C64" s="143">
        <v>1.5</v>
      </c>
      <c r="D64" s="143">
        <v>0</v>
      </c>
      <c r="E64" s="116">
        <f t="shared" si="10"/>
        <v>3</v>
      </c>
      <c r="F64" s="445" t="s">
        <v>14</v>
      </c>
      <c r="G64" s="444">
        <v>252</v>
      </c>
      <c r="H64" s="458">
        <f>'1461'!H64</f>
        <v>3168</v>
      </c>
      <c r="I64" s="101">
        <f t="shared" si="11"/>
        <v>9504</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44.5</v>
      </c>
      <c r="D66" s="97">
        <f>SUM(D57:D65)</f>
        <v>0</v>
      </c>
      <c r="E66" s="97">
        <f>SUM(E57:E65)</f>
        <v>89</v>
      </c>
      <c r="F66" s="551" t="s">
        <v>444</v>
      </c>
      <c r="G66" s="551"/>
      <c r="H66" s="551"/>
      <c r="I66" s="97">
        <f>SUM(I57:I65)</f>
        <v>81314</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998.60000000000014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4.9119999999999997E-3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994.03639999999996</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4.3689999999999996E-3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998.60000000000014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5.3429999999999997E-3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998.60000000000014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4.9170000000000004E-3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998.60000000000014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5.3489999999999996E-3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4.9170000000000004E-3</v>
      </c>
      <c r="I85" s="101">
        <f>ROUND(F85*H85,2)</f>
        <v>219620.44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4.9119999999999997E-3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5.3489999999999996E-3</v>
      </c>
      <c r="I90" s="101">
        <f>ROUND(F90*H90,2)</f>
        <v>86477.56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5.3429999999999997E-3</v>
      </c>
      <c r="I92" s="101">
        <f t="shared" ref="I92:I96" si="14">ROUND(F92*H92,2)</f>
        <v>53644.25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4.3689999999999996E-3</v>
      </c>
      <c r="I94" s="101">
        <f t="shared" si="14"/>
        <v>1044180.84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4.3689999999999996E-3</v>
      </c>
      <c r="I96" s="101">
        <f t="shared" si="14"/>
        <v>-6990.61</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994.03639999999996</v>
      </c>
      <c r="D103" s="557"/>
      <c r="E103" s="46">
        <f>H8</f>
        <v>1.0442</v>
      </c>
      <c r="F103" s="304">
        <f>'1461'!F103</f>
        <v>906.93</v>
      </c>
      <c r="G103" s="39" t="s">
        <v>12</v>
      </c>
      <c r="H103" s="94">
        <f>ROUND(C103*E103*F103,2)</f>
        <v>941368.68</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994.03639999999996</v>
      </c>
      <c r="D104" s="547"/>
      <c r="E104" s="123"/>
      <c r="F104" s="123"/>
      <c r="G104" s="123"/>
      <c r="H104" s="124" t="s">
        <v>100</v>
      </c>
      <c r="I104" s="101">
        <f>IF(A1=75,0,H103+H102+H101)</f>
        <v>941368.68</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3</v>
      </c>
      <c r="D110" s="143">
        <v>0</v>
      </c>
      <c r="E110" s="116">
        <f>C110</f>
        <v>3</v>
      </c>
      <c r="F110" s="126" t="s">
        <v>30</v>
      </c>
      <c r="G110" s="305">
        <f>'1461'!G110</f>
        <v>565</v>
      </c>
      <c r="I110" s="101">
        <f>ROUND(G110*E110,2)</f>
        <v>1695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7756210.1499999994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7439850.5799999991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9" t="s">
        <v>241</v>
      </c>
      <c r="H132" s="139">
        <f>IF(H130=1,I130,I127)</f>
        <v>7439850.5799999991</v>
      </c>
      <c r="I132" s="94">
        <f>ROUND(IF(E30=0,0,IF(E30&gt;250,-(((250/E30)*H132)*IF(G132="H",0.02,0.05)),IF(G132="H",-0.02*H132,-0.05*H132))),2)</f>
        <v>-37251.4</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7718958.7499999991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-1396767.02-679815.82-679815.82-679815.82-679815.82-599472.33</f>
        <v>-4715502.629999999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3003456.12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600691.22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111545.61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18"/>
  <sheetViews>
    <sheetView topLeftCell="A9" workbookViewId="0">
      <selection activeCell="E61" sqref="E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323</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219.48</v>
      </c>
      <c r="D14" s="141">
        <v>0</v>
      </c>
      <c r="E14" s="187">
        <f>IF(D$30=0,C14*2,C14+D14)</f>
        <v>438.96</v>
      </c>
      <c r="F14" s="628">
        <f>'1461'!F14:G14</f>
        <v>1.1220000000000001</v>
      </c>
      <c r="G14" s="628"/>
      <c r="H14" s="145">
        <f>ROUND(E14*F14,4)</f>
        <v>492.51310000000001</v>
      </c>
      <c r="I14" s="111">
        <f>ROUND(ROUND(ROUND(H14*$C$8,4)*($H$8),2)*(MAX($H$9,1)),2)</f>
        <v>2643271.54</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24.5</v>
      </c>
      <c r="D15" s="143">
        <v>0</v>
      </c>
      <c r="E15" s="116">
        <f t="shared" ref="E15:E29" si="1">IF(D$30=0,C15*2,C15+D15)</f>
        <v>49</v>
      </c>
      <c r="F15" s="624">
        <f>'1461'!F15:G15</f>
        <v>1.1220000000000001</v>
      </c>
      <c r="G15" s="624"/>
      <c r="H15" s="80">
        <f t="shared" ref="H15:H29" si="2">ROUND(E15*F15,4)</f>
        <v>54.978000000000002</v>
      </c>
      <c r="I15" s="101">
        <f t="shared" ref="I15:I29" si="3">ROUND(ROUND(ROUND(H15*$C$8,4)*($H$8),2)*(MAX($H$9,1)),2)</f>
        <v>295061.76000000001</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282.2</v>
      </c>
      <c r="D16" s="143">
        <v>0</v>
      </c>
      <c r="E16" s="116">
        <f t="shared" si="1"/>
        <v>564.4</v>
      </c>
      <c r="F16" s="624">
        <f>'1461'!F16:G16</f>
        <v>1</v>
      </c>
      <c r="G16" s="624"/>
      <c r="H16" s="80">
        <f t="shared" si="2"/>
        <v>564.4</v>
      </c>
      <c r="I16" s="101">
        <f t="shared" si="3"/>
        <v>3029081.78</v>
      </c>
      <c r="N16" s="564" t="s">
        <v>22</v>
      </c>
      <c r="O16" s="564"/>
      <c r="P16" s="603">
        <f t="shared" si="0"/>
        <v>0</v>
      </c>
      <c r="Q16" s="603"/>
      <c r="R16" s="608">
        <v>1</v>
      </c>
      <c r="S16" s="608"/>
      <c r="T16" s="95">
        <f t="shared" si="4"/>
        <v>0</v>
      </c>
      <c r="U16" s="474">
        <f t="shared" si="5"/>
        <v>0</v>
      </c>
    </row>
    <row r="17" spans="1:21" x14ac:dyDescent="0.25">
      <c r="A17" s="539" t="s">
        <v>23</v>
      </c>
      <c r="B17" s="539"/>
      <c r="C17" s="143">
        <v>37.5</v>
      </c>
      <c r="D17" s="143">
        <v>0</v>
      </c>
      <c r="E17" s="116">
        <f t="shared" si="1"/>
        <v>75</v>
      </c>
      <c r="F17" s="624">
        <f>'1461'!F17:G17</f>
        <v>1</v>
      </c>
      <c r="G17" s="624"/>
      <c r="H17" s="80">
        <f t="shared" si="2"/>
        <v>75</v>
      </c>
      <c r="I17" s="101">
        <f t="shared" si="3"/>
        <v>402517.95</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21.78</v>
      </c>
      <c r="D26" s="143">
        <v>0</v>
      </c>
      <c r="E26" s="116">
        <f t="shared" si="1"/>
        <v>43.56</v>
      </c>
      <c r="F26" s="624">
        <f>'1461'!F26:G26</f>
        <v>1.208</v>
      </c>
      <c r="G26" s="624"/>
      <c r="H26" s="80">
        <f t="shared" si="2"/>
        <v>52.6205</v>
      </c>
      <c r="I26" s="101">
        <f t="shared" si="3"/>
        <v>282409.28000000003</v>
      </c>
      <c r="N26" s="564" t="s">
        <v>85</v>
      </c>
      <c r="O26" s="564"/>
      <c r="P26" s="603">
        <f t="shared" si="0"/>
        <v>0</v>
      </c>
      <c r="Q26" s="603"/>
      <c r="R26" s="608">
        <v>1</v>
      </c>
      <c r="S26" s="608"/>
      <c r="T26" s="95">
        <f t="shared" si="4"/>
        <v>0</v>
      </c>
      <c r="U26" s="474">
        <f t="shared" si="5"/>
        <v>0</v>
      </c>
    </row>
    <row r="27" spans="1:21" x14ac:dyDescent="0.25">
      <c r="A27" s="539" t="s">
        <v>86</v>
      </c>
      <c r="B27" s="539"/>
      <c r="C27" s="143">
        <v>10.31</v>
      </c>
      <c r="D27" s="143">
        <v>0</v>
      </c>
      <c r="E27" s="116">
        <f t="shared" si="1"/>
        <v>20.62</v>
      </c>
      <c r="F27" s="624">
        <f>'1461'!F27:G27</f>
        <v>1.208</v>
      </c>
      <c r="G27" s="624"/>
      <c r="H27" s="80">
        <f t="shared" si="2"/>
        <v>24.908999999999999</v>
      </c>
      <c r="I27" s="101">
        <f t="shared" si="3"/>
        <v>133684.26</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595.76999999999987</v>
      </c>
      <c r="D30" s="94">
        <f>SUM(D14:D29)</f>
        <v>0</v>
      </c>
      <c r="E30" s="94">
        <f>SUM(E14:E29)</f>
        <v>1191.5399999999997</v>
      </c>
      <c r="F30" s="543"/>
      <c r="G30" s="543"/>
      <c r="H30" s="99">
        <f>SUM(H14:H29)</f>
        <v>1264.4205999999999</v>
      </c>
      <c r="I30" s="94">
        <f>SUM(I14:I29)</f>
        <v>6786026.5700000003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1264.4205999999999</v>
      </c>
      <c r="F46" s="34"/>
      <c r="G46" s="106"/>
      <c r="H46" s="107" t="s">
        <v>98</v>
      </c>
      <c r="I46" s="94">
        <f>SUM(I44,I30)</f>
        <v>6786026.5700000003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6786026.5700000003</v>
      </c>
      <c r="G51" s="109" t="s">
        <v>6</v>
      </c>
      <c r="H51" s="402">
        <v>4.5199999999999997E-2</v>
      </c>
      <c r="I51" s="101">
        <f>ROUND(F51*H51,2)</f>
        <v>306728.40000000002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6786026.5700000003</v>
      </c>
      <c r="G52" s="109" t="s">
        <v>6</v>
      </c>
      <c r="H52" s="402">
        <v>1.41E-2</v>
      </c>
      <c r="I52" s="101">
        <f>ROUND(F52*H52,2)</f>
        <v>95682.97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402411.37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21.5</v>
      </c>
      <c r="D57" s="143">
        <v>0</v>
      </c>
      <c r="E57" s="116">
        <f t="shared" ref="E57:E65" si="10">IF(D$66=0,C57*2,C57+D57)</f>
        <v>43</v>
      </c>
      <c r="F57" s="444" t="s">
        <v>435</v>
      </c>
      <c r="G57" s="444">
        <v>251</v>
      </c>
      <c r="H57" s="458">
        <f>'1461'!H57</f>
        <v>1047</v>
      </c>
      <c r="I57" s="101">
        <f>ROUND(E57*H57,2)</f>
        <v>45021</v>
      </c>
      <c r="N57" s="572" t="s">
        <v>443</v>
      </c>
      <c r="O57" s="572"/>
      <c r="P57" s="575"/>
      <c r="Q57" s="575"/>
      <c r="R57" s="450" t="s">
        <v>435</v>
      </c>
      <c r="S57" s="450">
        <v>251</v>
      </c>
      <c r="T57" s="461">
        <f>H57</f>
        <v>1047</v>
      </c>
      <c r="U57" s="475">
        <f>ROUND(P57*T57,2)</f>
        <v>0</v>
      </c>
      <c r="V57" s="425"/>
    </row>
    <row r="58" spans="1:22" x14ac:dyDescent="0.25">
      <c r="A58" s="550"/>
      <c r="B58" s="550"/>
      <c r="C58" s="143">
        <v>2.5</v>
      </c>
      <c r="D58" s="143">
        <v>0</v>
      </c>
      <c r="E58" s="116">
        <f t="shared" si="10"/>
        <v>5</v>
      </c>
      <c r="F58" s="444" t="s">
        <v>435</v>
      </c>
      <c r="G58" s="444">
        <v>252</v>
      </c>
      <c r="H58" s="458">
        <f>'1461'!H58</f>
        <v>3380</v>
      </c>
      <c r="I58" s="101">
        <f t="shared" ref="I58:I65" si="11">ROUND(E58*H58,2)</f>
        <v>16900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0.5</v>
      </c>
      <c r="D59" s="143">
        <v>0</v>
      </c>
      <c r="E59" s="116">
        <f t="shared" si="10"/>
        <v>1</v>
      </c>
      <c r="F59" s="444" t="s">
        <v>435</v>
      </c>
      <c r="G59" s="444">
        <v>253</v>
      </c>
      <c r="H59" s="458">
        <f>'1461'!H59</f>
        <v>6896</v>
      </c>
      <c r="I59" s="101">
        <f t="shared" si="11"/>
        <v>6896</v>
      </c>
      <c r="N59" s="573"/>
      <c r="O59" s="573"/>
      <c r="P59" s="576"/>
      <c r="Q59" s="576"/>
      <c r="R59" s="450" t="s">
        <v>435</v>
      </c>
      <c r="S59" s="450">
        <v>253</v>
      </c>
      <c r="T59" s="461">
        <f t="shared" si="12"/>
        <v>6896</v>
      </c>
      <c r="U59" s="475">
        <f t="shared" si="13"/>
        <v>0</v>
      </c>
      <c r="V59" s="425"/>
    </row>
    <row r="60" spans="1:22" x14ac:dyDescent="0.25">
      <c r="A60" s="550"/>
      <c r="B60" s="550"/>
      <c r="C60" s="143">
        <v>33.5</v>
      </c>
      <c r="D60" s="143">
        <v>0</v>
      </c>
      <c r="E60" s="116">
        <f t="shared" si="10"/>
        <v>67</v>
      </c>
      <c r="F60" s="445" t="s">
        <v>13</v>
      </c>
      <c r="G60" s="444">
        <v>251</v>
      </c>
      <c r="H60" s="458">
        <f>'1461'!H60</f>
        <v>1173</v>
      </c>
      <c r="I60" s="101">
        <f t="shared" si="11"/>
        <v>78591</v>
      </c>
      <c r="N60" s="573"/>
      <c r="O60" s="573"/>
      <c r="P60" s="576"/>
      <c r="Q60" s="576"/>
      <c r="R60" s="40" t="s">
        <v>13</v>
      </c>
      <c r="S60" s="450">
        <v>251</v>
      </c>
      <c r="T60" s="461">
        <f t="shared" si="12"/>
        <v>1173</v>
      </c>
      <c r="U60" s="475">
        <f t="shared" si="13"/>
        <v>0</v>
      </c>
      <c r="V60" s="425"/>
    </row>
    <row r="61" spans="1:22" x14ac:dyDescent="0.25">
      <c r="A61" s="550"/>
      <c r="B61" s="550"/>
      <c r="C61" s="143">
        <v>4</v>
      </c>
      <c r="D61" s="143">
        <v>0</v>
      </c>
      <c r="E61" s="116">
        <f t="shared" si="10"/>
        <v>8</v>
      </c>
      <c r="F61" s="445" t="s">
        <v>13</v>
      </c>
      <c r="G61" s="444">
        <v>252</v>
      </c>
      <c r="H61" s="458">
        <f>'1461'!H61</f>
        <v>3506</v>
      </c>
      <c r="I61" s="101">
        <f t="shared" si="11"/>
        <v>28048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62</v>
      </c>
      <c r="D66" s="97">
        <f>SUM(D57:D65)</f>
        <v>0</v>
      </c>
      <c r="E66" s="97">
        <f>SUM(E57:E65)</f>
        <v>124</v>
      </c>
      <c r="F66" s="551" t="s">
        <v>444</v>
      </c>
      <c r="G66" s="551"/>
      <c r="H66" s="551"/>
      <c r="I66" s="97">
        <f>SUM(I57:I65)</f>
        <v>175456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1191.5399999999997</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5.8609999999999999E-3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1264.4205999999999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5.5570000000000003E-3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1191.5399999999997</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6.3749999999999996E-3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1191.5399999999997</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5.8669999999999998E-3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1191.5399999999997</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6.3829999999999998E-3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5.8669999999999998E-3</v>
      </c>
      <c r="I85" s="101">
        <f>ROUND(F85*H85,2)</f>
        <v>262052.7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5.8609999999999999E-3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6.3829999999999998E-3</v>
      </c>
      <c r="I90" s="101">
        <f>ROUND(F90*H90,2)</f>
        <v>103194.29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6.3749999999999996E-3</v>
      </c>
      <c r="I92" s="101">
        <f t="shared" ref="I92:I96" si="14">ROUND(F92*H92,2)</f>
        <v>64005.63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5.5570000000000003E-3</v>
      </c>
      <c r="I94" s="101">
        <f t="shared" si="14"/>
        <v>1328110.07</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5.5570000000000003E-3</v>
      </c>
      <c r="I96" s="101">
        <f t="shared" si="14"/>
        <v>-8891.4599999999991</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600.11159999999995</v>
      </c>
      <c r="D101" s="557"/>
      <c r="E101" s="46">
        <f>H8</f>
        <v>1.0442</v>
      </c>
      <c r="F101" s="304">
        <f>'1461'!F101</f>
        <v>947.59</v>
      </c>
      <c r="G101" s="39" t="s">
        <v>12</v>
      </c>
      <c r="H101" s="101">
        <f>ROUND(C101*E101*F101,2)</f>
        <v>593794.51</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664.30899999999997</v>
      </c>
      <c r="D102" s="557"/>
      <c r="E102" s="46">
        <f>H8</f>
        <v>1.0442</v>
      </c>
      <c r="F102" s="304">
        <f>'1461'!F102</f>
        <v>904.74</v>
      </c>
      <c r="G102" s="39" t="s">
        <v>12</v>
      </c>
      <c r="H102" s="101">
        <f>ROUND(C102*E102*F102,2)</f>
        <v>627592.31000000006</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1264.4205999999999</v>
      </c>
      <c r="D104" s="547"/>
      <c r="E104" s="123"/>
      <c r="F104" s="123"/>
      <c r="G104" s="123"/>
      <c r="H104" s="124" t="s">
        <v>100</v>
      </c>
      <c r="I104" s="101">
        <f>IF(A1=75,0,H103+H102+H101)</f>
        <v>1221386.82</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186</v>
      </c>
      <c r="D110" s="143">
        <v>0</v>
      </c>
      <c r="E110" s="116">
        <f>C110</f>
        <v>186</v>
      </c>
      <c r="F110" s="126" t="s">
        <v>30</v>
      </c>
      <c r="G110" s="305">
        <f>'1461'!G110</f>
        <v>565</v>
      </c>
      <c r="I110" s="101">
        <f>ROUND(G110*E110,2)</f>
        <v>105090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10036430.619999999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9634019.25</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9634019.25</v>
      </c>
      <c r="I132" s="94">
        <f>ROUND(IF(E30=0,0,IF(E30&gt;250,-(((250/E30)*H132)*IF(G132="H",0.02,0.05)),IF(G132="H",-0.02*H132,-0.05*H132))),2)</f>
        <v>-101066.89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9935363.7299999986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-1840105.11-898085-898085-898085-898085-751005.65</f>
        <v>-6183450.7600000007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3751912.9699999979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750382.59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380634.07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18"/>
  <sheetViews>
    <sheetView topLeftCell="A30" workbookViewId="0">
      <selection activeCell="D63" sqref="D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308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J11" s="256"/>
      <c r="K11" s="255"/>
      <c r="L11" s="255"/>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J12" s="254"/>
      <c r="K12" s="255"/>
      <c r="L12" s="255"/>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K13" s="255"/>
      <c r="L13" s="255"/>
      <c r="N13" s="615" t="s">
        <v>36</v>
      </c>
      <c r="O13" s="615"/>
      <c r="P13" s="616" t="s">
        <v>37</v>
      </c>
      <c r="Q13" s="616"/>
      <c r="R13" s="617" t="s">
        <v>38</v>
      </c>
      <c r="S13" s="617"/>
      <c r="T13" s="22" t="s">
        <v>39</v>
      </c>
      <c r="U13" s="23" t="s">
        <v>40</v>
      </c>
    </row>
    <row r="14" spans="1:21" x14ac:dyDescent="0.25">
      <c r="A14" s="537" t="s">
        <v>20</v>
      </c>
      <c r="B14" s="537"/>
      <c r="C14" s="143">
        <v>41.82</v>
      </c>
      <c r="D14" s="141">
        <v>0</v>
      </c>
      <c r="E14" s="187">
        <f>IF(D$30=0,C14*2,C14+D14)</f>
        <v>83.64</v>
      </c>
      <c r="F14" s="628">
        <f>'1461'!F14:G14</f>
        <v>1.1220000000000001</v>
      </c>
      <c r="G14" s="628"/>
      <c r="H14" s="145">
        <f>ROUND(E14*F14,4)</f>
        <v>93.844099999999997</v>
      </c>
      <c r="I14" s="111">
        <f>ROUND(ROUND(ROUND(H14*$C$8,4)*($H$8),2)*(MAX($H$9,1)),2)</f>
        <v>503652.47</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1.5</v>
      </c>
      <c r="D15" s="143">
        <v>0</v>
      </c>
      <c r="E15" s="116">
        <f t="shared" ref="E15:E29" si="1">IF(D$30=0,C15*2,C15+D15)</f>
        <v>3</v>
      </c>
      <c r="F15" s="624">
        <f>'1461'!F15:G15</f>
        <v>1.1220000000000001</v>
      </c>
      <c r="G15" s="624"/>
      <c r="H15" s="80">
        <f t="shared" ref="H15:H29" si="2">ROUND(E15*F15,4)</f>
        <v>3.3660000000000001</v>
      </c>
      <c r="I15" s="101">
        <f t="shared" ref="I15:I29" si="3">ROUND(ROUND(ROUND(H15*$C$8,4)*($H$8),2)*(MAX($H$9,1)),2)</f>
        <v>18065.009999999998</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24.93</v>
      </c>
      <c r="D16" s="143">
        <v>0</v>
      </c>
      <c r="E16" s="116">
        <f t="shared" si="1"/>
        <v>49.86</v>
      </c>
      <c r="F16" s="624">
        <f>'1461'!F16:G16</f>
        <v>1</v>
      </c>
      <c r="G16" s="624"/>
      <c r="H16" s="80">
        <f t="shared" si="2"/>
        <v>49.86</v>
      </c>
      <c r="I16" s="101">
        <f t="shared" si="3"/>
        <v>267593.94</v>
      </c>
      <c r="N16" s="564" t="s">
        <v>22</v>
      </c>
      <c r="O16" s="564"/>
      <c r="P16" s="603">
        <f t="shared" si="0"/>
        <v>0</v>
      </c>
      <c r="Q16" s="603"/>
      <c r="R16" s="608">
        <v>1</v>
      </c>
      <c r="S16" s="608"/>
      <c r="T16" s="95">
        <f t="shared" si="4"/>
        <v>0</v>
      </c>
      <c r="U16" s="474">
        <f t="shared" si="5"/>
        <v>0</v>
      </c>
    </row>
    <row r="17" spans="1:21" x14ac:dyDescent="0.25">
      <c r="A17" s="539" t="s">
        <v>23</v>
      </c>
      <c r="B17" s="539"/>
      <c r="C17" s="143">
        <v>2.5</v>
      </c>
      <c r="D17" s="143">
        <v>0</v>
      </c>
      <c r="E17" s="116">
        <f t="shared" si="1"/>
        <v>5</v>
      </c>
      <c r="F17" s="624">
        <f>'1461'!F17:G17</f>
        <v>1</v>
      </c>
      <c r="G17" s="624"/>
      <c r="H17" s="80">
        <f t="shared" si="2"/>
        <v>5</v>
      </c>
      <c r="I17" s="101">
        <f t="shared" si="3"/>
        <v>26834.53</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56.18</v>
      </c>
      <c r="D26" s="143">
        <v>0</v>
      </c>
      <c r="E26" s="116">
        <f t="shared" si="1"/>
        <v>112.36</v>
      </c>
      <c r="F26" s="624">
        <f>'1461'!F26:G26</f>
        <v>1.208</v>
      </c>
      <c r="G26" s="624"/>
      <c r="H26" s="80">
        <f t="shared" si="2"/>
        <v>135.73089999999999</v>
      </c>
      <c r="I26" s="101">
        <f t="shared" si="3"/>
        <v>728454.99</v>
      </c>
      <c r="N26" s="564" t="s">
        <v>85</v>
      </c>
      <c r="O26" s="564"/>
      <c r="P26" s="603">
        <f t="shared" si="0"/>
        <v>0</v>
      </c>
      <c r="Q26" s="603"/>
      <c r="R26" s="608">
        <v>1</v>
      </c>
      <c r="S26" s="608"/>
      <c r="T26" s="95">
        <f t="shared" si="4"/>
        <v>0</v>
      </c>
      <c r="U26" s="474">
        <f t="shared" si="5"/>
        <v>0</v>
      </c>
    </row>
    <row r="27" spans="1:21" x14ac:dyDescent="0.25">
      <c r="A27" s="539" t="s">
        <v>86</v>
      </c>
      <c r="B27" s="539"/>
      <c r="C27" s="143">
        <v>26.69</v>
      </c>
      <c r="D27" s="143">
        <v>0</v>
      </c>
      <c r="E27" s="116">
        <f t="shared" si="1"/>
        <v>53.38</v>
      </c>
      <c r="F27" s="624">
        <f>'1461'!F27:G27</f>
        <v>1.208</v>
      </c>
      <c r="G27" s="624"/>
      <c r="H27" s="80">
        <f t="shared" si="2"/>
        <v>64.483000000000004</v>
      </c>
      <c r="I27" s="101">
        <f t="shared" si="3"/>
        <v>346074.2</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153.62</v>
      </c>
      <c r="D30" s="94">
        <f>SUM(D14:D29)+0</f>
        <v>0</v>
      </c>
      <c r="E30" s="94">
        <f>SUM(E14:E29)</f>
        <v>307.24</v>
      </c>
      <c r="F30" s="543"/>
      <c r="G30" s="543"/>
      <c r="H30" s="99">
        <f>SUM(H14:H29)</f>
        <v>352.28399999999999</v>
      </c>
      <c r="I30" s="94">
        <f>SUM(I14:I29)</f>
        <v>1890675.14</v>
      </c>
      <c r="K30" s="237">
        <f>I30-J30</f>
        <v>1890675.14</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352.28399999999999</v>
      </c>
      <c r="F46" s="34"/>
      <c r="G46" s="106"/>
      <c r="H46" s="107" t="s">
        <v>98</v>
      </c>
      <c r="I46" s="94">
        <f>SUM(I44,I30)</f>
        <v>1890675.14</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1890675.14</v>
      </c>
      <c r="G51" s="109" t="s">
        <v>6</v>
      </c>
      <c r="H51" s="402">
        <v>4.5199999999999997E-2</v>
      </c>
      <c r="I51" s="101">
        <f>ROUND(F51*H51,2)</f>
        <v>85458.52</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1890675.14</v>
      </c>
      <c r="G52" s="109" t="s">
        <v>6</v>
      </c>
      <c r="H52" s="402">
        <v>1.41E-2</v>
      </c>
      <c r="I52" s="101">
        <f>ROUND(F52*H52,2)</f>
        <v>26658.52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112117.04000000001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1.5</v>
      </c>
      <c r="D57" s="143">
        <v>0</v>
      </c>
      <c r="E57" s="116">
        <f t="shared" ref="E57:E65" si="10">IF(D$66=0,C57*2,C57+D57)</f>
        <v>3</v>
      </c>
      <c r="F57" s="444" t="s">
        <v>435</v>
      </c>
      <c r="G57" s="444">
        <v>251</v>
      </c>
      <c r="H57" s="458">
        <f>'1461'!H57</f>
        <v>1047</v>
      </c>
      <c r="I57" s="101">
        <f>ROUND(E57*H57,2)</f>
        <v>3141</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2.5</v>
      </c>
      <c r="D60" s="143">
        <v>0</v>
      </c>
      <c r="E60" s="116">
        <f t="shared" si="10"/>
        <v>5</v>
      </c>
      <c r="F60" s="445" t="s">
        <v>13</v>
      </c>
      <c r="G60" s="444">
        <v>251</v>
      </c>
      <c r="H60" s="458">
        <f>'1461'!H60</f>
        <v>1173</v>
      </c>
      <c r="I60" s="101">
        <f t="shared" si="11"/>
        <v>5865</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4</v>
      </c>
      <c r="D66" s="97">
        <f>SUM(D57:D65)</f>
        <v>0</v>
      </c>
      <c r="E66" s="97">
        <f>SUM(E57:E65)</f>
        <v>8</v>
      </c>
      <c r="F66" s="551" t="s">
        <v>444</v>
      </c>
      <c r="G66" s="551"/>
      <c r="H66" s="551"/>
      <c r="I66" s="97">
        <f>SUM(I57:I65)</f>
        <v>9006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307.24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1.511E-3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352.28399999999999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1.5479999999999999E-3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307.24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1.6440000000000001E-3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307.24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1.513E-3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307.24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1.6459999999999999E-3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1.513E-3</v>
      </c>
      <c r="I85" s="101">
        <f>ROUND(F85*H85,2)</f>
        <v>67578.960000000006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1.511E-3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1.6459999999999999E-3</v>
      </c>
      <c r="I90" s="101">
        <f>ROUND(F90*H90,2)</f>
        <v>26610.97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1.6440000000000001E-3</v>
      </c>
      <c r="I92" s="101">
        <f t="shared" ref="I92:I96" si="14">ROUND(F92*H92,2)</f>
        <v>16505.919999999998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1.5479999999999999E-3</v>
      </c>
      <c r="I94" s="101">
        <f t="shared" si="14"/>
        <v>369968.4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1.5479999999999999E-3</v>
      </c>
      <c r="I96" s="101">
        <f t="shared" si="14"/>
        <v>-2476.87</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232.94099999999997</v>
      </c>
      <c r="D101" s="557"/>
      <c r="E101" s="46">
        <f>H8</f>
        <v>1.0442</v>
      </c>
      <c r="F101" s="304">
        <f>'1461'!F101</f>
        <v>947.59</v>
      </c>
      <c r="G101" s="39" t="s">
        <v>12</v>
      </c>
      <c r="H101" s="101">
        <f>ROUND(C101*E101*F101,2)</f>
        <v>230488.94</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119.343</v>
      </c>
      <c r="D102" s="557"/>
      <c r="E102" s="46">
        <f>H8</f>
        <v>1.0442</v>
      </c>
      <c r="F102" s="304">
        <f>'1461'!F102</f>
        <v>904.74</v>
      </c>
      <c r="G102" s="39" t="s">
        <v>12</v>
      </c>
      <c r="H102" s="101">
        <f>ROUND(C102*E102*F102,2)</f>
        <v>112746.85</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352.28399999999999</v>
      </c>
      <c r="D104" s="547"/>
      <c r="E104" s="123"/>
      <c r="F104" s="123"/>
      <c r="G104" s="123"/>
      <c r="H104" s="124" t="s">
        <v>100</v>
      </c>
      <c r="I104" s="101">
        <f>IF(A1=75,0,H103+H102+H101)</f>
        <v>343235.79000000004</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v>
      </c>
      <c r="D110" s="143">
        <v>0</v>
      </c>
      <c r="E110" s="116">
        <f>C110</f>
        <v>2</v>
      </c>
      <c r="F110" s="126" t="s">
        <v>30</v>
      </c>
      <c r="G110" s="305">
        <f>'1461'!G110</f>
        <v>565</v>
      </c>
      <c r="I110" s="101">
        <f>ROUND(G110*E110,2)</f>
        <v>1130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2722234.3099999996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2610117.2699999996</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2610117.2699999996</v>
      </c>
      <c r="I132" s="94">
        <f>ROUND(IF(E30=0,0,IF(E30&gt;250,-(((250/E30)*H132)*IF(G132="H",0.02,0.05)),IF(G132="H",-0.02*H132,-0.05*H132))),2)</f>
        <v>-106192.12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2616042.1899999995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-492894.36-240977.85-240977.85-240977.85-240977.85-193234.7</f>
        <v>-1650040.46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966001.72999999952</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193200.35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24313.74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18"/>
  <sheetViews>
    <sheetView topLeftCell="A9" workbookViewId="0">
      <selection activeCell="C111" sqref="C11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328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J11" s="256"/>
      <c r="K11" s="255"/>
      <c r="L11" s="255"/>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J12" s="254"/>
      <c r="K12" s="255"/>
      <c r="L12" s="255"/>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K13" s="255"/>
      <c r="L13" s="255"/>
      <c r="N13" s="615" t="s">
        <v>36</v>
      </c>
      <c r="O13" s="615"/>
      <c r="P13" s="616" t="s">
        <v>37</v>
      </c>
      <c r="Q13" s="616"/>
      <c r="R13" s="617" t="s">
        <v>38</v>
      </c>
      <c r="S13" s="617"/>
      <c r="T13" s="22" t="s">
        <v>39</v>
      </c>
      <c r="U13" s="23" t="s">
        <v>40</v>
      </c>
    </row>
    <row r="14" spans="1:21" x14ac:dyDescent="0.25">
      <c r="A14" s="537" t="s">
        <v>20</v>
      </c>
      <c r="B14" s="537"/>
      <c r="C14" s="143">
        <v>86.26</v>
      </c>
      <c r="D14" s="141">
        <v>0</v>
      </c>
      <c r="E14" s="187">
        <f>IF(D$30=0,C14*2,C14+D14)</f>
        <v>172.52</v>
      </c>
      <c r="F14" s="628">
        <f>'1461'!F14:G14</f>
        <v>1.1220000000000001</v>
      </c>
      <c r="G14" s="628"/>
      <c r="H14" s="145">
        <f>ROUND(E14*F14,4)</f>
        <v>193.56739999999999</v>
      </c>
      <c r="I14" s="111">
        <f>ROUND(ROUND(ROUND(H14*$C$8,4)*($H$8),2)*(MAX($H$9,1)),2)</f>
        <v>1038858.05</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9.5</v>
      </c>
      <c r="D15" s="143">
        <v>0</v>
      </c>
      <c r="E15" s="116">
        <f t="shared" ref="E15:E29" si="1">IF(D$30=0,C15*2,C15+D15)</f>
        <v>19</v>
      </c>
      <c r="F15" s="624">
        <f>'1461'!F15:G15</f>
        <v>1.1220000000000001</v>
      </c>
      <c r="G15" s="624"/>
      <c r="H15" s="80">
        <f t="shared" ref="H15:H29" si="2">ROUND(E15*F15,4)</f>
        <v>21.318000000000001</v>
      </c>
      <c r="I15" s="101">
        <f t="shared" ref="I15:I29" si="3">ROUND(ROUND(ROUND(H15*$C$8,4)*($H$8),2)*(MAX($H$9,1)),2)</f>
        <v>114411.7</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107.81</v>
      </c>
      <c r="D16" s="143">
        <v>0</v>
      </c>
      <c r="E16" s="116">
        <f t="shared" si="1"/>
        <v>215.62</v>
      </c>
      <c r="F16" s="624">
        <f>'1461'!F16:G16</f>
        <v>1</v>
      </c>
      <c r="G16" s="624"/>
      <c r="H16" s="80">
        <f t="shared" si="2"/>
        <v>215.62</v>
      </c>
      <c r="I16" s="101">
        <f t="shared" si="3"/>
        <v>1157212.29</v>
      </c>
      <c r="N16" s="564" t="s">
        <v>22</v>
      </c>
      <c r="O16" s="564"/>
      <c r="P16" s="603">
        <f t="shared" si="0"/>
        <v>0</v>
      </c>
      <c r="Q16" s="603"/>
      <c r="R16" s="608">
        <v>1</v>
      </c>
      <c r="S16" s="608"/>
      <c r="T16" s="95">
        <f t="shared" si="4"/>
        <v>0</v>
      </c>
      <c r="U16" s="474">
        <f t="shared" si="5"/>
        <v>0</v>
      </c>
    </row>
    <row r="17" spans="1:21" x14ac:dyDescent="0.25">
      <c r="A17" s="539" t="s">
        <v>23</v>
      </c>
      <c r="B17" s="539"/>
      <c r="C17" s="143">
        <v>23</v>
      </c>
      <c r="D17" s="143">
        <v>0</v>
      </c>
      <c r="E17" s="116">
        <f t="shared" si="1"/>
        <v>46</v>
      </c>
      <c r="F17" s="624">
        <f>'1461'!F17:G17</f>
        <v>1</v>
      </c>
      <c r="G17" s="624"/>
      <c r="H17" s="80">
        <f t="shared" si="2"/>
        <v>46</v>
      </c>
      <c r="I17" s="101">
        <f t="shared" si="3"/>
        <v>246877.68</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28.34</v>
      </c>
      <c r="D26" s="143">
        <v>0</v>
      </c>
      <c r="E26" s="116">
        <f t="shared" si="1"/>
        <v>56.68</v>
      </c>
      <c r="F26" s="624">
        <f>'1461'!F26:G26</f>
        <v>1.208</v>
      </c>
      <c r="G26" s="624"/>
      <c r="H26" s="80">
        <f t="shared" si="2"/>
        <v>68.469399999999993</v>
      </c>
      <c r="I26" s="101">
        <f t="shared" si="3"/>
        <v>367468.84</v>
      </c>
      <c r="N26" s="564" t="s">
        <v>85</v>
      </c>
      <c r="O26" s="564"/>
      <c r="P26" s="603">
        <f t="shared" si="0"/>
        <v>0</v>
      </c>
      <c r="Q26" s="603"/>
      <c r="R26" s="608">
        <v>1</v>
      </c>
      <c r="S26" s="608"/>
      <c r="T26" s="95">
        <f t="shared" si="4"/>
        <v>0</v>
      </c>
      <c r="U26" s="474">
        <f t="shared" si="5"/>
        <v>0</v>
      </c>
    </row>
    <row r="27" spans="1:21" x14ac:dyDescent="0.25">
      <c r="A27" s="539" t="s">
        <v>86</v>
      </c>
      <c r="B27" s="539"/>
      <c r="C27" s="143">
        <v>15.19</v>
      </c>
      <c r="D27" s="143">
        <v>0</v>
      </c>
      <c r="E27" s="116">
        <f t="shared" si="1"/>
        <v>30.38</v>
      </c>
      <c r="F27" s="624">
        <f>'1461'!F27:G27</f>
        <v>1.208</v>
      </c>
      <c r="G27" s="624"/>
      <c r="H27" s="80">
        <f t="shared" si="2"/>
        <v>36.698999999999998</v>
      </c>
      <c r="I27" s="101">
        <f t="shared" si="3"/>
        <v>196960.09</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270.10000000000002</v>
      </c>
      <c r="D30" s="94">
        <f>SUM(D14:D29)</f>
        <v>0</v>
      </c>
      <c r="E30" s="94">
        <f>SUM(E14:E29)</f>
        <v>540.20000000000005</v>
      </c>
      <c r="F30" s="543"/>
      <c r="G30" s="543"/>
      <c r="H30" s="99">
        <f>SUM(H14:H29)</f>
        <v>581.67379999999991</v>
      </c>
      <c r="I30" s="94">
        <f>SUM(I14:I29)</f>
        <v>3121788.65</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581.67379999999991</v>
      </c>
      <c r="F46" s="34"/>
      <c r="G46" s="106"/>
      <c r="H46" s="107" t="s">
        <v>98</v>
      </c>
      <c r="I46" s="94">
        <f>SUM(I44,I30)</f>
        <v>3121788.65</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3121788.65</v>
      </c>
      <c r="G51" s="109" t="s">
        <v>6</v>
      </c>
      <c r="H51" s="402">
        <v>4.5199999999999997E-2</v>
      </c>
      <c r="I51" s="101">
        <f>ROUND(F51*H51,2)</f>
        <v>141104.85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3121788.65</v>
      </c>
      <c r="G52" s="109" t="s">
        <v>6</v>
      </c>
      <c r="H52" s="402">
        <v>1.41E-2</v>
      </c>
      <c r="I52" s="101">
        <f>ROUND(F52*H52,2)</f>
        <v>44017.22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185122.07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9</v>
      </c>
      <c r="D57" s="143">
        <v>0</v>
      </c>
      <c r="E57" s="116">
        <f t="shared" ref="E57:E65" si="10">IF(D$66=0,C57*2,C57+D57)</f>
        <v>18</v>
      </c>
      <c r="F57" s="444" t="s">
        <v>435</v>
      </c>
      <c r="G57" s="444">
        <v>251</v>
      </c>
      <c r="H57" s="458">
        <f>'1461'!H57</f>
        <v>1047</v>
      </c>
      <c r="I57" s="101">
        <f>ROUND(E57*H57,2)</f>
        <v>18846</v>
      </c>
      <c r="N57" s="572" t="s">
        <v>443</v>
      </c>
      <c r="O57" s="572"/>
      <c r="P57" s="575"/>
      <c r="Q57" s="575"/>
      <c r="R57" s="450" t="s">
        <v>435</v>
      </c>
      <c r="S57" s="450">
        <v>251</v>
      </c>
      <c r="T57" s="461">
        <f>H57</f>
        <v>1047</v>
      </c>
      <c r="U57" s="475">
        <f>ROUND(P57*T57,2)</f>
        <v>0</v>
      </c>
      <c r="V57" s="425"/>
    </row>
    <row r="58" spans="1:22" x14ac:dyDescent="0.25">
      <c r="A58" s="550"/>
      <c r="B58" s="550"/>
      <c r="C58" s="143">
        <v>0.5</v>
      </c>
      <c r="D58" s="143">
        <v>0</v>
      </c>
      <c r="E58" s="116">
        <f t="shared" si="10"/>
        <v>1</v>
      </c>
      <c r="F58" s="444" t="s">
        <v>435</v>
      </c>
      <c r="G58" s="444">
        <v>252</v>
      </c>
      <c r="H58" s="458">
        <f>'1461'!H58</f>
        <v>3380</v>
      </c>
      <c r="I58" s="101">
        <f t="shared" ref="I58:I65" si="11">ROUND(E58*H58,2)</f>
        <v>3380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21</v>
      </c>
      <c r="D60" s="143">
        <v>0</v>
      </c>
      <c r="E60" s="116">
        <f t="shared" si="10"/>
        <v>42</v>
      </c>
      <c r="F60" s="445" t="s">
        <v>13</v>
      </c>
      <c r="G60" s="444">
        <v>251</v>
      </c>
      <c r="H60" s="458">
        <f>'1461'!H60</f>
        <v>1173</v>
      </c>
      <c r="I60" s="101">
        <f t="shared" si="11"/>
        <v>49266</v>
      </c>
      <c r="N60" s="573"/>
      <c r="O60" s="573"/>
      <c r="P60" s="576"/>
      <c r="Q60" s="576"/>
      <c r="R60" s="40" t="s">
        <v>13</v>
      </c>
      <c r="S60" s="450">
        <v>251</v>
      </c>
      <c r="T60" s="461">
        <f t="shared" si="12"/>
        <v>1173</v>
      </c>
      <c r="U60" s="475">
        <f t="shared" si="13"/>
        <v>0</v>
      </c>
      <c r="V60" s="425"/>
    </row>
    <row r="61" spans="1:22" x14ac:dyDescent="0.25">
      <c r="A61" s="550"/>
      <c r="B61" s="550"/>
      <c r="C61" s="143">
        <v>2</v>
      </c>
      <c r="D61" s="143">
        <v>0</v>
      </c>
      <c r="E61" s="116">
        <f t="shared" si="10"/>
        <v>4</v>
      </c>
      <c r="F61" s="445" t="s">
        <v>13</v>
      </c>
      <c r="G61" s="444">
        <v>252</v>
      </c>
      <c r="H61" s="458">
        <f>'1461'!H61</f>
        <v>3506</v>
      </c>
      <c r="I61" s="101">
        <f t="shared" si="11"/>
        <v>14024</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32.5</v>
      </c>
      <c r="D66" s="97">
        <f>SUM(D57:D65)</f>
        <v>0</v>
      </c>
      <c r="E66" s="97">
        <f>SUM(E57:E65)</f>
        <v>65</v>
      </c>
      <c r="F66" s="551" t="s">
        <v>444</v>
      </c>
      <c r="G66" s="551"/>
      <c r="H66" s="551"/>
      <c r="I66" s="97">
        <f>SUM(I57:I65)</f>
        <v>85516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540.20000000000005</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2.6570000000000001E-3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581.67379999999991</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2.5560000000000001E-3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540.20000000000005</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2.8900000000000002E-3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540.20000000000005</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2.66E-3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540.20000000000005</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2.8939999999999999E-3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2.66E-3</v>
      </c>
      <c r="I85" s="101">
        <f>ROUND(F85*H85,2)</f>
        <v>118810.33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2.6570000000000001E-3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2.8939999999999999E-3</v>
      </c>
      <c r="I90" s="101">
        <f>ROUND(F90*H90,2)</f>
        <v>46787.45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2.8900000000000002E-3</v>
      </c>
      <c r="I92" s="101">
        <f t="shared" ref="I92:I96" si="14">ROUND(F92*H92,2)</f>
        <v>29015.89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2.5560000000000001E-3</v>
      </c>
      <c r="I94" s="101">
        <f t="shared" si="14"/>
        <v>610878.05000000005</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2.5560000000000001E-3</v>
      </c>
      <c r="I96" s="101">
        <f t="shared" si="14"/>
        <v>-4089.72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283.35480000000001</v>
      </c>
      <c r="D101" s="557"/>
      <c r="E101" s="46">
        <f>H8</f>
        <v>1.0442</v>
      </c>
      <c r="F101" s="304">
        <f>'1461'!F101</f>
        <v>947.59</v>
      </c>
      <c r="G101" s="39" t="s">
        <v>12</v>
      </c>
      <c r="H101" s="101">
        <f>ROUND(C101*E101*F101,2)</f>
        <v>280372.06</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298.31900000000002</v>
      </c>
      <c r="D102" s="557"/>
      <c r="E102" s="46">
        <f>H8</f>
        <v>1.0442</v>
      </c>
      <c r="F102" s="304">
        <f>'1461'!F102</f>
        <v>904.74</v>
      </c>
      <c r="G102" s="39" t="s">
        <v>12</v>
      </c>
      <c r="H102" s="101">
        <f>ROUND(C102*E102*F102,2)</f>
        <v>281830.76</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581.67380000000003</v>
      </c>
      <c r="D104" s="547"/>
      <c r="E104" s="123"/>
      <c r="F104" s="123"/>
      <c r="G104" s="123"/>
      <c r="H104" s="124" t="s">
        <v>100</v>
      </c>
      <c r="I104" s="101">
        <f>IF(A1=75,0,H103+H102+H101)</f>
        <v>562202.82000000007</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v>
      </c>
      <c r="D110" s="143">
        <v>0</v>
      </c>
      <c r="E110" s="116">
        <f>C110</f>
        <v>2</v>
      </c>
      <c r="F110" s="126" t="s">
        <v>30</v>
      </c>
      <c r="G110" s="305">
        <f>'1461'!G110</f>
        <v>565</v>
      </c>
      <c r="I110" s="101">
        <f>ROUND(G110*E110,2)</f>
        <v>1130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4572039.47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4386917.3999999994</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4386917.3999999994</v>
      </c>
      <c r="I132" s="94">
        <f>ROUND(IF(E30=0,0,IF(E30&gt;250,-(((250/E30)*H132)*IF(G132="H",0.02,0.05)),IF(G132="H",-0.02*H132,-0.05*H132))),2)</f>
        <v>-101511.42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4470528.05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-652963.75-318794.64-318794.63-318794.64-318794.63-426107.95</f>
        <v>-2354250.2400000002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2116277.8099999996</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423255.56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117834.45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18"/>
  <sheetViews>
    <sheetView topLeftCell="A12"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133</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34.07</v>
      </c>
      <c r="D16" s="143">
        <v>0</v>
      </c>
      <c r="E16" s="116">
        <f t="shared" si="1"/>
        <v>68.14</v>
      </c>
      <c r="F16" s="624">
        <f>'1461'!F16:G16</f>
        <v>1</v>
      </c>
      <c r="G16" s="624"/>
      <c r="H16" s="80">
        <f t="shared" si="2"/>
        <v>68.14</v>
      </c>
      <c r="I16" s="101">
        <f t="shared" si="3"/>
        <v>365700.98</v>
      </c>
      <c r="N16" s="564" t="s">
        <v>22</v>
      </c>
      <c r="O16" s="564"/>
      <c r="P16" s="603">
        <f t="shared" si="0"/>
        <v>0</v>
      </c>
      <c r="Q16" s="603"/>
      <c r="R16" s="608">
        <v>1</v>
      </c>
      <c r="S16" s="608"/>
      <c r="T16" s="95">
        <f t="shared" si="4"/>
        <v>0</v>
      </c>
      <c r="U16" s="474">
        <f t="shared" si="5"/>
        <v>0</v>
      </c>
    </row>
    <row r="17" spans="1:21" x14ac:dyDescent="0.25">
      <c r="A17" s="539" t="s">
        <v>23</v>
      </c>
      <c r="B17" s="539"/>
      <c r="C17" s="143">
        <v>11</v>
      </c>
      <c r="D17" s="143">
        <v>0</v>
      </c>
      <c r="E17" s="116">
        <f t="shared" si="1"/>
        <v>22</v>
      </c>
      <c r="F17" s="624">
        <f>'1461'!F17:G17</f>
        <v>1</v>
      </c>
      <c r="G17" s="624"/>
      <c r="H17" s="80">
        <f t="shared" si="2"/>
        <v>22</v>
      </c>
      <c r="I17" s="101">
        <f t="shared" si="3"/>
        <v>118071.93</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0.43</v>
      </c>
      <c r="D27" s="143">
        <v>0</v>
      </c>
      <c r="E27" s="116">
        <f t="shared" si="1"/>
        <v>0.86</v>
      </c>
      <c r="F27" s="624">
        <f>'1461'!F27:G27</f>
        <v>1.208</v>
      </c>
      <c r="G27" s="624"/>
      <c r="H27" s="80">
        <f t="shared" si="2"/>
        <v>1.0388999999999999</v>
      </c>
      <c r="I27" s="101">
        <f t="shared" si="3"/>
        <v>5575.68</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45.5</v>
      </c>
      <c r="D30" s="94">
        <f>SUM(D14:D29)</f>
        <v>0</v>
      </c>
      <c r="E30" s="94">
        <f>SUM(E14:E29)</f>
        <v>91</v>
      </c>
      <c r="F30" s="543"/>
      <c r="G30" s="543"/>
      <c r="H30" s="99">
        <f>SUM(H14:H29)</f>
        <v>91.178899999999999</v>
      </c>
      <c r="I30" s="94">
        <f>SUM(I14:I29)</f>
        <v>489348.58999999997</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91.178899999999999</v>
      </c>
      <c r="F46" s="34"/>
      <c r="G46" s="106"/>
      <c r="H46" s="107" t="s">
        <v>98</v>
      </c>
      <c r="I46" s="94">
        <f>SUM(I44,I30)</f>
        <v>489348.58999999997</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489348.58999999997</v>
      </c>
      <c r="G51" s="109" t="s">
        <v>6</v>
      </c>
      <c r="H51" s="402">
        <v>4.5199999999999997E-2</v>
      </c>
      <c r="I51" s="101">
        <f>ROUND(F51*H51,2)</f>
        <v>22118.560000000001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489348.58999999997</v>
      </c>
      <c r="G52" s="109" t="s">
        <v>6</v>
      </c>
      <c r="H52" s="402">
        <v>1.41E-2</v>
      </c>
      <c r="I52" s="101">
        <f>ROUND(F52*H52,2)</f>
        <v>6899.82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29018.38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11</v>
      </c>
      <c r="D60" s="143">
        <v>0</v>
      </c>
      <c r="E60" s="116">
        <f t="shared" si="10"/>
        <v>22</v>
      </c>
      <c r="F60" s="445" t="s">
        <v>13</v>
      </c>
      <c r="G60" s="444">
        <v>251</v>
      </c>
      <c r="H60" s="458">
        <f>'1461'!H60</f>
        <v>1173</v>
      </c>
      <c r="I60" s="101">
        <f t="shared" si="11"/>
        <v>25806</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11</v>
      </c>
      <c r="D66" s="97">
        <f>SUM(D57:D65)</f>
        <v>0</v>
      </c>
      <c r="E66" s="97">
        <f>SUM(E57:E65)</f>
        <v>22</v>
      </c>
      <c r="F66" s="551" t="s">
        <v>444</v>
      </c>
      <c r="G66" s="551"/>
      <c r="H66" s="551"/>
      <c r="I66" s="97">
        <f>SUM(I57:I65)</f>
        <v>25806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91</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4.4799999999999999E-4</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91.178899999999999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4.0099999999999999E-4</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91</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4.8700000000000002E-4</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91</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4.4799999999999999E-4</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91</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4.8700000000000002E-4</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4.4799999999999999E-4</v>
      </c>
      <c r="I85" s="101">
        <f>ROUND(F85*H85,2)</f>
        <v>20010.16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4.4799999999999999E-4</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4.8700000000000002E-4</v>
      </c>
      <c r="I90" s="101">
        <f>ROUND(F90*H90,2)</f>
        <v>7873.35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4.8700000000000002E-4</v>
      </c>
      <c r="I92" s="101">
        <f t="shared" ref="I92:I96" si="14">ROUND(F92*H92,2)</f>
        <v>4889.53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4.0099999999999999E-4</v>
      </c>
      <c r="I94" s="101">
        <f t="shared" si="14"/>
        <v>95838.07</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4.0099999999999999E-4</v>
      </c>
      <c r="I96" s="101">
        <f t="shared" si="14"/>
        <v>-641.62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91.178899999999999</v>
      </c>
      <c r="D102" s="557"/>
      <c r="E102" s="46">
        <f>H8</f>
        <v>1.0442</v>
      </c>
      <c r="F102" s="304">
        <f>'1461'!F102</f>
        <v>904.74</v>
      </c>
      <c r="G102" s="39" t="s">
        <v>12</v>
      </c>
      <c r="H102" s="101">
        <f>ROUND(C102*E102*F102,2)</f>
        <v>86139.4</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91.178899999999999</v>
      </c>
      <c r="D104" s="547"/>
      <c r="E104" s="123"/>
      <c r="F104" s="123"/>
      <c r="G104" s="123"/>
      <c r="H104" s="124" t="s">
        <v>100</v>
      </c>
      <c r="I104" s="101">
        <f>IF(A1=75,0,H103+H102+H101)</f>
        <v>86139.4</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729263.48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700245.1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700245.1</v>
      </c>
      <c r="I132" s="94">
        <f>ROUND(IF(E30=0,0,IF(E30&gt;250,-(((250/E30)*H132)*IF(G132="H",0.02,0.05)),IF(G132="H",-0.02*H132,-0.05*H132))),2)</f>
        <v>-14004.9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715258.58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-108168.41-52698.55-52698.55-52698.55-52698.55-67238.23</f>
        <v>-386200.83999999997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329057.74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65811.55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18"/>
  <sheetViews>
    <sheetView topLeftCell="A9" workbookViewId="0">
      <selection activeCell="F74" sqref="F7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134</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142.62</v>
      </c>
      <c r="D14" s="141">
        <v>0</v>
      </c>
      <c r="E14" s="187">
        <f>IF(D$30=0,C14*2,C14+D14)</f>
        <v>285.24</v>
      </c>
      <c r="F14" s="628">
        <f>'1461'!F14:G14</f>
        <v>1.1220000000000001</v>
      </c>
      <c r="G14" s="628"/>
      <c r="H14" s="145">
        <f>ROUND(E14*F14,4)</f>
        <v>320.03930000000003</v>
      </c>
      <c r="I14" s="111">
        <f>ROUND(ROUND(ROUND(H14*$C$8,4)*($H$8),2)*(MAX($H$9,1)),2)</f>
        <v>1717620.86</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10.5</v>
      </c>
      <c r="D15" s="143">
        <v>0</v>
      </c>
      <c r="E15" s="116">
        <f t="shared" ref="E15:E29" si="1">IF(D$30=0,C15*2,C15+D15)</f>
        <v>21</v>
      </c>
      <c r="F15" s="624">
        <f>'1461'!F15:G15</f>
        <v>1.1220000000000001</v>
      </c>
      <c r="G15" s="624"/>
      <c r="H15" s="80">
        <f t="shared" ref="H15:H29" si="2">ROUND(E15*F15,4)</f>
        <v>23.562000000000001</v>
      </c>
      <c r="I15" s="101">
        <f t="shared" ref="I15:I29" si="3">ROUND(ROUND(ROUND(H15*$C$8,4)*($H$8),2)*(MAX($H$9,1)),2)</f>
        <v>126455.03999999999</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178.85</v>
      </c>
      <c r="D16" s="143">
        <v>0</v>
      </c>
      <c r="E16" s="116">
        <f t="shared" si="1"/>
        <v>357.7</v>
      </c>
      <c r="F16" s="624">
        <f>'1461'!F16:G16</f>
        <v>1</v>
      </c>
      <c r="G16" s="624"/>
      <c r="H16" s="80">
        <f t="shared" si="2"/>
        <v>357.7</v>
      </c>
      <c r="I16" s="101">
        <f t="shared" si="3"/>
        <v>1919742.3</v>
      </c>
      <c r="N16" s="564" t="s">
        <v>22</v>
      </c>
      <c r="O16" s="564"/>
      <c r="P16" s="603">
        <f t="shared" si="0"/>
        <v>0</v>
      </c>
      <c r="Q16" s="603"/>
      <c r="R16" s="608">
        <v>1</v>
      </c>
      <c r="S16" s="608"/>
      <c r="T16" s="95">
        <f t="shared" si="4"/>
        <v>0</v>
      </c>
      <c r="U16" s="474">
        <f t="shared" si="5"/>
        <v>0</v>
      </c>
    </row>
    <row r="17" spans="1:21" x14ac:dyDescent="0.25">
      <c r="A17" s="539" t="s">
        <v>23</v>
      </c>
      <c r="B17" s="539"/>
      <c r="C17" s="143">
        <v>20.5</v>
      </c>
      <c r="D17" s="143">
        <v>0</v>
      </c>
      <c r="E17" s="116">
        <f t="shared" si="1"/>
        <v>41</v>
      </c>
      <c r="F17" s="624">
        <f>'1461'!F17:G17</f>
        <v>1</v>
      </c>
      <c r="G17" s="624"/>
      <c r="H17" s="80">
        <f t="shared" si="2"/>
        <v>41</v>
      </c>
      <c r="I17" s="101">
        <f t="shared" si="3"/>
        <v>220043.15</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22.88</v>
      </c>
      <c r="D26" s="143">
        <v>0</v>
      </c>
      <c r="E26" s="116">
        <f t="shared" si="1"/>
        <v>45.76</v>
      </c>
      <c r="F26" s="624">
        <f>'1461'!F26:G26</f>
        <v>1.208</v>
      </c>
      <c r="G26" s="624"/>
      <c r="H26" s="80">
        <f t="shared" si="2"/>
        <v>55.278100000000002</v>
      </c>
      <c r="I26" s="101">
        <f t="shared" si="3"/>
        <v>296672.37</v>
      </c>
      <c r="N26" s="564" t="s">
        <v>85</v>
      </c>
      <c r="O26" s="564"/>
      <c r="P26" s="603">
        <f t="shared" si="0"/>
        <v>0</v>
      </c>
      <c r="Q26" s="603"/>
      <c r="R26" s="608">
        <v>1</v>
      </c>
      <c r="S26" s="608"/>
      <c r="T26" s="95">
        <f t="shared" si="4"/>
        <v>0</v>
      </c>
      <c r="U26" s="474">
        <f t="shared" si="5"/>
        <v>0</v>
      </c>
    </row>
    <row r="27" spans="1:21" x14ac:dyDescent="0.25">
      <c r="A27" s="539" t="s">
        <v>86</v>
      </c>
      <c r="B27" s="539"/>
      <c r="C27" s="143">
        <v>18.82</v>
      </c>
      <c r="D27" s="143">
        <v>0</v>
      </c>
      <c r="E27" s="116">
        <f t="shared" si="1"/>
        <v>37.64</v>
      </c>
      <c r="F27" s="624">
        <f>'1461'!F27:G27</f>
        <v>1.208</v>
      </c>
      <c r="G27" s="624"/>
      <c r="H27" s="80">
        <f t="shared" si="2"/>
        <v>45.469099999999997</v>
      </c>
      <c r="I27" s="101">
        <f t="shared" si="3"/>
        <v>244028.39</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394.17</v>
      </c>
      <c r="D30" s="94">
        <f>SUM(D14:D29)</f>
        <v>0</v>
      </c>
      <c r="E30" s="94">
        <f>SUM(E14:E29)</f>
        <v>788.34</v>
      </c>
      <c r="F30" s="543"/>
      <c r="G30" s="543"/>
      <c r="H30" s="99">
        <f>SUM(H14:H29)</f>
        <v>843.0485000000001</v>
      </c>
      <c r="I30" s="94">
        <f>SUM(I14:I29)</f>
        <v>4524562.1099999994</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843.0485000000001</v>
      </c>
      <c r="F46" s="34"/>
      <c r="G46" s="106"/>
      <c r="H46" s="107" t="s">
        <v>98</v>
      </c>
      <c r="I46" s="94">
        <f>SUM(I44,I30)</f>
        <v>4524562.1099999994</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4524562.1099999994</v>
      </c>
      <c r="G51" s="109" t="s">
        <v>6</v>
      </c>
      <c r="H51" s="402">
        <v>4.5199999999999997E-2</v>
      </c>
      <c r="I51" s="101">
        <f>ROUND(F51*H51,2)</f>
        <v>204510.21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4524562.1099999994</v>
      </c>
      <c r="G52" s="109" t="s">
        <v>6</v>
      </c>
      <c r="H52" s="402">
        <v>1.41E-2</v>
      </c>
      <c r="I52" s="101">
        <f>ROUND(F52*H52,2)</f>
        <v>63796.33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268306.53999999998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7.5</v>
      </c>
      <c r="D57" s="143">
        <v>0</v>
      </c>
      <c r="E57" s="116">
        <f t="shared" ref="E57:E65" si="10">IF(D$66=0,C57*2,C57+D57)</f>
        <v>15</v>
      </c>
      <c r="F57" s="444" t="s">
        <v>435</v>
      </c>
      <c r="G57" s="444">
        <v>251</v>
      </c>
      <c r="H57" s="458">
        <f>'1461'!H57</f>
        <v>1047</v>
      </c>
      <c r="I57" s="101">
        <f>ROUND(E57*H57,2)</f>
        <v>15705</v>
      </c>
      <c r="N57" s="572" t="s">
        <v>443</v>
      </c>
      <c r="O57" s="572"/>
      <c r="P57" s="575"/>
      <c r="Q57" s="575"/>
      <c r="R57" s="450" t="s">
        <v>435</v>
      </c>
      <c r="S57" s="450">
        <v>251</v>
      </c>
      <c r="T57" s="461">
        <f>H57</f>
        <v>1047</v>
      </c>
      <c r="U57" s="475">
        <f>ROUND(P57*T57,2)</f>
        <v>0</v>
      </c>
      <c r="V57" s="425"/>
    </row>
    <row r="58" spans="1:22" x14ac:dyDescent="0.25">
      <c r="A58" s="550"/>
      <c r="B58" s="550"/>
      <c r="C58" s="143">
        <v>2.5</v>
      </c>
      <c r="D58" s="143">
        <v>0</v>
      </c>
      <c r="E58" s="116">
        <f t="shared" si="10"/>
        <v>5</v>
      </c>
      <c r="F58" s="444" t="s">
        <v>435</v>
      </c>
      <c r="G58" s="444">
        <v>252</v>
      </c>
      <c r="H58" s="458">
        <f>'1461'!H58</f>
        <v>3380</v>
      </c>
      <c r="I58" s="101">
        <f t="shared" ref="I58:I65" si="11">ROUND(E58*H58,2)</f>
        <v>16900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0.5</v>
      </c>
      <c r="D59" s="143">
        <v>0</v>
      </c>
      <c r="E59" s="116">
        <f t="shared" si="10"/>
        <v>1</v>
      </c>
      <c r="F59" s="444" t="s">
        <v>435</v>
      </c>
      <c r="G59" s="444">
        <v>253</v>
      </c>
      <c r="H59" s="458">
        <f>'1461'!H59</f>
        <v>6896</v>
      </c>
      <c r="I59" s="101">
        <f t="shared" si="11"/>
        <v>6896</v>
      </c>
      <c r="N59" s="573"/>
      <c r="O59" s="573"/>
      <c r="P59" s="576"/>
      <c r="Q59" s="576"/>
      <c r="R59" s="450" t="s">
        <v>435</v>
      </c>
      <c r="S59" s="450">
        <v>253</v>
      </c>
      <c r="T59" s="461">
        <f t="shared" si="12"/>
        <v>6896</v>
      </c>
      <c r="U59" s="475">
        <f t="shared" si="13"/>
        <v>0</v>
      </c>
      <c r="V59" s="425"/>
    </row>
    <row r="60" spans="1:22" x14ac:dyDescent="0.25">
      <c r="A60" s="550"/>
      <c r="B60" s="550"/>
      <c r="C60" s="143">
        <v>20.5</v>
      </c>
      <c r="D60" s="143">
        <v>0</v>
      </c>
      <c r="E60" s="116">
        <f t="shared" si="10"/>
        <v>41</v>
      </c>
      <c r="F60" s="445" t="s">
        <v>13</v>
      </c>
      <c r="G60" s="444">
        <v>251</v>
      </c>
      <c r="H60" s="458">
        <f>'1461'!H60</f>
        <v>1173</v>
      </c>
      <c r="I60" s="101">
        <f t="shared" si="11"/>
        <v>48093</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31</v>
      </c>
      <c r="D66" s="97">
        <f>SUM(D57:D65)</f>
        <v>0</v>
      </c>
      <c r="E66" s="97">
        <f>SUM(E57:E65)</f>
        <v>62</v>
      </c>
      <c r="F66" s="551" t="s">
        <v>444</v>
      </c>
      <c r="G66" s="551"/>
      <c r="H66" s="551"/>
      <c r="I66" s="97">
        <f>SUM(I57:I65)</f>
        <v>87594</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788.34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3.8779999999999999E-3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843.0485000000001</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3.705E-3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788.34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4.2180000000000004E-3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788.34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3.882E-3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788.34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4.2230000000000002E-3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3.882E-3</v>
      </c>
      <c r="I85" s="101">
        <f>ROUND(F85*H85,2)</f>
        <v>173391.61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3.8779999999999999E-3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4.2230000000000002E-3</v>
      </c>
      <c r="I90" s="101">
        <f>ROUND(F90*H90,2)</f>
        <v>68273.460000000006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4.2180000000000004E-3</v>
      </c>
      <c r="I92" s="101">
        <f t="shared" ref="I92:I96" si="14">ROUND(F92*H92,2)</f>
        <v>42349.14</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3.705E-3</v>
      </c>
      <c r="I94" s="101">
        <f t="shared" si="14"/>
        <v>885486.38</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3.705E-3</v>
      </c>
      <c r="I96" s="101">
        <f t="shared" si="14"/>
        <v>-5928.17</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398.87940000000003</v>
      </c>
      <c r="D101" s="557"/>
      <c r="E101" s="46">
        <f>H8</f>
        <v>1.0442</v>
      </c>
      <c r="F101" s="304">
        <f>'1461'!F101</f>
        <v>947.59</v>
      </c>
      <c r="G101" s="39" t="s">
        <v>12</v>
      </c>
      <c r="H101" s="101">
        <f>ROUND(C101*E101*F101,2)</f>
        <v>394680.59</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444.16909999999996</v>
      </c>
      <c r="D102" s="557"/>
      <c r="E102" s="46">
        <f>H8</f>
        <v>1.0442</v>
      </c>
      <c r="F102" s="304">
        <f>'1461'!F102</f>
        <v>904.74</v>
      </c>
      <c r="G102" s="39" t="s">
        <v>12</v>
      </c>
      <c r="H102" s="101">
        <f>ROUND(C102*E102*F102,2)</f>
        <v>419619.66</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843.04849999999999</v>
      </c>
      <c r="D104" s="547"/>
      <c r="E104" s="123"/>
      <c r="F104" s="123"/>
      <c r="G104" s="123"/>
      <c r="H104" s="124" t="s">
        <v>100</v>
      </c>
      <c r="I104" s="101">
        <f>IF(A1=75,0,H103+H102+H101)</f>
        <v>814300.25</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3</v>
      </c>
      <c r="D110" s="143">
        <v>0</v>
      </c>
      <c r="E110" s="116">
        <f>C110</f>
        <v>3</v>
      </c>
      <c r="F110" s="126" t="s">
        <v>30</v>
      </c>
      <c r="G110" s="305">
        <f>'1461'!G110</f>
        <v>565</v>
      </c>
      <c r="I110" s="101">
        <f>ROUND(G110*E110,2)</f>
        <v>1695</v>
      </c>
      <c r="N110" s="585" t="s">
        <v>52</v>
      </c>
      <c r="O110" s="585"/>
      <c r="P110" s="586">
        <f>IF(H130=1,E110,0)</f>
        <v>0</v>
      </c>
      <c r="Q110" s="586"/>
      <c r="R110" s="586"/>
      <c r="S110" s="83" t="s">
        <v>30</v>
      </c>
      <c r="T110" s="58">
        <f>G110</f>
        <v>565</v>
      </c>
      <c r="U110" s="474">
        <f>ROUND(T110*P110,2)</f>
        <v>0</v>
      </c>
    </row>
    <row r="111" spans="1:21" x14ac:dyDescent="0.25">
      <c r="A111" s="518" t="s">
        <v>377</v>
      </c>
      <c r="B111" s="519"/>
      <c r="C111" s="143">
        <v>1</v>
      </c>
      <c r="D111" s="143">
        <v>0</v>
      </c>
      <c r="E111" s="116">
        <f>C111</f>
        <v>1</v>
      </c>
      <c r="F111" s="126" t="s">
        <v>30</v>
      </c>
      <c r="G111" s="305">
        <f>'1461'!G111</f>
        <v>1762</v>
      </c>
      <c r="I111" s="101">
        <f>ROUND(G111*E111,2)</f>
        <v>1762</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6593485.7799999993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6325179.2399999993</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6325179.2399999993</v>
      </c>
      <c r="I132" s="94">
        <f>ROUND(IF(E30=0,0,IF(E30&gt;250,-(((250/E30)*H132)*IF(G132="H",0.02,0.05)),IF(G132="H",-0.02*H132,-0.05*H132))),2)</f>
        <v>-100292.69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6493193.0899999989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-1121996.92-547614.96-547614.96-547614.96-547614.96-529494.14</f>
        <v>-3841950.9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2651242.189999999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530248.43999999994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215966.27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3"/>
  <sheetViews>
    <sheetView workbookViewId="0">
      <selection activeCell="G154" sqref="G15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254</v>
      </c>
      <c r="B2" s="2"/>
      <c r="C2" s="2"/>
      <c r="D2" s="2"/>
      <c r="E2" s="2"/>
      <c r="F2" s="2"/>
      <c r="G2" s="2"/>
      <c r="H2" s="2"/>
      <c r="I2" s="2"/>
      <c r="N2" s="621" t="s">
        <v>18</v>
      </c>
      <c r="O2" s="621"/>
      <c r="P2" s="621"/>
      <c r="Q2" s="621"/>
      <c r="R2" s="621"/>
      <c r="S2" s="621"/>
      <c r="T2" s="621"/>
      <c r="U2" s="621"/>
    </row>
    <row r="3" spans="1:21" x14ac:dyDescent="0.25">
      <c r="A3" s="254" t="s">
        <v>470</v>
      </c>
      <c r="N3" s="582" t="str">
        <f>A3</f>
        <v>Based on the FLDOE 2023-24 FEFP Second Calculation</v>
      </c>
      <c r="O3" s="582"/>
      <c r="P3" s="582"/>
      <c r="Q3" s="582"/>
      <c r="R3" s="582"/>
      <c r="S3" s="582"/>
      <c r="T3" s="582"/>
      <c r="U3" s="582"/>
    </row>
    <row r="4" spans="1:21" x14ac:dyDescent="0.25">
      <c r="A4" s="529" t="s">
        <v>0</v>
      </c>
      <c r="B4" s="529"/>
      <c r="C4" s="530" t="s">
        <v>9</v>
      </c>
      <c r="D4" s="530"/>
      <c r="E4" s="530"/>
      <c r="F4" s="316" t="s">
        <v>479</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v>5139.7299999999996</v>
      </c>
      <c r="D8" s="86"/>
      <c r="E8" s="87"/>
      <c r="F8" s="84"/>
      <c r="G8" s="85" t="s">
        <v>389</v>
      </c>
      <c r="H8" s="288">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v>1</v>
      </c>
      <c r="I9" s="75"/>
      <c r="N9" s="12"/>
      <c r="O9" s="12"/>
      <c r="P9" s="13"/>
      <c r="Q9" s="13"/>
      <c r="R9" s="385" t="s">
        <v>388</v>
      </c>
      <c r="S9" s="385"/>
      <c r="T9" s="611">
        <f>H9</f>
        <v>1</v>
      </c>
      <c r="U9" s="611"/>
    </row>
    <row r="10" spans="1:21" x14ac:dyDescent="0.25">
      <c r="A10" s="7"/>
      <c r="B10" s="7" t="s">
        <v>304</v>
      </c>
      <c r="C10" s="8" t="s">
        <v>304</v>
      </c>
      <c r="D10" s="8" t="s">
        <v>304</v>
      </c>
      <c r="E10" s="8"/>
      <c r="F10" s="9"/>
      <c r="G10" s="9"/>
      <c r="H10" s="10"/>
      <c r="I10" s="326" t="s">
        <v>386</v>
      </c>
      <c r="N10" s="12"/>
      <c r="O10" s="12"/>
      <c r="P10" s="13"/>
      <c r="Q10" s="13"/>
      <c r="R10" s="14"/>
      <c r="S10" s="14"/>
      <c r="T10" s="15"/>
      <c r="U10" s="367" t="str">
        <f>I10</f>
        <v>2023-24</v>
      </c>
    </row>
    <row r="11" spans="1:21" x14ac:dyDescent="0.25">
      <c r="A11" s="7"/>
      <c r="B11" s="7"/>
      <c r="C11" s="88" t="s">
        <v>478</v>
      </c>
      <c r="D11" s="334" t="s">
        <v>479</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36" t="s">
        <v>1</v>
      </c>
      <c r="B12" s="36"/>
      <c r="C12" s="325" t="s">
        <v>2</v>
      </c>
      <c r="D12" s="325" t="s">
        <v>2</v>
      </c>
      <c r="E12" s="90"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271.22000000000003</v>
      </c>
      <c r="D18" s="143">
        <v>0</v>
      </c>
      <c r="E18" s="116">
        <f>IF(D$30=0,C18*2,C18+D18)</f>
        <v>542.44000000000005</v>
      </c>
      <c r="F18" s="624">
        <v>0.98799999999999999</v>
      </c>
      <c r="G18" s="624"/>
      <c r="H18" s="80">
        <f t="shared" si="2"/>
        <v>535.9307</v>
      </c>
      <c r="I18" s="101">
        <f t="shared" si="3"/>
        <v>2876289.72</v>
      </c>
      <c r="N18" s="564" t="s">
        <v>24</v>
      </c>
      <c r="O18" s="564"/>
      <c r="P18" s="603">
        <f t="shared" si="0"/>
        <v>0</v>
      </c>
      <c r="Q18" s="603"/>
      <c r="R18" s="608">
        <v>1</v>
      </c>
      <c r="S18" s="608"/>
      <c r="T18" s="95">
        <f t="shared" si="4"/>
        <v>0</v>
      </c>
      <c r="U18" s="474">
        <f t="shared" si="5"/>
        <v>0</v>
      </c>
    </row>
    <row r="19" spans="1:21" x14ac:dyDescent="0.25">
      <c r="A19" s="539" t="s">
        <v>25</v>
      </c>
      <c r="B19" s="539"/>
      <c r="C19" s="143">
        <v>37.85</v>
      </c>
      <c r="D19" s="143">
        <v>0</v>
      </c>
      <c r="E19" s="116">
        <f t="shared" si="1"/>
        <v>75.7</v>
      </c>
      <c r="F19" s="624">
        <v>0.98799999999999999</v>
      </c>
      <c r="G19" s="624"/>
      <c r="H19" s="80">
        <f t="shared" si="2"/>
        <v>74.791600000000003</v>
      </c>
      <c r="I19" s="101">
        <f t="shared" si="3"/>
        <v>401399.49</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v>1.208</v>
      </c>
      <c r="G26" s="624"/>
      <c r="H26" s="80">
        <f t="shared" si="2"/>
        <v>0</v>
      </c>
      <c r="I26" s="101">
        <f t="shared" si="3"/>
        <v>0</v>
      </c>
      <c r="L26" s="251"/>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v>1.208</v>
      </c>
      <c r="G27" s="624"/>
      <c r="H27" s="80">
        <f t="shared" si="2"/>
        <v>0</v>
      </c>
      <c r="I27" s="101">
        <f t="shared" si="3"/>
        <v>0</v>
      </c>
      <c r="L27" s="251"/>
      <c r="N27" s="564" t="s">
        <v>86</v>
      </c>
      <c r="O27" s="564"/>
      <c r="P27" s="603">
        <f t="shared" si="0"/>
        <v>0</v>
      </c>
      <c r="Q27" s="603"/>
      <c r="R27" s="608">
        <v>1</v>
      </c>
      <c r="S27" s="608"/>
      <c r="T27" s="95">
        <f t="shared" si="4"/>
        <v>0</v>
      </c>
      <c r="U27" s="474">
        <f t="shared" si="5"/>
        <v>0</v>
      </c>
    </row>
    <row r="28" spans="1:21" x14ac:dyDescent="0.25">
      <c r="A28" s="539" t="s">
        <v>87</v>
      </c>
      <c r="B28" s="539"/>
      <c r="C28" s="143">
        <v>2.9</v>
      </c>
      <c r="D28" s="143">
        <v>0</v>
      </c>
      <c r="E28" s="116">
        <f t="shared" si="1"/>
        <v>5.8</v>
      </c>
      <c r="F28" s="624">
        <v>1.208</v>
      </c>
      <c r="G28" s="624"/>
      <c r="H28" s="80">
        <f t="shared" si="2"/>
        <v>7.0064000000000002</v>
      </c>
      <c r="I28" s="101">
        <f t="shared" si="3"/>
        <v>37602.69</v>
      </c>
      <c r="N28" s="564" t="s">
        <v>87</v>
      </c>
      <c r="O28" s="564"/>
      <c r="P28" s="603">
        <f t="shared" si="0"/>
        <v>0</v>
      </c>
      <c r="Q28" s="603"/>
      <c r="R28" s="608">
        <v>1</v>
      </c>
      <c r="S28" s="608"/>
      <c r="T28" s="95">
        <f t="shared" si="4"/>
        <v>0</v>
      </c>
      <c r="U28" s="474">
        <f t="shared" si="5"/>
        <v>0</v>
      </c>
    </row>
    <row r="29" spans="1:21" x14ac:dyDescent="0.25">
      <c r="A29" s="539" t="s">
        <v>88</v>
      </c>
      <c r="B29" s="539"/>
      <c r="C29" s="110">
        <v>85.51</v>
      </c>
      <c r="D29" s="110">
        <v>0</v>
      </c>
      <c r="E29" s="154">
        <f t="shared" si="1"/>
        <v>171.02</v>
      </c>
      <c r="F29" s="624">
        <v>1.0720000000000001</v>
      </c>
      <c r="G29" s="624"/>
      <c r="H29" s="93">
        <f t="shared" si="2"/>
        <v>183.33340000000001</v>
      </c>
      <c r="I29" s="94">
        <f t="shared" si="3"/>
        <v>983933.14</v>
      </c>
      <c r="N29" s="569" t="s">
        <v>88</v>
      </c>
      <c r="O29" s="569"/>
      <c r="P29" s="603">
        <f t="shared" si="0"/>
        <v>0</v>
      </c>
      <c r="Q29" s="603"/>
      <c r="R29" s="604">
        <v>1</v>
      </c>
      <c r="S29" s="604"/>
      <c r="T29" s="95">
        <f t="shared" si="4"/>
        <v>0</v>
      </c>
      <c r="U29" s="474">
        <f t="shared" si="5"/>
        <v>0</v>
      </c>
    </row>
    <row r="30" spans="1:21" x14ac:dyDescent="0.25">
      <c r="A30" s="551" t="s">
        <v>5</v>
      </c>
      <c r="B30" s="551"/>
      <c r="C30" s="94">
        <f>SUM(C14:C29)</f>
        <v>397.48</v>
      </c>
      <c r="D30" s="94">
        <f>SUM(D14:D29)</f>
        <v>0</v>
      </c>
      <c r="E30" s="94">
        <f>SUM(E14:E29)</f>
        <v>794.96</v>
      </c>
      <c r="F30" s="543"/>
      <c r="G30" s="543"/>
      <c r="H30" s="99">
        <f>SUM(H14:H29)</f>
        <v>801.06209999999999</v>
      </c>
      <c r="I30" s="94">
        <f>SUM(I14:I29)</f>
        <v>4299225.04</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t="15.75" hidden="1" customHeight="1" x14ac:dyDescent="0.25">
      <c r="A35" s="3"/>
      <c r="B35" s="69"/>
      <c r="C35" s="69"/>
      <c r="D35" s="69"/>
      <c r="E35" s="69"/>
      <c r="F35" s="629"/>
      <c r="G35" s="629"/>
      <c r="H35" s="629"/>
      <c r="I35" s="24" t="str">
        <f>I10</f>
        <v>2023-24</v>
      </c>
      <c r="N35" s="582" t="s">
        <v>26</v>
      </c>
      <c r="O35" s="582"/>
      <c r="P35" s="582"/>
      <c r="Q35" s="582"/>
      <c r="R35" s="582"/>
      <c r="S35" s="582"/>
      <c r="T35" s="582"/>
      <c r="U35" s="25" t="str">
        <f>I35</f>
        <v>2023-24</v>
      </c>
    </row>
    <row r="36" spans="1:21" hidden="1" x14ac:dyDescent="0.25">
      <c r="A36" s="26"/>
      <c r="B36" s="26"/>
      <c r="C36" s="88" t="s">
        <v>310</v>
      </c>
      <c r="D36" s="88"/>
      <c r="E36" s="89" t="s">
        <v>8</v>
      </c>
      <c r="F36" s="629"/>
      <c r="G36" s="629"/>
      <c r="H36" s="629"/>
      <c r="I36" s="24" t="s">
        <v>27</v>
      </c>
      <c r="N36" s="28"/>
      <c r="O36" s="28"/>
      <c r="P36" s="29"/>
      <c r="Q36" s="29"/>
      <c r="R36" s="30"/>
      <c r="S36" s="30"/>
      <c r="T36" s="102"/>
      <c r="U36" s="25" t="s">
        <v>27</v>
      </c>
    </row>
    <row r="37" spans="1:21" ht="26.25" hidden="1" x14ac:dyDescent="0.25">
      <c r="A37" s="533" t="s">
        <v>50</v>
      </c>
      <c r="B37" s="533"/>
      <c r="C37" s="325" t="s">
        <v>2</v>
      </c>
      <c r="D37" s="325"/>
      <c r="E37" s="90" t="s">
        <v>2</v>
      </c>
      <c r="F37" s="630"/>
      <c r="G37" s="630"/>
      <c r="H37" s="630"/>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801.06209999999999</v>
      </c>
      <c r="F46" s="34"/>
      <c r="G46" s="106"/>
      <c r="H46" s="107" t="s">
        <v>98</v>
      </c>
      <c r="I46" s="94">
        <f>SUM(I44,I30)</f>
        <v>4299225.04</v>
      </c>
      <c r="N46" s="562" t="s">
        <v>44</v>
      </c>
      <c r="O46" s="562"/>
      <c r="P46" s="562"/>
      <c r="Q46" s="562"/>
      <c r="R46" s="35">
        <f>R44+T30</f>
        <v>0</v>
      </c>
      <c r="S46" s="571" t="s">
        <v>42</v>
      </c>
      <c r="T46" s="571"/>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3" t="s">
        <v>394</v>
      </c>
      <c r="F50" s="393"/>
      <c r="G50" s="394"/>
      <c r="H50" s="394"/>
      <c r="I50" s="395"/>
      <c r="N50" s="413" t="s">
        <v>394</v>
      </c>
      <c r="O50" s="396"/>
      <c r="P50" s="396"/>
      <c r="Q50" s="396"/>
      <c r="R50" s="397"/>
      <c r="S50" s="398"/>
      <c r="T50" s="398"/>
      <c r="U50" s="405"/>
    </row>
    <row r="51" spans="1:22" x14ac:dyDescent="0.25">
      <c r="A51" s="390"/>
      <c r="B51" s="3" t="s">
        <v>395</v>
      </c>
      <c r="C51" s="26"/>
      <c r="D51" s="26"/>
      <c r="E51" s="43" t="s">
        <v>396</v>
      </c>
      <c r="F51" s="401">
        <f>I46</f>
        <v>4299225.04</v>
      </c>
      <c r="G51" s="109" t="s">
        <v>6</v>
      </c>
      <c r="H51" s="402">
        <v>4.5199999999999997E-2</v>
      </c>
      <c r="I51" s="101">
        <f>ROUND(F51*H51,2)</f>
        <v>194324.97</v>
      </c>
      <c r="N51" s="407"/>
      <c r="O51" s="51"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4299225.04</v>
      </c>
      <c r="G52" s="109" t="s">
        <v>6</v>
      </c>
      <c r="H52" s="402">
        <v>1.41E-2</v>
      </c>
      <c r="I52" s="101">
        <f>ROUND(F52*H52,2)</f>
        <v>60619.07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254944.04</v>
      </c>
      <c r="N53" s="28"/>
      <c r="O53" s="384" t="s">
        <v>398</v>
      </c>
      <c r="P53" s="28"/>
      <c r="Q53" s="44"/>
      <c r="R53" s="409"/>
      <c r="S53" s="410"/>
      <c r="T53" s="411"/>
      <c r="U53" s="403">
        <f>SUM(U51:U52)</f>
        <v>0</v>
      </c>
    </row>
    <row r="54" spans="1:22" x14ac:dyDescent="0.25">
      <c r="A54" s="242"/>
      <c r="C54" s="445" t="s">
        <v>442</v>
      </c>
      <c r="D54" s="445" t="s">
        <v>442</v>
      </c>
      <c r="G54" s="42"/>
      <c r="H54" s="114"/>
      <c r="I54" s="114"/>
      <c r="N54" s="462"/>
      <c r="O54" s="51"/>
      <c r="P54" s="40" t="s">
        <v>442</v>
      </c>
      <c r="Q54" s="40" t="s">
        <v>442</v>
      </c>
      <c r="R54" s="51"/>
      <c r="S54" s="51"/>
      <c r="T54" s="463"/>
      <c r="U54" s="464"/>
      <c r="V54" s="114"/>
    </row>
    <row r="55" spans="1:22" x14ac:dyDescent="0.25">
      <c r="A55" s="446"/>
      <c r="B55" s="446"/>
      <c r="C55" s="88" t="s">
        <v>478</v>
      </c>
      <c r="D55" s="334" t="s">
        <v>479</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
        <v>2</v>
      </c>
      <c r="D56" s="325" t="s">
        <v>2</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2" si="10">IF(D$72=0,C57*2,C57+D57)</f>
        <v>0</v>
      </c>
      <c r="F57" s="444" t="s">
        <v>435</v>
      </c>
      <c r="G57" s="444">
        <v>251</v>
      </c>
      <c r="H57" s="458">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34.94</v>
      </c>
      <c r="D63" s="143">
        <v>0</v>
      </c>
      <c r="E63" s="116">
        <f>IF(D$66=0,C63*2,C63+D63)</f>
        <v>69.88</v>
      </c>
      <c r="F63" s="445" t="s">
        <v>14</v>
      </c>
      <c r="G63" s="444">
        <v>251</v>
      </c>
      <c r="H63" s="458">
        <v>835</v>
      </c>
      <c r="I63" s="101">
        <f t="shared" si="11"/>
        <v>58349.8</v>
      </c>
      <c r="N63" s="573"/>
      <c r="O63" s="573"/>
      <c r="P63" s="576"/>
      <c r="Q63" s="576"/>
      <c r="R63" s="40" t="s">
        <v>14</v>
      </c>
      <c r="S63" s="450">
        <v>251</v>
      </c>
      <c r="T63" s="461">
        <f t="shared" si="12"/>
        <v>835</v>
      </c>
      <c r="U63" s="475">
        <f t="shared" si="13"/>
        <v>0</v>
      </c>
      <c r="V63" s="425"/>
    </row>
    <row r="64" spans="1:22" x14ac:dyDescent="0.25">
      <c r="A64" s="550"/>
      <c r="B64" s="550"/>
      <c r="C64" s="143">
        <v>2.41</v>
      </c>
      <c r="D64" s="143">
        <v>0</v>
      </c>
      <c r="E64" s="116">
        <f>IF(D$66=0,C64*2,C64+D64)</f>
        <v>4.82</v>
      </c>
      <c r="F64" s="445" t="s">
        <v>14</v>
      </c>
      <c r="G64" s="444">
        <v>252</v>
      </c>
      <c r="H64" s="458">
        <v>3168</v>
      </c>
      <c r="I64" s="101">
        <f t="shared" si="11"/>
        <v>15269.76</v>
      </c>
      <c r="N64" s="573"/>
      <c r="O64" s="573"/>
      <c r="P64" s="576"/>
      <c r="Q64" s="576"/>
      <c r="R64" s="40" t="s">
        <v>14</v>
      </c>
      <c r="S64" s="450">
        <v>252</v>
      </c>
      <c r="T64" s="461">
        <f t="shared" si="12"/>
        <v>3168</v>
      </c>
      <c r="U64" s="475">
        <f t="shared" si="13"/>
        <v>0</v>
      </c>
      <c r="V64" s="425"/>
    </row>
    <row r="65" spans="1:22" ht="16.5" thickBot="1" x14ac:dyDescent="0.3">
      <c r="A65" s="550"/>
      <c r="B65" s="550"/>
      <c r="C65" s="143">
        <v>0.5</v>
      </c>
      <c r="D65" s="143">
        <v>0</v>
      </c>
      <c r="E65" s="116">
        <f>IF(D$66=0,C65*2,C65+D65)</f>
        <v>1</v>
      </c>
      <c r="F65" s="445" t="s">
        <v>14</v>
      </c>
      <c r="G65" s="444">
        <v>253</v>
      </c>
      <c r="H65" s="458">
        <v>6685</v>
      </c>
      <c r="I65" s="101">
        <f t="shared" si="11"/>
        <v>6685</v>
      </c>
      <c r="N65" s="573"/>
      <c r="O65" s="573"/>
      <c r="P65" s="577"/>
      <c r="Q65" s="577"/>
      <c r="R65" s="40" t="s">
        <v>14</v>
      </c>
      <c r="S65" s="450">
        <v>253</v>
      </c>
      <c r="T65" s="461">
        <f t="shared" si="12"/>
        <v>6685</v>
      </c>
      <c r="U65" s="476">
        <f t="shared" si="13"/>
        <v>0</v>
      </c>
      <c r="V65" s="425"/>
    </row>
    <row r="66" spans="1:22" ht="16.5" thickBot="1" x14ac:dyDescent="0.3">
      <c r="A66" s="242"/>
      <c r="C66" s="97">
        <f>SUM(C57:C65)</f>
        <v>37.849999999999994</v>
      </c>
      <c r="D66" s="97">
        <f>SUM(D57:D65)</f>
        <v>0</v>
      </c>
      <c r="E66" s="97">
        <f>SUM(E57:E65)</f>
        <v>75.699999999999989</v>
      </c>
      <c r="F66" s="551" t="s">
        <v>444</v>
      </c>
      <c r="G66" s="551"/>
      <c r="H66" s="551"/>
      <c r="I66" s="97">
        <f>SUM(I57:I65)</f>
        <v>80304.56</v>
      </c>
      <c r="N66" s="462"/>
      <c r="O66" s="51"/>
      <c r="P66" s="561">
        <f>SUM(P57:P65)</f>
        <v>0</v>
      </c>
      <c r="Q66" s="561"/>
      <c r="R66" s="562" t="s">
        <v>444</v>
      </c>
      <c r="S66" s="562"/>
      <c r="T66" s="562"/>
      <c r="U66" s="477">
        <f>SUM(U57:U65)</f>
        <v>0</v>
      </c>
      <c r="V66" s="425"/>
    </row>
    <row r="67" spans="1:22" x14ac:dyDescent="0.25">
      <c r="A67" s="242"/>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794.96</v>
      </c>
      <c r="D69" s="526" t="s">
        <v>410</v>
      </c>
      <c r="E69" s="526"/>
      <c r="F69" s="526"/>
      <c r="G69" s="526"/>
      <c r="H69" s="289">
        <v>203305.63</v>
      </c>
      <c r="I69" s="113"/>
      <c r="N69" s="566" t="s">
        <v>403</v>
      </c>
      <c r="O69" s="564"/>
      <c r="P69" s="41">
        <f>P30</f>
        <v>0</v>
      </c>
      <c r="Q69" s="567" t="s">
        <v>405</v>
      </c>
      <c r="R69" s="568"/>
      <c r="S69" s="568"/>
      <c r="T69" s="563">
        <f>H69</f>
        <v>203305.63</v>
      </c>
      <c r="U69" s="563"/>
    </row>
    <row r="70" spans="1:22" x14ac:dyDescent="0.25">
      <c r="B70" s="69"/>
      <c r="G70" s="42" t="s">
        <v>12</v>
      </c>
      <c r="H70" s="114">
        <f>ROUND(C69/H69,6)</f>
        <v>3.9100000000000003E-3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801.06209999999999</v>
      </c>
      <c r="D72" s="526" t="s">
        <v>411</v>
      </c>
      <c r="E72" s="526"/>
      <c r="F72" s="526"/>
      <c r="G72" s="526"/>
      <c r="H72" s="290">
        <v>227540.36</v>
      </c>
      <c r="I72" s="116"/>
      <c r="N72" s="566" t="s">
        <v>404</v>
      </c>
      <c r="O72" s="564"/>
      <c r="P72" s="41">
        <f>T30</f>
        <v>0</v>
      </c>
      <c r="Q72" s="567" t="s">
        <v>406</v>
      </c>
      <c r="R72" s="568"/>
      <c r="S72" s="568"/>
      <c r="T72" s="563">
        <f>H72</f>
        <v>227540.36</v>
      </c>
      <c r="U72" s="563"/>
    </row>
    <row r="73" spans="1:22" x14ac:dyDescent="0.25">
      <c r="G73" s="42" t="s">
        <v>12</v>
      </c>
      <c r="H73" s="114">
        <f>ROUND(C72/H72,6)</f>
        <v>3.5209999999999998E-3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794.96</v>
      </c>
      <c r="D75" s="518" t="s">
        <v>412</v>
      </c>
      <c r="E75" s="518"/>
      <c r="F75" s="518"/>
      <c r="G75" s="518"/>
      <c r="H75" s="289">
        <v>186907.73</v>
      </c>
      <c r="I75" s="113"/>
      <c r="N75" s="566" t="s">
        <v>402</v>
      </c>
      <c r="O75" s="564"/>
      <c r="P75" s="41">
        <f>P30</f>
        <v>0</v>
      </c>
      <c r="Q75" s="597" t="s">
        <v>407</v>
      </c>
      <c r="R75" s="598"/>
      <c r="S75" s="598"/>
      <c r="T75" s="563">
        <f>H75</f>
        <v>186907.73</v>
      </c>
      <c r="U75" s="563"/>
    </row>
    <row r="76" spans="1:22" x14ac:dyDescent="0.25">
      <c r="B76" s="69"/>
      <c r="G76" s="42" t="s">
        <v>12</v>
      </c>
      <c r="H76" s="114">
        <f>ROUND(C75/H75,6)</f>
        <v>4.2529999999999998E-3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794.96</v>
      </c>
      <c r="D78" s="546" t="s">
        <v>413</v>
      </c>
      <c r="E78" s="546"/>
      <c r="F78" s="546"/>
      <c r="G78" s="546"/>
      <c r="H78" s="289">
        <v>203080.55</v>
      </c>
      <c r="I78" s="113"/>
      <c r="N78" s="566" t="s">
        <v>402</v>
      </c>
      <c r="O78" s="564"/>
      <c r="P78" s="41">
        <f>P30</f>
        <v>0</v>
      </c>
      <c r="Q78" s="595" t="s">
        <v>408</v>
      </c>
      <c r="R78" s="596"/>
      <c r="S78" s="596"/>
      <c r="T78" s="563">
        <f>H78</f>
        <v>203080.55</v>
      </c>
      <c r="U78" s="563"/>
    </row>
    <row r="79" spans="1:22" x14ac:dyDescent="0.25">
      <c r="B79" s="69"/>
      <c r="G79" s="42" t="s">
        <v>12</v>
      </c>
      <c r="H79" s="114">
        <f>ROUND(C78/H78,6)</f>
        <v>3.9150000000000001E-3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794.96</v>
      </c>
      <c r="D81" s="518" t="s">
        <v>414</v>
      </c>
      <c r="E81" s="518"/>
      <c r="F81" s="518"/>
      <c r="G81" s="518"/>
      <c r="H81" s="289">
        <v>186682.65</v>
      </c>
      <c r="I81" s="113"/>
      <c r="N81" s="566" t="s">
        <v>415</v>
      </c>
      <c r="O81" s="564"/>
      <c r="P81" s="41">
        <f>P30</f>
        <v>0</v>
      </c>
      <c r="Q81" s="597" t="s">
        <v>416</v>
      </c>
      <c r="R81" s="598"/>
      <c r="S81" s="598"/>
      <c r="T81" s="563">
        <f>H81</f>
        <v>186682.65</v>
      </c>
      <c r="U81" s="563"/>
    </row>
    <row r="82" spans="1:21" x14ac:dyDescent="0.25">
      <c r="B82" s="69"/>
      <c r="G82" s="42" t="s">
        <v>12</v>
      </c>
      <c r="H82" s="114">
        <f>ROUND(C81/H81,6)</f>
        <v>4.2579999999999996E-3</v>
      </c>
      <c r="I82" s="115"/>
      <c r="N82" s="564"/>
      <c r="O82" s="564"/>
      <c r="P82" s="564"/>
      <c r="Q82" s="564"/>
      <c r="R82" s="564"/>
      <c r="S82" s="564"/>
      <c r="T82" s="565">
        <f>ROUND(P81/T81,6)</f>
        <v>0</v>
      </c>
      <c r="U82" s="565"/>
    </row>
    <row r="83" spans="1:21" x14ac:dyDescent="0.25">
      <c r="A83" s="242"/>
      <c r="G83" s="42"/>
      <c r="H83" s="114"/>
      <c r="I83" s="114"/>
      <c r="N83" s="447"/>
      <c r="O83" s="447"/>
      <c r="P83" s="447"/>
      <c r="Q83" s="447"/>
      <c r="R83" s="447"/>
      <c r="S83" s="447"/>
      <c r="T83" s="448"/>
      <c r="U83" s="448"/>
    </row>
    <row r="84" spans="1:21" x14ac:dyDescent="0.25">
      <c r="A84" s="242"/>
      <c r="G84" s="42"/>
      <c r="H84" s="114"/>
      <c r="I84" s="114"/>
      <c r="N84" s="447"/>
      <c r="O84" s="447"/>
      <c r="P84" s="447"/>
      <c r="Q84" s="447"/>
      <c r="R84" s="447"/>
      <c r="S84" s="447"/>
      <c r="T84" s="448"/>
      <c r="U84" s="448"/>
    </row>
    <row r="85" spans="1:21" x14ac:dyDescent="0.25">
      <c r="A85" s="443" t="s">
        <v>451</v>
      </c>
      <c r="D85" s="69"/>
      <c r="E85" s="43" t="s">
        <v>294</v>
      </c>
      <c r="F85" s="291">
        <v>44665536</v>
      </c>
      <c r="G85" s="37" t="s">
        <v>6</v>
      </c>
      <c r="H85" s="423">
        <f>H79</f>
        <v>3.9150000000000001E-3</v>
      </c>
      <c r="I85" s="101">
        <f>ROUND(F85*H85,2)</f>
        <v>174865.57</v>
      </c>
      <c r="N85" s="454" t="s">
        <v>451</v>
      </c>
      <c r="O85" s="51"/>
      <c r="P85" s="51"/>
      <c r="Q85" s="44"/>
      <c r="R85" s="420">
        <f>F85</f>
        <v>44665536</v>
      </c>
      <c r="S85" s="38" t="s">
        <v>6</v>
      </c>
      <c r="T85" s="422">
        <f>T79</f>
        <v>0</v>
      </c>
      <c r="U85" s="474">
        <f>ROUND(R85*T85,2)</f>
        <v>0</v>
      </c>
    </row>
    <row r="86" spans="1:21" x14ac:dyDescent="0.25">
      <c r="A86" s="400"/>
      <c r="D86" s="69"/>
      <c r="E86" s="43"/>
      <c r="F86" s="277"/>
      <c r="G86" s="37"/>
      <c r="H86" s="423"/>
      <c r="I86" s="101"/>
      <c r="N86" s="51"/>
      <c r="O86" s="51"/>
      <c r="P86" s="51"/>
      <c r="Q86" s="44"/>
      <c r="R86" s="421"/>
      <c r="S86" s="38"/>
      <c r="T86" s="422"/>
      <c r="U86" s="478"/>
    </row>
    <row r="87" spans="1:21" x14ac:dyDescent="0.25">
      <c r="A87" s="548" t="s">
        <v>71</v>
      </c>
      <c r="B87" s="539"/>
      <c r="C87" s="539"/>
      <c r="D87" s="69"/>
      <c r="E87" s="43"/>
      <c r="F87" s="277"/>
      <c r="G87" s="37"/>
      <c r="H87" s="423"/>
      <c r="I87" s="101"/>
      <c r="N87" s="566" t="s">
        <v>459</v>
      </c>
      <c r="O87" s="564"/>
      <c r="P87" s="564"/>
      <c r="Q87" s="51"/>
      <c r="R87" s="421"/>
      <c r="S87" s="51"/>
      <c r="T87" s="38"/>
      <c r="U87" s="479"/>
    </row>
    <row r="88" spans="1:21" x14ac:dyDescent="0.25">
      <c r="A88" s="548" t="s">
        <v>99</v>
      </c>
      <c r="B88" s="539"/>
      <c r="C88" s="539"/>
      <c r="D88" s="69"/>
      <c r="E88" s="43" t="s">
        <v>3</v>
      </c>
      <c r="F88" s="291">
        <v>0</v>
      </c>
      <c r="G88" s="37" t="s">
        <v>6</v>
      </c>
      <c r="H88" s="423">
        <f>H70</f>
        <v>3.9100000000000003E-3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277"/>
      <c r="G89" s="37"/>
      <c r="H89" s="423"/>
      <c r="I89" s="101"/>
      <c r="N89" s="435"/>
      <c r="O89" s="45"/>
      <c r="P89" s="45"/>
      <c r="Q89" s="44"/>
      <c r="R89" s="420"/>
      <c r="S89" s="38"/>
      <c r="T89" s="422"/>
      <c r="U89" s="474"/>
    </row>
    <row r="90" spans="1:21" x14ac:dyDescent="0.25">
      <c r="A90" s="452" t="s">
        <v>452</v>
      </c>
      <c r="D90" s="69"/>
      <c r="E90" s="43" t="s">
        <v>417</v>
      </c>
      <c r="F90" s="291">
        <v>16167052</v>
      </c>
      <c r="G90" s="37" t="s">
        <v>6</v>
      </c>
      <c r="H90" s="423">
        <f>H82</f>
        <v>4.2579999999999996E-3</v>
      </c>
      <c r="I90" s="101">
        <f>ROUND(F90*H90,2)</f>
        <v>68839.31</v>
      </c>
      <c r="N90" s="454" t="s">
        <v>452</v>
      </c>
      <c r="O90" s="51"/>
      <c r="P90" s="51"/>
      <c r="Q90" s="44"/>
      <c r="R90" s="420">
        <f>F90</f>
        <v>16167052</v>
      </c>
      <c r="S90" s="38" t="s">
        <v>6</v>
      </c>
      <c r="T90" s="422">
        <f>T82</f>
        <v>0</v>
      </c>
      <c r="U90" s="474">
        <f>ROUND(R90*T90,2)</f>
        <v>0</v>
      </c>
    </row>
    <row r="91" spans="1:21" x14ac:dyDescent="0.25">
      <c r="A91" s="400"/>
      <c r="D91" s="69"/>
      <c r="E91" s="43"/>
      <c r="F91" s="277"/>
      <c r="G91" s="37"/>
      <c r="H91" s="423"/>
      <c r="I91" s="101"/>
      <c r="N91" s="408"/>
      <c r="O91" s="51"/>
      <c r="P91" s="51"/>
      <c r="Q91" s="44"/>
      <c r="R91" s="420"/>
      <c r="S91" s="38"/>
      <c r="T91" s="422"/>
      <c r="U91" s="474"/>
    </row>
    <row r="92" spans="1:21" x14ac:dyDescent="0.25">
      <c r="A92" s="452" t="s">
        <v>453</v>
      </c>
      <c r="D92" s="69"/>
      <c r="E92" s="43" t="s">
        <v>3</v>
      </c>
      <c r="F92" s="291">
        <v>10040099</v>
      </c>
      <c r="G92" s="37" t="s">
        <v>6</v>
      </c>
      <c r="H92" s="423">
        <f>H76</f>
        <v>4.2529999999999998E-3</v>
      </c>
      <c r="I92" s="101">
        <f t="shared" ref="I92:I96" si="14">ROUND(F92*H92,2)</f>
        <v>42700.54</v>
      </c>
      <c r="N92" s="454" t="s">
        <v>453</v>
      </c>
      <c r="O92" s="51"/>
      <c r="P92" s="51"/>
      <c r="Q92" s="44"/>
      <c r="R92" s="420">
        <f t="shared" ref="R92:R96" si="15">F92</f>
        <v>10040099</v>
      </c>
      <c r="S92" s="38" t="s">
        <v>6</v>
      </c>
      <c r="T92" s="422">
        <f>T76</f>
        <v>0</v>
      </c>
      <c r="U92" s="474">
        <f>ROUND(R92*T92,2)</f>
        <v>0</v>
      </c>
    </row>
    <row r="93" spans="1:21" x14ac:dyDescent="0.25">
      <c r="A93" s="81"/>
      <c r="D93" s="69"/>
      <c r="E93" s="43"/>
      <c r="F93" s="277"/>
      <c r="G93" s="37"/>
      <c r="H93" s="423"/>
      <c r="I93" s="101"/>
      <c r="N93" s="384"/>
      <c r="O93" s="51"/>
      <c r="P93" s="51"/>
      <c r="Q93" s="44"/>
      <c r="R93" s="421"/>
      <c r="S93" s="38"/>
      <c r="T93" s="422"/>
      <c r="U93" s="478"/>
    </row>
    <row r="94" spans="1:21" x14ac:dyDescent="0.25">
      <c r="A94" s="545" t="s">
        <v>418</v>
      </c>
      <c r="B94" s="539"/>
      <c r="C94" s="539"/>
      <c r="D94" s="69"/>
      <c r="E94" s="43" t="s">
        <v>4</v>
      </c>
      <c r="F94" s="291">
        <v>238997674</v>
      </c>
      <c r="G94" s="37" t="s">
        <v>6</v>
      </c>
      <c r="H94" s="423">
        <f>H73</f>
        <v>3.5209999999999998E-3</v>
      </c>
      <c r="I94" s="101">
        <f t="shared" si="14"/>
        <v>841510.81</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277"/>
      <c r="G95" s="37"/>
      <c r="H95" s="423"/>
      <c r="I95" s="101"/>
      <c r="N95" s="45"/>
      <c r="O95" s="45"/>
      <c r="P95" s="45"/>
      <c r="Q95" s="44"/>
      <c r="R95" s="420"/>
      <c r="S95" s="38"/>
      <c r="T95" s="422"/>
      <c r="U95" s="474"/>
    </row>
    <row r="96" spans="1:21" x14ac:dyDescent="0.25">
      <c r="A96" s="545" t="s">
        <v>419</v>
      </c>
      <c r="B96" s="539"/>
      <c r="C96" s="539"/>
      <c r="D96" s="69"/>
      <c r="E96" s="43" t="s">
        <v>4</v>
      </c>
      <c r="F96" s="291">
        <v>-1600047</v>
      </c>
      <c r="G96" s="37" t="s">
        <v>6</v>
      </c>
      <c r="H96" s="423">
        <f>H73</f>
        <v>3.5209999999999998E-3</v>
      </c>
      <c r="I96" s="101">
        <f t="shared" si="14"/>
        <v>-5633.77</v>
      </c>
      <c r="N96" s="566" t="s">
        <v>419</v>
      </c>
      <c r="O96" s="566"/>
      <c r="P96" s="566"/>
      <c r="Q96" s="44"/>
      <c r="R96" s="420">
        <f t="shared" si="15"/>
        <v>-1600047</v>
      </c>
      <c r="S96" s="38" t="s">
        <v>6</v>
      </c>
      <c r="T96" s="422">
        <f>T73</f>
        <v>0</v>
      </c>
      <c r="U96" s="474">
        <f>ROUND(R96*T96,2)</f>
        <v>0</v>
      </c>
    </row>
    <row r="97" spans="1:21" x14ac:dyDescent="0.25">
      <c r="A97" s="81"/>
      <c r="B97" s="69"/>
      <c r="C97" s="69"/>
      <c r="D97" s="69"/>
      <c r="E97" s="43"/>
      <c r="F97" s="277"/>
      <c r="G97" s="37"/>
      <c r="H97" s="423"/>
      <c r="I97" s="101"/>
      <c r="N97" s="384"/>
      <c r="O97" s="384"/>
      <c r="P97" s="384"/>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119" t="s">
        <v>421</v>
      </c>
      <c r="F100" s="120" t="s">
        <v>106</v>
      </c>
      <c r="G100" s="121"/>
      <c r="H100" s="121"/>
      <c r="I100" s="121"/>
      <c r="N100" s="592" t="s">
        <v>35</v>
      </c>
      <c r="O100" s="592"/>
      <c r="P100" s="593" t="s">
        <v>423</v>
      </c>
      <c r="Q100" s="594"/>
      <c r="R100" s="563" t="s">
        <v>31</v>
      </c>
      <c r="S100" s="563"/>
      <c r="T100" s="563"/>
      <c r="U100" s="563"/>
    </row>
    <row r="101" spans="1:21" x14ac:dyDescent="0.25">
      <c r="A101" s="26"/>
      <c r="B101" s="52" t="s">
        <v>105</v>
      </c>
      <c r="C101" s="557">
        <f>H14+H15+H20+H23+H26</f>
        <v>0</v>
      </c>
      <c r="D101" s="557"/>
      <c r="E101" s="46">
        <f>H8</f>
        <v>1.0442</v>
      </c>
      <c r="F101" s="292">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292">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801.06209999999999</v>
      </c>
      <c r="D103" s="557"/>
      <c r="E103" s="46">
        <f>H8</f>
        <v>1.0442</v>
      </c>
      <c r="F103" s="292">
        <v>906.93</v>
      </c>
      <c r="G103" s="39" t="s">
        <v>12</v>
      </c>
      <c r="H103" s="94">
        <f>ROUND(C103*E103*F103,2)</f>
        <v>758618.87</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801.06209999999999</v>
      </c>
      <c r="D104" s="547"/>
      <c r="E104" s="123"/>
      <c r="F104" s="123"/>
      <c r="G104" s="123"/>
      <c r="H104" s="124" t="s">
        <v>100</v>
      </c>
      <c r="I104" s="101">
        <f>IF(A1=75,0,H103+H102+H101)</f>
        <v>758618.87</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90" t="s">
        <v>2</v>
      </c>
      <c r="F109" s="43"/>
      <c r="G109" s="43"/>
      <c r="H109" s="43"/>
      <c r="I109" s="43"/>
      <c r="N109" s="45"/>
      <c r="O109" s="45"/>
      <c r="P109" s="45"/>
      <c r="Q109" s="125"/>
      <c r="R109" s="125"/>
      <c r="S109" s="125"/>
      <c r="T109" s="125"/>
      <c r="U109" s="103"/>
    </row>
    <row r="110" spans="1:21" x14ac:dyDescent="0.25">
      <c r="A110" s="518" t="s">
        <v>376</v>
      </c>
      <c r="B110" s="519"/>
      <c r="C110" s="143">
        <v>474</v>
      </c>
      <c r="D110" s="143">
        <v>0</v>
      </c>
      <c r="E110" s="116">
        <f>C110</f>
        <v>474</v>
      </c>
      <c r="F110" s="126" t="s">
        <v>30</v>
      </c>
      <c r="G110" s="293">
        <v>565</v>
      </c>
      <c r="I110" s="101">
        <f>ROUND(G110*E110,2)</f>
        <v>267810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293">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x14ac:dyDescent="0.25">
      <c r="B115" s="69"/>
      <c r="C115" s="525" t="s">
        <v>66</v>
      </c>
      <c r="D115" s="525"/>
      <c r="E115" s="525"/>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6528240.9300000006</v>
      </c>
      <c r="J125" s="251"/>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J126" s="25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6273296.8900000006</v>
      </c>
      <c r="J127" s="251"/>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J129" s="251"/>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6273296.8900000006</v>
      </c>
      <c r="I132" s="94">
        <f>ROUND(IF(E30=0,0,IF(E30&gt;250,-(((250/E30)*H132)*IF(G132="H",0.02,0.05)),IF(G132="H",-0.02*H132,-0.05*H132))),2)</f>
        <v>-39456.68</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6488784.2500000009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-1028026.72-503359.51-503359.51-503359.51-503359.51-570693.67</f>
        <v>-3612158.4299999997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2876625.8200000012</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575325.16</v>
      </c>
      <c r="K142" s="419"/>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86009.26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5" t="s">
        <v>7</v>
      </c>
      <c r="B148" s="345"/>
      <c r="C148" s="345"/>
      <c r="D148" s="345"/>
      <c r="E148" s="345"/>
      <c r="F148" s="345"/>
      <c r="G148" s="345"/>
      <c r="H148" s="345"/>
      <c r="I148" s="345"/>
      <c r="J148" s="134"/>
      <c r="N148" s="73"/>
      <c r="O148" s="73"/>
      <c r="P148" s="73"/>
      <c r="Q148" s="73"/>
      <c r="R148" s="73"/>
      <c r="S148" s="73"/>
      <c r="T148" s="73"/>
      <c r="U148" s="73"/>
    </row>
    <row r="149" spans="1:21" ht="12.75" customHeight="1" x14ac:dyDescent="0.25">
      <c r="A149" s="346" t="s">
        <v>261</v>
      </c>
      <c r="B149" s="347"/>
      <c r="C149" s="347"/>
      <c r="D149" s="347"/>
      <c r="E149" s="347"/>
      <c r="F149" s="347"/>
      <c r="G149" s="347"/>
      <c r="H149" s="347"/>
      <c r="I149" s="347"/>
      <c r="J149" s="77"/>
      <c r="K149" s="324"/>
      <c r="L149" s="76"/>
      <c r="M149" s="76"/>
      <c r="N149" s="73"/>
      <c r="O149" s="73"/>
      <c r="P149" s="73"/>
      <c r="Q149" s="73"/>
      <c r="R149" s="73"/>
      <c r="S149" s="73"/>
      <c r="T149" s="73"/>
      <c r="U149" s="73"/>
    </row>
    <row r="150" spans="1:21" ht="12.75" customHeight="1" x14ac:dyDescent="0.25">
      <c r="A150" s="352" t="s">
        <v>367</v>
      </c>
      <c r="B150" s="347"/>
      <c r="C150" s="347"/>
      <c r="D150" s="347"/>
      <c r="E150" s="347"/>
      <c r="F150" s="347"/>
      <c r="G150" s="347"/>
      <c r="H150" s="347"/>
      <c r="I150" s="347"/>
      <c r="J150" s="77"/>
      <c r="K150" s="324"/>
      <c r="L150" s="76"/>
      <c r="M150" s="76"/>
      <c r="N150" s="73"/>
      <c r="O150" s="73"/>
      <c r="P150" s="73"/>
      <c r="Q150" s="73"/>
      <c r="R150" s="73"/>
      <c r="S150" s="73"/>
      <c r="T150" s="73"/>
      <c r="U150" s="73"/>
    </row>
    <row r="151" spans="1:21" ht="12.75" customHeight="1" x14ac:dyDescent="0.25">
      <c r="A151" s="349"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ht="12.75" customHeight="1" x14ac:dyDescent="0.2">
      <c r="A152" s="349" t="s">
        <v>369</v>
      </c>
      <c r="B152" s="348"/>
      <c r="C152" s="348"/>
      <c r="D152" s="348"/>
      <c r="E152" s="348"/>
      <c r="F152" s="348"/>
      <c r="G152" s="348"/>
      <c r="H152" s="348"/>
      <c r="I152" s="348"/>
      <c r="N152" s="579"/>
      <c r="O152" s="579"/>
      <c r="P152" s="579"/>
      <c r="Q152" s="579"/>
      <c r="R152" s="579"/>
      <c r="S152" s="579"/>
      <c r="T152" s="579"/>
      <c r="U152" s="579"/>
    </row>
    <row r="153" spans="1:21" s="76" customFormat="1" ht="12.75" customHeight="1" x14ac:dyDescent="0.2">
      <c r="A153" s="349" t="s">
        <v>370</v>
      </c>
      <c r="B153" s="348"/>
      <c r="C153" s="348"/>
      <c r="D153" s="348"/>
      <c r="E153" s="348"/>
      <c r="F153" s="348"/>
      <c r="G153" s="348"/>
      <c r="H153" s="348"/>
      <c r="I153" s="348"/>
      <c r="N153" s="73"/>
      <c r="O153" s="73"/>
      <c r="P153" s="73"/>
      <c r="Q153" s="73"/>
      <c r="R153" s="73"/>
      <c r="S153" s="73"/>
      <c r="T153" s="73"/>
      <c r="U153" s="73"/>
    </row>
    <row r="154" spans="1:21" s="76" customFormat="1" ht="12.75" customHeight="1" x14ac:dyDescent="0.2">
      <c r="A154" s="349" t="s">
        <v>371</v>
      </c>
      <c r="B154" s="348"/>
      <c r="C154" s="348"/>
      <c r="D154" s="348"/>
      <c r="E154" s="348"/>
      <c r="F154" s="348"/>
      <c r="G154" s="348"/>
      <c r="H154" s="348"/>
      <c r="I154" s="348"/>
      <c r="N154" s="78"/>
      <c r="O154" s="79"/>
      <c r="P154" s="79"/>
      <c r="Q154" s="79"/>
      <c r="R154" s="79"/>
      <c r="S154" s="79"/>
      <c r="T154" s="79"/>
      <c r="U154" s="79"/>
    </row>
    <row r="155" spans="1:21" s="76" customFormat="1" ht="12.75" customHeight="1" x14ac:dyDescent="0.2">
      <c r="A155" s="349" t="s">
        <v>372</v>
      </c>
      <c r="B155" s="348"/>
      <c r="C155" s="348"/>
      <c r="D155" s="348"/>
      <c r="E155" s="348"/>
      <c r="F155" s="348"/>
      <c r="G155" s="348"/>
      <c r="H155" s="348"/>
      <c r="I155" s="348"/>
      <c r="N155" s="78"/>
    </row>
    <row r="156" spans="1:21" s="76" customFormat="1" ht="12.75" customHeight="1" x14ac:dyDescent="0.2">
      <c r="A156" s="349" t="s">
        <v>374</v>
      </c>
      <c r="B156" s="348"/>
      <c r="C156" s="348"/>
      <c r="D156" s="348"/>
      <c r="E156" s="348"/>
      <c r="F156" s="348"/>
      <c r="G156" s="348"/>
      <c r="H156" s="348"/>
      <c r="I156" s="348"/>
      <c r="K156" s="348"/>
      <c r="N156" s="78"/>
    </row>
    <row r="157" spans="1:21" s="76" customFormat="1" ht="12.75" customHeight="1" x14ac:dyDescent="0.2">
      <c r="A157" s="354" t="s">
        <v>373</v>
      </c>
      <c r="B157" s="348"/>
      <c r="C157" s="348"/>
      <c r="D157" s="348"/>
      <c r="E157" s="348"/>
      <c r="F157" s="348"/>
      <c r="G157" s="348"/>
      <c r="H157" s="348"/>
      <c r="I157" s="348"/>
      <c r="N157" s="78"/>
    </row>
    <row r="158" spans="1:21" s="76" customFormat="1" ht="12.75" customHeight="1" x14ac:dyDescent="0.2">
      <c r="A158" s="349" t="s">
        <v>375</v>
      </c>
      <c r="B158" s="348"/>
      <c r="C158" s="348"/>
      <c r="D158" s="348"/>
      <c r="E158" s="348"/>
      <c r="F158" s="348"/>
      <c r="G158" s="348"/>
      <c r="H158" s="348"/>
      <c r="I158" s="348"/>
      <c r="N158" s="78"/>
    </row>
    <row r="159" spans="1:21" s="76" customFormat="1" ht="12.75" customHeight="1" x14ac:dyDescent="0.2">
      <c r="A159" s="353" t="s">
        <v>262</v>
      </c>
      <c r="B159" s="348"/>
      <c r="C159" s="348"/>
      <c r="D159" s="348"/>
      <c r="E159" s="348"/>
      <c r="F159" s="348"/>
      <c r="G159" s="348"/>
      <c r="H159" s="348"/>
      <c r="I159" s="348"/>
      <c r="N159" s="78"/>
    </row>
    <row r="160" spans="1:21" s="76" customFormat="1" ht="12.75" customHeight="1" x14ac:dyDescent="0.2">
      <c r="A160" s="349" t="s">
        <v>378</v>
      </c>
      <c r="B160" s="348"/>
      <c r="C160" s="348"/>
      <c r="D160" s="348"/>
      <c r="E160" s="348"/>
      <c r="F160" s="348"/>
      <c r="G160" s="348"/>
      <c r="H160" s="348"/>
      <c r="I160" s="348"/>
      <c r="N160" s="78"/>
    </row>
    <row r="161" spans="1:14" s="76" customFormat="1" ht="12.75" customHeight="1" x14ac:dyDescent="0.2">
      <c r="A161" s="349" t="s">
        <v>289</v>
      </c>
      <c r="B161" s="348"/>
      <c r="C161" s="348"/>
      <c r="D161" s="348"/>
      <c r="E161" s="348"/>
      <c r="F161" s="348"/>
      <c r="G161" s="348"/>
      <c r="H161" s="348"/>
      <c r="I161" s="348"/>
      <c r="N161" s="78"/>
    </row>
    <row r="162" spans="1:14" s="76" customFormat="1" ht="12.75" customHeight="1" x14ac:dyDescent="0.2">
      <c r="A162" s="349" t="s">
        <v>380</v>
      </c>
      <c r="B162" s="348"/>
      <c r="C162" s="348"/>
      <c r="D162" s="348"/>
      <c r="E162" s="348"/>
      <c r="F162" s="348"/>
      <c r="G162" s="348"/>
      <c r="H162" s="348"/>
      <c r="I162" s="348"/>
      <c r="N162" s="78"/>
    </row>
    <row r="163" spans="1:14" s="76" customFormat="1" ht="12.75" customHeight="1" x14ac:dyDescent="0.2">
      <c r="A163" s="354" t="s">
        <v>379</v>
      </c>
      <c r="B163" s="348"/>
      <c r="C163" s="348"/>
      <c r="D163" s="348"/>
      <c r="E163" s="348"/>
      <c r="F163" s="348"/>
      <c r="G163" s="348"/>
      <c r="H163" s="348"/>
      <c r="I163" s="348"/>
      <c r="N163" s="78"/>
    </row>
    <row r="164" spans="1:14" s="76" customFormat="1" ht="12.75" customHeight="1" x14ac:dyDescent="0.2">
      <c r="A164" s="349" t="s">
        <v>381</v>
      </c>
      <c r="B164" s="348"/>
      <c r="C164" s="348"/>
      <c r="D164" s="348"/>
      <c r="E164" s="348"/>
      <c r="F164" s="348"/>
      <c r="G164" s="348"/>
      <c r="H164" s="348"/>
      <c r="I164" s="348"/>
      <c r="N164" s="78"/>
    </row>
    <row r="165" spans="1:14" s="76" customFormat="1" ht="12.75" customHeight="1" x14ac:dyDescent="0.2">
      <c r="A165" s="354" t="s">
        <v>263</v>
      </c>
      <c r="B165" s="348"/>
      <c r="C165" s="348"/>
      <c r="D165" s="348"/>
      <c r="E165" s="348"/>
      <c r="F165" s="348"/>
      <c r="G165" s="348"/>
      <c r="H165" s="348"/>
      <c r="I165" s="348"/>
      <c r="N165" s="78"/>
    </row>
    <row r="166" spans="1:14" s="76" customFormat="1" ht="12.75" customHeight="1" x14ac:dyDescent="0.2">
      <c r="A166" s="349" t="s">
        <v>383</v>
      </c>
      <c r="B166" s="348"/>
      <c r="C166" s="348"/>
      <c r="D166" s="348"/>
      <c r="E166" s="348"/>
      <c r="F166" s="348"/>
      <c r="G166" s="348"/>
      <c r="H166" s="348"/>
      <c r="I166" s="348"/>
      <c r="N166" s="78"/>
    </row>
    <row r="167" spans="1:14" s="76" customFormat="1" ht="12.75" customHeight="1" x14ac:dyDescent="0.2">
      <c r="A167" s="354" t="s">
        <v>382</v>
      </c>
      <c r="B167" s="348"/>
      <c r="C167" s="348"/>
      <c r="D167" s="348"/>
      <c r="E167" s="348"/>
      <c r="F167" s="348"/>
      <c r="G167" s="348"/>
      <c r="H167" s="348"/>
      <c r="I167" s="348"/>
      <c r="N167" s="78"/>
    </row>
    <row r="168" spans="1:14" s="76" customFormat="1" ht="12.75" customHeight="1" x14ac:dyDescent="0.2">
      <c r="A168" s="349"/>
      <c r="B168" s="348"/>
      <c r="C168" s="348"/>
      <c r="D168" s="348"/>
      <c r="E168" s="348"/>
      <c r="F168" s="348"/>
      <c r="G168" s="348"/>
      <c r="H168" s="348"/>
      <c r="I168" s="348"/>
      <c r="N168" s="78"/>
    </row>
    <row r="169" spans="1:14" s="76" customFormat="1" ht="12.75" customHeight="1" x14ac:dyDescent="0.2">
      <c r="A169" s="357" t="s">
        <v>67</v>
      </c>
      <c r="B169" s="348"/>
      <c r="C169" s="348"/>
      <c r="D169" s="348"/>
      <c r="E169" s="348"/>
      <c r="F169" s="348"/>
      <c r="G169" s="348"/>
      <c r="H169" s="348"/>
      <c r="I169" s="348"/>
      <c r="N169" s="78"/>
    </row>
    <row r="170" spans="1:14" s="76" customFormat="1" ht="12.75" customHeight="1" x14ac:dyDescent="0.2">
      <c r="A170" s="350" t="s">
        <v>264</v>
      </c>
      <c r="B170" s="351"/>
      <c r="C170" s="351"/>
      <c r="D170" s="351"/>
      <c r="E170" s="351"/>
      <c r="F170" s="351"/>
      <c r="G170" s="351"/>
      <c r="H170" s="351"/>
      <c r="I170" s="351"/>
      <c r="N170" s="78"/>
    </row>
    <row r="171" spans="1:14" s="76" customFormat="1" ht="12.75" customHeight="1" x14ac:dyDescent="0.2">
      <c r="A171" s="355" t="s">
        <v>296</v>
      </c>
      <c r="B171" s="358"/>
      <c r="C171" s="358"/>
      <c r="D171" s="358"/>
      <c r="E171" s="358"/>
      <c r="F171" s="358"/>
      <c r="G171" s="358"/>
      <c r="H171" s="358"/>
      <c r="I171" s="358"/>
      <c r="N171" s="78"/>
    </row>
    <row r="172" spans="1:14" s="76" customFormat="1" ht="12.75" customHeight="1" x14ac:dyDescent="0.2">
      <c r="A172" s="355" t="s">
        <v>384</v>
      </c>
      <c r="B172" s="358"/>
      <c r="C172" s="358"/>
      <c r="D172" s="358"/>
      <c r="E172" s="358"/>
      <c r="F172" s="358"/>
      <c r="G172" s="358"/>
      <c r="H172" s="358"/>
      <c r="I172" s="358"/>
      <c r="N172" s="78"/>
    </row>
    <row r="173" spans="1:14" s="76" customFormat="1" ht="12.75" customHeight="1" x14ac:dyDescent="0.2">
      <c r="A173" s="355" t="s">
        <v>385</v>
      </c>
      <c r="B173" s="358"/>
      <c r="C173" s="358"/>
      <c r="D173" s="358"/>
      <c r="E173" s="358"/>
      <c r="F173" s="358"/>
      <c r="G173" s="358"/>
      <c r="H173" s="358"/>
      <c r="I173" s="358"/>
      <c r="N173" s="78"/>
    </row>
    <row r="174" spans="1:14" s="76" customFormat="1" ht="12.75" customHeight="1" x14ac:dyDescent="0.2">
      <c r="A174" s="350"/>
      <c r="B174" s="358"/>
      <c r="C174" s="358"/>
      <c r="D174" s="358"/>
      <c r="E174" s="358"/>
      <c r="F174" s="358"/>
      <c r="G174" s="358"/>
      <c r="H174" s="358"/>
      <c r="I174" s="358"/>
      <c r="N174" s="78"/>
    </row>
    <row r="175" spans="1:14" s="76" customFormat="1" ht="12.75" customHeight="1" x14ac:dyDescent="0.25">
      <c r="A175" s="350" t="s">
        <v>297</v>
      </c>
      <c r="B175" s="351"/>
      <c r="C175" s="351"/>
      <c r="D175" s="351"/>
      <c r="E175" s="351"/>
      <c r="F175" s="351"/>
      <c r="G175" s="351"/>
      <c r="H175" s="351"/>
      <c r="I175" s="351"/>
      <c r="J175" s="3"/>
      <c r="K175" s="3"/>
      <c r="L175" s="3"/>
      <c r="M175" s="3"/>
      <c r="N175" s="78"/>
    </row>
    <row r="176" spans="1:14" s="76" customFormat="1" ht="12.75" customHeight="1" x14ac:dyDescent="0.25">
      <c r="A176" s="355" t="s">
        <v>296</v>
      </c>
      <c r="B176" s="351"/>
      <c r="C176" s="351"/>
      <c r="D176" s="351"/>
      <c r="E176" s="351"/>
      <c r="F176" s="351"/>
      <c r="G176" s="351"/>
      <c r="H176" s="351"/>
      <c r="I176" s="351"/>
      <c r="J176" s="3"/>
      <c r="K176" s="3"/>
      <c r="L176" s="3"/>
      <c r="M176" s="3"/>
      <c r="N176" s="78"/>
    </row>
    <row r="177" spans="1:21" s="76" customFormat="1" ht="12.75" customHeight="1" x14ac:dyDescent="0.25">
      <c r="A177" s="355" t="s">
        <v>298</v>
      </c>
      <c r="B177" s="351"/>
      <c r="C177" s="351"/>
      <c r="D177" s="351"/>
      <c r="E177" s="351"/>
      <c r="F177" s="351"/>
      <c r="G177" s="351"/>
      <c r="H177" s="351"/>
      <c r="I177" s="351"/>
      <c r="J177" s="3"/>
      <c r="K177" s="3"/>
      <c r="L177" s="3"/>
      <c r="M177" s="3"/>
      <c r="N177" s="78"/>
    </row>
    <row r="178" spans="1:21" s="76" customFormat="1" ht="12.75" customHeight="1" x14ac:dyDescent="0.25">
      <c r="A178" s="351"/>
      <c r="B178" s="351"/>
      <c r="C178" s="351"/>
      <c r="D178" s="351"/>
      <c r="E178" s="351"/>
      <c r="F178" s="351"/>
      <c r="G178" s="351"/>
      <c r="H178" s="351"/>
      <c r="I178" s="351"/>
      <c r="J178" s="3"/>
      <c r="K178" s="3"/>
      <c r="L178" s="3"/>
      <c r="M178" s="3"/>
      <c r="N178" s="78"/>
    </row>
    <row r="179" spans="1:21" s="76" customFormat="1" ht="12.75" customHeight="1" x14ac:dyDescent="0.2">
      <c r="A179" s="357" t="s">
        <v>68</v>
      </c>
      <c r="B179" s="357"/>
      <c r="C179" s="357"/>
      <c r="D179" s="357"/>
      <c r="E179" s="357"/>
      <c r="F179" s="357"/>
      <c r="G179" s="357"/>
      <c r="H179" s="357"/>
      <c r="I179" s="357"/>
      <c r="N179" s="78"/>
    </row>
    <row r="180" spans="1:21" ht="12.75" customHeight="1" x14ac:dyDescent="0.25">
      <c r="A180" s="350" t="s">
        <v>265</v>
      </c>
      <c r="B180" s="351"/>
      <c r="C180" s="351"/>
      <c r="D180" s="351"/>
      <c r="E180" s="351"/>
      <c r="F180" s="351"/>
      <c r="G180" s="351"/>
      <c r="H180" s="351"/>
      <c r="I180" s="351"/>
      <c r="J180" s="76"/>
      <c r="K180" s="76"/>
      <c r="L180" s="76"/>
      <c r="M180" s="76"/>
      <c r="N180" s="78"/>
      <c r="O180" s="76"/>
      <c r="P180" s="76"/>
      <c r="Q180" s="76"/>
      <c r="R180" s="76"/>
      <c r="S180" s="76"/>
      <c r="T180" s="76"/>
      <c r="U180" s="76"/>
    </row>
    <row r="181" spans="1:21" ht="12.75" customHeight="1" x14ac:dyDescent="0.25">
      <c r="A181" s="355" t="s">
        <v>266</v>
      </c>
      <c r="B181" s="358"/>
      <c r="C181" s="358"/>
      <c r="D181" s="358"/>
      <c r="E181" s="358"/>
      <c r="F181" s="358"/>
      <c r="G181" s="358"/>
      <c r="H181" s="358"/>
      <c r="I181" s="358"/>
      <c r="J181" s="76"/>
      <c r="K181" s="76"/>
      <c r="L181" s="76"/>
      <c r="M181" s="76"/>
      <c r="N181" s="78"/>
      <c r="O181" s="76"/>
      <c r="P181" s="76"/>
      <c r="Q181" s="76"/>
      <c r="R181" s="76"/>
      <c r="S181" s="76"/>
      <c r="T181" s="76"/>
      <c r="U181" s="76"/>
    </row>
    <row r="182" spans="1:21" s="76" customFormat="1" ht="12.75" customHeight="1" x14ac:dyDescent="0.25">
      <c r="A182" s="351" t="s">
        <v>11</v>
      </c>
      <c r="B182" s="351"/>
      <c r="C182" s="351"/>
      <c r="D182" s="351"/>
      <c r="E182" s="351"/>
      <c r="F182" s="351"/>
      <c r="G182" s="351"/>
      <c r="H182" s="351"/>
      <c r="I182" s="351"/>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111:R111"/>
    <mergeCell ref="N114:U114"/>
    <mergeCell ref="N117:O117"/>
    <mergeCell ref="P117:Q117"/>
    <mergeCell ref="R117:S117"/>
    <mergeCell ref="P101:Q101"/>
    <mergeCell ref="P102:Q102"/>
    <mergeCell ref="P103:Q103"/>
    <mergeCell ref="P104:T104"/>
    <mergeCell ref="N105:U105"/>
    <mergeCell ref="N107:P107"/>
    <mergeCell ref="Q107:T107"/>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P66:Q66"/>
    <mergeCell ref="R66:T66"/>
    <mergeCell ref="T75:U75"/>
    <mergeCell ref="N76:S76"/>
    <mergeCell ref="T76:U76"/>
    <mergeCell ref="N70:S70"/>
    <mergeCell ref="T70:U70"/>
    <mergeCell ref="N69:O69"/>
    <mergeCell ref="Q69:S69"/>
    <mergeCell ref="T69:U69"/>
  </mergeCells>
  <phoneticPr fontId="3"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18"/>
  <sheetViews>
    <sheetView topLeftCell="A12"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135</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152.03</v>
      </c>
      <c r="D14" s="141">
        <v>0</v>
      </c>
      <c r="E14" s="187">
        <f>IF(D$30=0,C14*2,C14+D14)</f>
        <v>304.06</v>
      </c>
      <c r="F14" s="628">
        <f>'1461'!F14:G14</f>
        <v>1.1220000000000001</v>
      </c>
      <c r="G14" s="628"/>
      <c r="H14" s="145">
        <f>ROUND(E14*F14,4)</f>
        <v>341.15530000000001</v>
      </c>
      <c r="I14" s="111">
        <f>ROUND(ROUND(ROUND(H14*$C$8,4)*($H$8),2)*(MAX($H$9,1)),2)</f>
        <v>1830948.45</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11</v>
      </c>
      <c r="D15" s="143">
        <v>0</v>
      </c>
      <c r="E15" s="116">
        <f t="shared" ref="E15:E29" si="1">IF(D$30=0,C15*2,C15+D15)</f>
        <v>22</v>
      </c>
      <c r="F15" s="624">
        <f>'1461'!F15:G15</f>
        <v>1.1220000000000001</v>
      </c>
      <c r="G15" s="624"/>
      <c r="H15" s="80">
        <f t="shared" ref="H15:H29" si="2">ROUND(E15*F15,4)</f>
        <v>24.684000000000001</v>
      </c>
      <c r="I15" s="101">
        <f t="shared" ref="I15:I29" si="3">ROUND(ROUND(ROUND(H15*$C$8,4)*($H$8),2)*(MAX($H$9,1)),2)</f>
        <v>132476.71</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169.44</v>
      </c>
      <c r="D16" s="143">
        <v>0</v>
      </c>
      <c r="E16" s="116">
        <f t="shared" si="1"/>
        <v>338.88</v>
      </c>
      <c r="F16" s="624">
        <f>'1461'!F16:G16</f>
        <v>1</v>
      </c>
      <c r="G16" s="624"/>
      <c r="H16" s="80">
        <f t="shared" si="2"/>
        <v>338.88</v>
      </c>
      <c r="I16" s="101">
        <f t="shared" si="3"/>
        <v>1818737.13</v>
      </c>
      <c r="N16" s="564" t="s">
        <v>22</v>
      </c>
      <c r="O16" s="564"/>
      <c r="P16" s="603">
        <f t="shared" si="0"/>
        <v>0</v>
      </c>
      <c r="Q16" s="603"/>
      <c r="R16" s="608">
        <v>1</v>
      </c>
      <c r="S16" s="608"/>
      <c r="T16" s="95">
        <f t="shared" si="4"/>
        <v>0</v>
      </c>
      <c r="U16" s="474">
        <f t="shared" si="5"/>
        <v>0</v>
      </c>
    </row>
    <row r="17" spans="1:21" x14ac:dyDescent="0.25">
      <c r="A17" s="539" t="s">
        <v>23</v>
      </c>
      <c r="B17" s="539"/>
      <c r="C17" s="143">
        <v>28</v>
      </c>
      <c r="D17" s="143">
        <v>0</v>
      </c>
      <c r="E17" s="116">
        <f t="shared" si="1"/>
        <v>56</v>
      </c>
      <c r="F17" s="624">
        <f>'1461'!F17:G17</f>
        <v>1</v>
      </c>
      <c r="G17" s="624"/>
      <c r="H17" s="80">
        <f t="shared" si="2"/>
        <v>56</v>
      </c>
      <c r="I17" s="101">
        <f t="shared" si="3"/>
        <v>300546.74</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30.97</v>
      </c>
      <c r="D26" s="143">
        <v>0</v>
      </c>
      <c r="E26" s="116">
        <f t="shared" si="1"/>
        <v>61.94</v>
      </c>
      <c r="F26" s="624">
        <f>'1461'!F26:G26</f>
        <v>1.208</v>
      </c>
      <c r="G26" s="624"/>
      <c r="H26" s="80">
        <f t="shared" si="2"/>
        <v>74.823499999999996</v>
      </c>
      <c r="I26" s="101">
        <f t="shared" si="3"/>
        <v>401570.7</v>
      </c>
      <c r="N26" s="564" t="s">
        <v>85</v>
      </c>
      <c r="O26" s="564"/>
      <c r="P26" s="603">
        <f t="shared" si="0"/>
        <v>0</v>
      </c>
      <c r="Q26" s="603"/>
      <c r="R26" s="608">
        <v>1</v>
      </c>
      <c r="S26" s="608"/>
      <c r="T26" s="95">
        <f t="shared" si="4"/>
        <v>0</v>
      </c>
      <c r="U26" s="474">
        <f t="shared" si="5"/>
        <v>0</v>
      </c>
    </row>
    <row r="27" spans="1:21" x14ac:dyDescent="0.25">
      <c r="A27" s="539" t="s">
        <v>86</v>
      </c>
      <c r="B27" s="539"/>
      <c r="C27" s="143">
        <v>28.93</v>
      </c>
      <c r="D27" s="143">
        <v>0</v>
      </c>
      <c r="E27" s="116">
        <f t="shared" si="1"/>
        <v>57.86</v>
      </c>
      <c r="F27" s="624">
        <f>'1461'!F27:G27</f>
        <v>1.208</v>
      </c>
      <c r="G27" s="624"/>
      <c r="H27" s="80">
        <f t="shared" si="2"/>
        <v>69.894900000000007</v>
      </c>
      <c r="I27" s="101">
        <f t="shared" si="3"/>
        <v>375119.35999999999</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420.37000000000006</v>
      </c>
      <c r="D30" s="94">
        <f>SUM(D14:D29)</f>
        <v>0</v>
      </c>
      <c r="E30" s="94">
        <f>SUM(E14:E29)</f>
        <v>840.74000000000012</v>
      </c>
      <c r="F30" s="543"/>
      <c r="G30" s="543"/>
      <c r="H30" s="99">
        <f>SUM(H14:H29)</f>
        <v>905.43769999999995</v>
      </c>
      <c r="I30" s="94">
        <f>SUM(I14:I29)</f>
        <v>4859399.0900000008</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905.43769999999995</v>
      </c>
      <c r="F46" s="34"/>
      <c r="G46" s="106"/>
      <c r="H46" s="107" t="s">
        <v>98</v>
      </c>
      <c r="I46" s="94">
        <f>SUM(I44,I30)</f>
        <v>4859399.0900000008</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4859399.0900000008</v>
      </c>
      <c r="G51" s="109" t="s">
        <v>6</v>
      </c>
      <c r="H51" s="402">
        <v>4.5199999999999997E-2</v>
      </c>
      <c r="I51" s="101">
        <f>ROUND(F51*H51,2)</f>
        <v>219644.84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4859399.0900000008</v>
      </c>
      <c r="G52" s="109" t="s">
        <v>6</v>
      </c>
      <c r="H52" s="402">
        <v>1.41E-2</v>
      </c>
      <c r="I52" s="101">
        <f>ROUND(F52*H52,2)</f>
        <v>68517.53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288162.37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9.5</v>
      </c>
      <c r="D57" s="143">
        <v>0</v>
      </c>
      <c r="E57" s="116">
        <f t="shared" ref="E57:E65" si="10">IF(D$66=0,C57*2,C57+D57)</f>
        <v>19</v>
      </c>
      <c r="F57" s="444" t="s">
        <v>435</v>
      </c>
      <c r="G57" s="444">
        <v>251</v>
      </c>
      <c r="H57" s="458">
        <f>'1461'!H57</f>
        <v>1047</v>
      </c>
      <c r="I57" s="101">
        <f>ROUND(E57*H57,2)</f>
        <v>19893</v>
      </c>
      <c r="N57" s="572" t="s">
        <v>443</v>
      </c>
      <c r="O57" s="572"/>
      <c r="P57" s="575"/>
      <c r="Q57" s="575"/>
      <c r="R57" s="450" t="s">
        <v>435</v>
      </c>
      <c r="S57" s="450">
        <v>251</v>
      </c>
      <c r="T57" s="461">
        <f>H57</f>
        <v>1047</v>
      </c>
      <c r="U57" s="475">
        <f>ROUND(P57*T57,2)</f>
        <v>0</v>
      </c>
      <c r="V57" s="425"/>
    </row>
    <row r="58" spans="1:22" x14ac:dyDescent="0.25">
      <c r="A58" s="550"/>
      <c r="B58" s="550"/>
      <c r="C58" s="143">
        <v>1.5</v>
      </c>
      <c r="D58" s="143">
        <v>0</v>
      </c>
      <c r="E58" s="116">
        <f t="shared" si="10"/>
        <v>3</v>
      </c>
      <c r="F58" s="444" t="s">
        <v>435</v>
      </c>
      <c r="G58" s="444">
        <v>252</v>
      </c>
      <c r="H58" s="458">
        <f>'1461'!H58</f>
        <v>3380</v>
      </c>
      <c r="I58" s="101">
        <f t="shared" ref="I58:I65" si="11">ROUND(E58*H58,2)</f>
        <v>10140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26.5</v>
      </c>
      <c r="D60" s="143">
        <v>0</v>
      </c>
      <c r="E60" s="116">
        <f t="shared" si="10"/>
        <v>53</v>
      </c>
      <c r="F60" s="445" t="s">
        <v>13</v>
      </c>
      <c r="G60" s="444">
        <v>251</v>
      </c>
      <c r="H60" s="458">
        <f>'1461'!H60</f>
        <v>1173</v>
      </c>
      <c r="I60" s="101">
        <f t="shared" si="11"/>
        <v>62169</v>
      </c>
      <c r="N60" s="573"/>
      <c r="O60" s="573"/>
      <c r="P60" s="576"/>
      <c r="Q60" s="576"/>
      <c r="R60" s="40" t="s">
        <v>13</v>
      </c>
      <c r="S60" s="450">
        <v>251</v>
      </c>
      <c r="T60" s="461">
        <f t="shared" si="12"/>
        <v>1173</v>
      </c>
      <c r="U60" s="475">
        <f t="shared" si="13"/>
        <v>0</v>
      </c>
      <c r="V60" s="425"/>
    </row>
    <row r="61" spans="1:22" x14ac:dyDescent="0.25">
      <c r="A61" s="550"/>
      <c r="B61" s="550"/>
      <c r="C61" s="143">
        <v>1.5</v>
      </c>
      <c r="D61" s="143">
        <v>0</v>
      </c>
      <c r="E61" s="116">
        <f t="shared" si="10"/>
        <v>3</v>
      </c>
      <c r="F61" s="445" t="s">
        <v>13</v>
      </c>
      <c r="G61" s="444">
        <v>252</v>
      </c>
      <c r="H61" s="458">
        <f>'1461'!H61</f>
        <v>3506</v>
      </c>
      <c r="I61" s="101">
        <f t="shared" si="11"/>
        <v>10518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39</v>
      </c>
      <c r="D66" s="97">
        <f>SUM(D57:D65)</f>
        <v>0</v>
      </c>
      <c r="E66" s="97">
        <f>SUM(E57:E65)</f>
        <v>78</v>
      </c>
      <c r="F66" s="551" t="s">
        <v>444</v>
      </c>
      <c r="G66" s="551"/>
      <c r="H66" s="551"/>
      <c r="I66" s="97">
        <f>SUM(I57:I65)</f>
        <v>102720</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840.74000000000012</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4.1349999999999998E-3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905.43769999999995</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3.9789999999999999E-3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840.74000000000012</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4.4980000000000003E-3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840.74000000000012</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4.1399999999999996E-3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840.74000000000012</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4.5040000000000002E-3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4.1399999999999996E-3</v>
      </c>
      <c r="I85" s="101">
        <f>ROUND(F85*H85,2)</f>
        <v>184915.32</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4.1349999999999998E-3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4.5040000000000002E-3</v>
      </c>
      <c r="I90" s="101">
        <f>ROUND(F90*H90,2)</f>
        <v>72816.399999999994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4.4980000000000003E-3</v>
      </c>
      <c r="I92" s="101">
        <f t="shared" ref="I92:I96" si="14">ROUND(F92*H92,2)</f>
        <v>45160.37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3.9789999999999999E-3</v>
      </c>
      <c r="I94" s="101">
        <f t="shared" si="14"/>
        <v>950971.74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3.9789999999999999E-3</v>
      </c>
      <c r="I96" s="101">
        <f t="shared" si="14"/>
        <v>-6366.59</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440.66280000000006</v>
      </c>
      <c r="D101" s="557"/>
      <c r="E101" s="46">
        <f>H8</f>
        <v>1.0442</v>
      </c>
      <c r="F101" s="304">
        <f>'1461'!F101</f>
        <v>947.59</v>
      </c>
      <c r="G101" s="39" t="s">
        <v>12</v>
      </c>
      <c r="H101" s="101">
        <f>ROUND(C101*E101*F101,2)</f>
        <v>436024.15</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464.7749</v>
      </c>
      <c r="D102" s="557"/>
      <c r="E102" s="46">
        <f>H8</f>
        <v>1.0442</v>
      </c>
      <c r="F102" s="304">
        <f>'1461'!F102</f>
        <v>904.74</v>
      </c>
      <c r="G102" s="39" t="s">
        <v>12</v>
      </c>
      <c r="H102" s="101">
        <f>ROUND(C102*E102*F102,2)</f>
        <v>439086.56</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905.43770000000006</v>
      </c>
      <c r="D104" s="547"/>
      <c r="E104" s="123"/>
      <c r="F104" s="123"/>
      <c r="G104" s="123"/>
      <c r="H104" s="124" t="s">
        <v>100</v>
      </c>
      <c r="I104" s="101">
        <f>IF(A1=75,0,H103+H102+H101)</f>
        <v>875110.71</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4</v>
      </c>
      <c r="D110" s="143">
        <v>0</v>
      </c>
      <c r="E110" s="116">
        <f>C110</f>
        <v>4</v>
      </c>
      <c r="F110" s="126" t="s">
        <v>30</v>
      </c>
      <c r="G110" s="305">
        <f>'1461'!G110</f>
        <v>565</v>
      </c>
      <c r="I110" s="101">
        <f>ROUND(G110*E110,2)</f>
        <v>2260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7086987.0400000019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6798824.6700000018</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6798824.6700000018</v>
      </c>
      <c r="I132" s="94">
        <f>ROUND(IF(E30=0,0,IF(E30&gt;250,-(((250/E30)*H132)*IF(G132="H",0.02,0.05)),IF(G132="H",-0.02*H132,-0.05*H132))),2)</f>
        <v>-101083.94</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6985903.1000000015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-1176043.86-572840.07-572840.07-572840.07-572840.07-585609.85</f>
        <v>-4053013.9899999998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2932889.1100000017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586577.81999999995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238857.29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18"/>
  <sheetViews>
    <sheetView topLeftCell="A12" workbookViewId="0">
      <selection activeCell="D21" sqref="D2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325</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J11" s="256"/>
      <c r="K11" s="255"/>
      <c r="L11" s="255"/>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J12" s="254"/>
      <c r="K12" s="255"/>
      <c r="L12" s="255"/>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K13" s="255"/>
      <c r="L13" s="255"/>
      <c r="N13" s="615" t="s">
        <v>36</v>
      </c>
      <c r="O13" s="615"/>
      <c r="P13" s="616" t="s">
        <v>37</v>
      </c>
      <c r="Q13" s="616"/>
      <c r="R13" s="617" t="s">
        <v>38</v>
      </c>
      <c r="S13" s="617"/>
      <c r="T13" s="22" t="s">
        <v>39</v>
      </c>
      <c r="U13" s="23" t="s">
        <v>40</v>
      </c>
    </row>
    <row r="14" spans="1:21" x14ac:dyDescent="0.25">
      <c r="A14" s="537" t="s">
        <v>20</v>
      </c>
      <c r="B14" s="537"/>
      <c r="C14" s="143">
        <v>189.79</v>
      </c>
      <c r="D14" s="141">
        <v>0</v>
      </c>
      <c r="E14" s="187">
        <f>IF(D$30=0,C14*2,C14+D14)</f>
        <v>379.58</v>
      </c>
      <c r="F14" s="628">
        <f>'1461'!F14:G14</f>
        <v>1.1220000000000001</v>
      </c>
      <c r="G14" s="628"/>
      <c r="H14" s="145">
        <f>ROUND(E14*F14,4)</f>
        <v>425.8888</v>
      </c>
      <c r="I14" s="111">
        <f>ROUND(ROUND(ROUND(H14*$C$8,4)*($H$8),2)*(MAX($H$9,1)),2)</f>
        <v>2285705.1800000002</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12</v>
      </c>
      <c r="D15" s="143">
        <v>0</v>
      </c>
      <c r="E15" s="116">
        <f t="shared" ref="E15:E29" si="1">IF(D$30=0,C15*2,C15+D15)</f>
        <v>24</v>
      </c>
      <c r="F15" s="624">
        <f>'1461'!F15:G15</f>
        <v>1.1220000000000001</v>
      </c>
      <c r="G15" s="624"/>
      <c r="H15" s="80">
        <f t="shared" ref="H15:H29" si="2">ROUND(E15*F15,4)</f>
        <v>26.928000000000001</v>
      </c>
      <c r="I15" s="101">
        <f t="shared" ref="I15:I29" si="3">ROUND(ROUND(ROUND(H15*$C$8,4)*($H$8),2)*(MAX($H$9,1)),2)</f>
        <v>144520.04999999999</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225.8</v>
      </c>
      <c r="D16" s="143">
        <v>0</v>
      </c>
      <c r="E16" s="116">
        <f t="shared" si="1"/>
        <v>451.6</v>
      </c>
      <c r="F16" s="624">
        <f>'1461'!F16:G16</f>
        <v>1</v>
      </c>
      <c r="G16" s="624"/>
      <c r="H16" s="80">
        <f t="shared" si="2"/>
        <v>451.6</v>
      </c>
      <c r="I16" s="101">
        <f t="shared" si="3"/>
        <v>2423694.7799999998</v>
      </c>
      <c r="N16" s="564" t="s">
        <v>22</v>
      </c>
      <c r="O16" s="564"/>
      <c r="P16" s="603">
        <f t="shared" si="0"/>
        <v>0</v>
      </c>
      <c r="Q16" s="603"/>
      <c r="R16" s="608">
        <v>1</v>
      </c>
      <c r="S16" s="608"/>
      <c r="T16" s="95">
        <f t="shared" si="4"/>
        <v>0</v>
      </c>
      <c r="U16" s="474">
        <f t="shared" si="5"/>
        <v>0</v>
      </c>
    </row>
    <row r="17" spans="1:21" x14ac:dyDescent="0.25">
      <c r="A17" s="539" t="s">
        <v>23</v>
      </c>
      <c r="B17" s="539"/>
      <c r="C17" s="143">
        <v>29.5</v>
      </c>
      <c r="D17" s="143">
        <v>0</v>
      </c>
      <c r="E17" s="116">
        <f t="shared" si="1"/>
        <v>59</v>
      </c>
      <c r="F17" s="624">
        <f>'1461'!F17:G17</f>
        <v>1</v>
      </c>
      <c r="G17" s="624"/>
      <c r="H17" s="80">
        <f t="shared" si="2"/>
        <v>59</v>
      </c>
      <c r="I17" s="101">
        <f t="shared" si="3"/>
        <v>316647.46000000002</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12.71</v>
      </c>
      <c r="D26" s="143">
        <v>0</v>
      </c>
      <c r="E26" s="116">
        <f t="shared" si="1"/>
        <v>25.42</v>
      </c>
      <c r="F26" s="624">
        <f>'1461'!F26:G26</f>
        <v>1.208</v>
      </c>
      <c r="G26" s="624"/>
      <c r="H26" s="80">
        <f t="shared" si="2"/>
        <v>30.7074</v>
      </c>
      <c r="I26" s="101">
        <f t="shared" si="3"/>
        <v>164803.73000000001</v>
      </c>
      <c r="N26" s="564" t="s">
        <v>85</v>
      </c>
      <c r="O26" s="564"/>
      <c r="P26" s="603">
        <f t="shared" si="0"/>
        <v>0</v>
      </c>
      <c r="Q26" s="603"/>
      <c r="R26" s="608">
        <v>1</v>
      </c>
      <c r="S26" s="608"/>
      <c r="T26" s="95">
        <f t="shared" si="4"/>
        <v>0</v>
      </c>
      <c r="U26" s="474">
        <f t="shared" si="5"/>
        <v>0</v>
      </c>
    </row>
    <row r="27" spans="1:21" x14ac:dyDescent="0.25">
      <c r="A27" s="539" t="s">
        <v>86</v>
      </c>
      <c r="B27" s="539"/>
      <c r="C27" s="143">
        <v>9.01</v>
      </c>
      <c r="D27" s="143">
        <v>0</v>
      </c>
      <c r="E27" s="116">
        <f t="shared" si="1"/>
        <v>18.02</v>
      </c>
      <c r="F27" s="624">
        <f>'1461'!F27:G27</f>
        <v>1.208</v>
      </c>
      <c r="G27" s="624"/>
      <c r="H27" s="80">
        <f t="shared" si="2"/>
        <v>21.7682</v>
      </c>
      <c r="I27" s="101">
        <f t="shared" si="3"/>
        <v>116827.88</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478.81</v>
      </c>
      <c r="D30" s="94">
        <f>SUM(D14:D29)</f>
        <v>0</v>
      </c>
      <c r="E30" s="94">
        <f>SUM(E14:E29)</f>
        <v>957.62</v>
      </c>
      <c r="F30" s="543"/>
      <c r="G30" s="543"/>
      <c r="H30" s="99">
        <f>SUM(H14:H29)</f>
        <v>1015.8924</v>
      </c>
      <c r="I30" s="94">
        <f>SUM(I14:I29)</f>
        <v>5452199.0800000001</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1015.8924</v>
      </c>
      <c r="F46" s="34"/>
      <c r="G46" s="106"/>
      <c r="H46" s="107" t="s">
        <v>98</v>
      </c>
      <c r="I46" s="94">
        <f>SUM(I44,I30)</f>
        <v>5452199.0800000001</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5452199.0800000001</v>
      </c>
      <c r="G51" s="109" t="s">
        <v>6</v>
      </c>
      <c r="H51" s="402">
        <v>4.5199999999999997E-2</v>
      </c>
      <c r="I51" s="101">
        <f>ROUND(F51*H51,2)</f>
        <v>246439.4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5452199.0800000001</v>
      </c>
      <c r="G52" s="109" t="s">
        <v>6</v>
      </c>
      <c r="H52" s="402">
        <v>1.41E-2</v>
      </c>
      <c r="I52" s="101">
        <f>ROUND(F52*H52,2)</f>
        <v>76876.009999999995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323315.40999999997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7.5</v>
      </c>
      <c r="D57" s="143">
        <v>0</v>
      </c>
      <c r="E57" s="116">
        <f t="shared" ref="E57:E65" si="10">IF(D$66=0,C57*2,C57+D57)</f>
        <v>15</v>
      </c>
      <c r="F57" s="444" t="s">
        <v>435</v>
      </c>
      <c r="G57" s="444">
        <v>251</v>
      </c>
      <c r="H57" s="458">
        <f>'1461'!H57</f>
        <v>1047</v>
      </c>
      <c r="I57" s="101">
        <f>ROUND(E57*H57,2)</f>
        <v>15705</v>
      </c>
      <c r="N57" s="572" t="s">
        <v>443</v>
      </c>
      <c r="O57" s="572"/>
      <c r="P57" s="575"/>
      <c r="Q57" s="575"/>
      <c r="R57" s="450" t="s">
        <v>435</v>
      </c>
      <c r="S57" s="450">
        <v>251</v>
      </c>
      <c r="T57" s="461">
        <f>H57</f>
        <v>1047</v>
      </c>
      <c r="U57" s="475">
        <f>ROUND(P57*T57,2)</f>
        <v>0</v>
      </c>
      <c r="V57" s="425"/>
    </row>
    <row r="58" spans="1:22" x14ac:dyDescent="0.25">
      <c r="A58" s="550"/>
      <c r="B58" s="550"/>
      <c r="C58" s="143">
        <v>4.5</v>
      </c>
      <c r="D58" s="143">
        <v>0</v>
      </c>
      <c r="E58" s="116">
        <f t="shared" si="10"/>
        <v>9</v>
      </c>
      <c r="F58" s="444" t="s">
        <v>435</v>
      </c>
      <c r="G58" s="444">
        <v>252</v>
      </c>
      <c r="H58" s="458">
        <f>'1461'!H58</f>
        <v>3380</v>
      </c>
      <c r="I58" s="101">
        <f t="shared" ref="I58:I65" si="11">ROUND(E58*H58,2)</f>
        <v>30420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22</v>
      </c>
      <c r="D60" s="143">
        <v>0</v>
      </c>
      <c r="E60" s="116">
        <f t="shared" si="10"/>
        <v>44</v>
      </c>
      <c r="F60" s="445" t="s">
        <v>13</v>
      </c>
      <c r="G60" s="444">
        <v>251</v>
      </c>
      <c r="H60" s="458">
        <f>'1461'!H60</f>
        <v>1173</v>
      </c>
      <c r="I60" s="101">
        <f t="shared" si="11"/>
        <v>51612</v>
      </c>
      <c r="N60" s="573"/>
      <c r="O60" s="573"/>
      <c r="P60" s="576"/>
      <c r="Q60" s="576"/>
      <c r="R60" s="40" t="s">
        <v>13</v>
      </c>
      <c r="S60" s="450">
        <v>251</v>
      </c>
      <c r="T60" s="461">
        <f t="shared" si="12"/>
        <v>1173</v>
      </c>
      <c r="U60" s="475">
        <f t="shared" si="13"/>
        <v>0</v>
      </c>
      <c r="V60" s="425"/>
    </row>
    <row r="61" spans="1:22" x14ac:dyDescent="0.25">
      <c r="A61" s="550"/>
      <c r="B61" s="550"/>
      <c r="C61" s="143">
        <v>7.5</v>
      </c>
      <c r="D61" s="143">
        <v>0</v>
      </c>
      <c r="E61" s="116">
        <f t="shared" si="10"/>
        <v>15</v>
      </c>
      <c r="F61" s="445" t="s">
        <v>13</v>
      </c>
      <c r="G61" s="444">
        <v>252</v>
      </c>
      <c r="H61" s="458">
        <f>'1461'!H61</f>
        <v>3506</v>
      </c>
      <c r="I61" s="101">
        <f t="shared" si="11"/>
        <v>52590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41.5</v>
      </c>
      <c r="D66" s="97">
        <f>SUM(D57:D65)</f>
        <v>0</v>
      </c>
      <c r="E66" s="97">
        <f>SUM(E57:E65)</f>
        <v>83</v>
      </c>
      <c r="F66" s="551" t="s">
        <v>444</v>
      </c>
      <c r="G66" s="551"/>
      <c r="H66" s="551"/>
      <c r="I66" s="97">
        <f>SUM(I57:I65)</f>
        <v>150327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957.62</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4.7099999999999998E-3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1015.8924</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4.4650000000000002E-3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957.62</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5.1229999999999999E-3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957.62</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4.7149999999999996E-3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957.62</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5.13E-3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4.7149999999999996E-3</v>
      </c>
      <c r="I85" s="101">
        <f>ROUND(F85*H85,2)</f>
        <v>210598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4.7099999999999998E-3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5.13E-3</v>
      </c>
      <c r="I90" s="101">
        <f>ROUND(F90*H90,2)</f>
        <v>82936.98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5.1229999999999999E-3</v>
      </c>
      <c r="I92" s="101">
        <f t="shared" ref="I92:I96" si="14">ROUND(F92*H92,2)</f>
        <v>51435.43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4.4650000000000002E-3</v>
      </c>
      <c r="I94" s="101">
        <f t="shared" si="14"/>
        <v>1067124.6100000001</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4.4650000000000002E-3</v>
      </c>
      <c r="I96" s="101">
        <f t="shared" si="14"/>
        <v>-7144.21</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483.52420000000001</v>
      </c>
      <c r="D101" s="557"/>
      <c r="E101" s="46">
        <f>H8</f>
        <v>1.0442</v>
      </c>
      <c r="F101" s="304">
        <f>'1461'!F101</f>
        <v>947.59</v>
      </c>
      <c r="G101" s="39" t="s">
        <v>12</v>
      </c>
      <c r="H101" s="101">
        <f>ROUND(C101*E101*F101,2)</f>
        <v>478434.37</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532.3682</v>
      </c>
      <c r="D102" s="557"/>
      <c r="E102" s="46">
        <f>H8</f>
        <v>1.0442</v>
      </c>
      <c r="F102" s="304">
        <f>'1461'!F102</f>
        <v>904.74</v>
      </c>
      <c r="G102" s="39" t="s">
        <v>12</v>
      </c>
      <c r="H102" s="101">
        <f>ROUND(C102*E102*F102,2)</f>
        <v>502943.95</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1015.8924</v>
      </c>
      <c r="D104" s="547"/>
      <c r="E104" s="123"/>
      <c r="F104" s="123"/>
      <c r="G104" s="123"/>
      <c r="H104" s="124" t="s">
        <v>100</v>
      </c>
      <c r="I104" s="101">
        <f>IF(A1=75,0,H103+H102+H101)</f>
        <v>981378.32000000007</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160</v>
      </c>
      <c r="D110" s="143">
        <v>0</v>
      </c>
      <c r="E110" s="116">
        <f>C110</f>
        <v>160</v>
      </c>
      <c r="F110" s="126" t="s">
        <v>30</v>
      </c>
      <c r="G110" s="305">
        <f>'1461'!G110</f>
        <v>565</v>
      </c>
      <c r="I110" s="101">
        <f>ROUND(G110*E110,2)</f>
        <v>90400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8079255.2100000009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7755939.8000000007</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7755939.8000000007</v>
      </c>
      <c r="I132" s="94">
        <f>ROUND(IF(E30=0,0,IF(E30&gt;250,-(((250/E30)*H132)*IF(G132="H",0.02,0.05)),IF(G132="H",-0.02*H132,-0.05*H132))),2)</f>
        <v>-40495.919999999998</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8038759.290000001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-1461472.08-715136.15-715136.15-715136.15-715136.14-617792.9</f>
        <v>-4939809.57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3098949.7200000007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619789.93999999994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114622.88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96:C96"/>
    <mergeCell ref="N96:P96"/>
    <mergeCell ref="C99:D99"/>
    <mergeCell ref="C100:D100"/>
    <mergeCell ref="N100:O100"/>
    <mergeCell ref="P100:Q100"/>
    <mergeCell ref="R100:U100"/>
    <mergeCell ref="C101:D101"/>
    <mergeCell ref="P101:Q101"/>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18"/>
  <sheetViews>
    <sheetView topLeftCell="A9" workbookViewId="0">
      <selection activeCell="I136" sqref="I13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245</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42.76</v>
      </c>
      <c r="D14" s="141">
        <v>0</v>
      </c>
      <c r="E14" s="187">
        <f>IF(D$30=0,C14*2,C14+D14)</f>
        <v>85.52</v>
      </c>
      <c r="F14" s="628">
        <f>'1461'!F14:G14</f>
        <v>1.1220000000000001</v>
      </c>
      <c r="G14" s="628"/>
      <c r="H14" s="145">
        <f>ROUND(E14*F14,4)</f>
        <v>95.953400000000002</v>
      </c>
      <c r="I14" s="111">
        <f>ROUND(ROUND(ROUND(H14*$C$8,4)*($H$8),2)*(MAX($H$9,1)),2)</f>
        <v>514972.88</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3.5</v>
      </c>
      <c r="D15" s="143">
        <v>0</v>
      </c>
      <c r="E15" s="116">
        <f t="shared" ref="E15:E29" si="1">IF(D$30=0,C15*2,C15+D15)</f>
        <v>7</v>
      </c>
      <c r="F15" s="624">
        <f>'1461'!F15:G15</f>
        <v>1.1220000000000001</v>
      </c>
      <c r="G15" s="624"/>
      <c r="H15" s="80">
        <f t="shared" ref="H15:H29" si="2">ROUND(E15*F15,4)</f>
        <v>7.8540000000000001</v>
      </c>
      <c r="I15" s="101">
        <f t="shared" ref="I15:I29" si="3">ROUND(ROUND(ROUND(H15*$C$8,4)*($H$8),2)*(MAX($H$9,1)),2)</f>
        <v>42151.68</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68.22</v>
      </c>
      <c r="D16" s="143">
        <v>0</v>
      </c>
      <c r="E16" s="116">
        <f t="shared" si="1"/>
        <v>136.44</v>
      </c>
      <c r="F16" s="624">
        <f>'1461'!F16:G16</f>
        <v>1</v>
      </c>
      <c r="G16" s="624"/>
      <c r="H16" s="80">
        <f t="shared" si="2"/>
        <v>136.44</v>
      </c>
      <c r="I16" s="101">
        <f t="shared" si="3"/>
        <v>732260.66</v>
      </c>
      <c r="N16" s="564" t="s">
        <v>22</v>
      </c>
      <c r="O16" s="564"/>
      <c r="P16" s="603">
        <f t="shared" si="0"/>
        <v>0</v>
      </c>
      <c r="Q16" s="603"/>
      <c r="R16" s="608">
        <v>1</v>
      </c>
      <c r="S16" s="608"/>
      <c r="T16" s="95">
        <f t="shared" si="4"/>
        <v>0</v>
      </c>
      <c r="U16" s="474">
        <f t="shared" si="5"/>
        <v>0</v>
      </c>
    </row>
    <row r="17" spans="1:21" x14ac:dyDescent="0.25">
      <c r="A17" s="539" t="s">
        <v>23</v>
      </c>
      <c r="B17" s="539"/>
      <c r="C17" s="143">
        <v>13</v>
      </c>
      <c r="D17" s="143">
        <v>0</v>
      </c>
      <c r="E17" s="116">
        <f t="shared" si="1"/>
        <v>26</v>
      </c>
      <c r="F17" s="624">
        <f>'1461'!F17:G17</f>
        <v>1</v>
      </c>
      <c r="G17" s="624"/>
      <c r="H17" s="80">
        <f t="shared" si="2"/>
        <v>26</v>
      </c>
      <c r="I17" s="101">
        <f t="shared" si="3"/>
        <v>139539.56</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7.24</v>
      </c>
      <c r="D26" s="143">
        <v>0</v>
      </c>
      <c r="E26" s="116">
        <f t="shared" si="1"/>
        <v>14.48</v>
      </c>
      <c r="F26" s="624">
        <f>'1461'!F26:G26</f>
        <v>1.208</v>
      </c>
      <c r="G26" s="624"/>
      <c r="H26" s="80">
        <f t="shared" si="2"/>
        <v>17.491800000000001</v>
      </c>
      <c r="I26" s="101">
        <f t="shared" si="3"/>
        <v>93876.85</v>
      </c>
      <c r="N26" s="564" t="s">
        <v>85</v>
      </c>
      <c r="O26" s="564"/>
      <c r="P26" s="603">
        <f t="shared" si="0"/>
        <v>0</v>
      </c>
      <c r="Q26" s="603"/>
      <c r="R26" s="608">
        <v>1</v>
      </c>
      <c r="S26" s="608"/>
      <c r="T26" s="95">
        <f t="shared" si="4"/>
        <v>0</v>
      </c>
      <c r="U26" s="474">
        <f t="shared" si="5"/>
        <v>0</v>
      </c>
    </row>
    <row r="27" spans="1:21" x14ac:dyDescent="0.25">
      <c r="A27" s="539" t="s">
        <v>86</v>
      </c>
      <c r="B27" s="539"/>
      <c r="C27" s="143">
        <v>3.29</v>
      </c>
      <c r="D27" s="143">
        <v>0</v>
      </c>
      <c r="E27" s="116">
        <f t="shared" si="1"/>
        <v>6.58</v>
      </c>
      <c r="F27" s="624">
        <f>'1461'!F27:G27</f>
        <v>1.208</v>
      </c>
      <c r="G27" s="624"/>
      <c r="H27" s="80">
        <f t="shared" si="2"/>
        <v>7.9485999999999999</v>
      </c>
      <c r="I27" s="101">
        <f t="shared" si="3"/>
        <v>42659.39</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138.01</v>
      </c>
      <c r="D30" s="94">
        <f>SUM(D14:D29)</f>
        <v>0</v>
      </c>
      <c r="E30" s="94">
        <f>SUM(E14:E29)</f>
        <v>276.02</v>
      </c>
      <c r="F30" s="543"/>
      <c r="G30" s="543"/>
      <c r="H30" s="99">
        <f>SUM(H14:H29)</f>
        <v>291.68779999999998</v>
      </c>
      <c r="I30" s="94">
        <f>SUM(I14:I29)</f>
        <v>1565461.0200000003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291.68779999999998</v>
      </c>
      <c r="F46" s="34"/>
      <c r="G46" s="106"/>
      <c r="H46" s="107" t="s">
        <v>98</v>
      </c>
      <c r="I46" s="94">
        <f>SUM(I44,I30)</f>
        <v>1565461.0200000003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1565461.0200000003</v>
      </c>
      <c r="G51" s="109" t="s">
        <v>6</v>
      </c>
      <c r="H51" s="402">
        <v>4.5199999999999997E-2</v>
      </c>
      <c r="I51" s="101">
        <f>ROUND(F51*H51,2)</f>
        <v>70758.84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1565461.0200000003</v>
      </c>
      <c r="G52" s="109" t="s">
        <v>6</v>
      </c>
      <c r="H52" s="402">
        <v>1.41E-2</v>
      </c>
      <c r="I52" s="101">
        <f>ROUND(F52*H52,2)</f>
        <v>22073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92831.84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1.5</v>
      </c>
      <c r="D57" s="143">
        <v>0</v>
      </c>
      <c r="E57" s="116">
        <f t="shared" ref="E57:E65" si="10">IF(D$66=0,C57*2,C57+D57)</f>
        <v>3</v>
      </c>
      <c r="F57" s="444" t="s">
        <v>435</v>
      </c>
      <c r="G57" s="444">
        <v>251</v>
      </c>
      <c r="H57" s="458">
        <f>'1461'!H57</f>
        <v>1047</v>
      </c>
      <c r="I57" s="101">
        <f>ROUND(E57*H57,2)</f>
        <v>3141</v>
      </c>
      <c r="N57" s="572" t="s">
        <v>443</v>
      </c>
      <c r="O57" s="572"/>
      <c r="P57" s="575"/>
      <c r="Q57" s="575"/>
      <c r="R57" s="450" t="s">
        <v>435</v>
      </c>
      <c r="S57" s="450">
        <v>251</v>
      </c>
      <c r="T57" s="461">
        <f>H57</f>
        <v>1047</v>
      </c>
      <c r="U57" s="475">
        <f>ROUND(P57*T57,2)</f>
        <v>0</v>
      </c>
      <c r="V57" s="425"/>
    </row>
    <row r="58" spans="1:22" x14ac:dyDescent="0.25">
      <c r="A58" s="550"/>
      <c r="B58" s="550"/>
      <c r="C58" s="143">
        <v>2</v>
      </c>
      <c r="D58" s="143">
        <v>0</v>
      </c>
      <c r="E58" s="116">
        <f t="shared" si="10"/>
        <v>4</v>
      </c>
      <c r="F58" s="444" t="s">
        <v>435</v>
      </c>
      <c r="G58" s="444">
        <v>252</v>
      </c>
      <c r="H58" s="458">
        <f>'1461'!H58</f>
        <v>3380</v>
      </c>
      <c r="I58" s="101">
        <f t="shared" ref="I58:I65" si="11">ROUND(E58*H58,2)</f>
        <v>13520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12.5</v>
      </c>
      <c r="D60" s="143">
        <v>0</v>
      </c>
      <c r="E60" s="116">
        <f t="shared" si="10"/>
        <v>25</v>
      </c>
      <c r="F60" s="445" t="s">
        <v>13</v>
      </c>
      <c r="G60" s="444">
        <v>251</v>
      </c>
      <c r="H60" s="458">
        <f>'1461'!H60</f>
        <v>1173</v>
      </c>
      <c r="I60" s="101">
        <f t="shared" si="11"/>
        <v>29325</v>
      </c>
      <c r="N60" s="573"/>
      <c r="O60" s="573"/>
      <c r="P60" s="576"/>
      <c r="Q60" s="576"/>
      <c r="R60" s="40" t="s">
        <v>13</v>
      </c>
      <c r="S60" s="450">
        <v>251</v>
      </c>
      <c r="T60" s="461">
        <f t="shared" si="12"/>
        <v>1173</v>
      </c>
      <c r="U60" s="475">
        <f t="shared" si="13"/>
        <v>0</v>
      </c>
      <c r="V60" s="425"/>
    </row>
    <row r="61" spans="1:22" x14ac:dyDescent="0.25">
      <c r="A61" s="550"/>
      <c r="B61" s="550"/>
      <c r="C61" s="143">
        <v>0.5</v>
      </c>
      <c r="D61" s="143">
        <v>0</v>
      </c>
      <c r="E61" s="116">
        <f t="shared" si="10"/>
        <v>1</v>
      </c>
      <c r="F61" s="445" t="s">
        <v>13</v>
      </c>
      <c r="G61" s="444">
        <v>252</v>
      </c>
      <c r="H61" s="458">
        <f>'1461'!H61</f>
        <v>3506</v>
      </c>
      <c r="I61" s="101">
        <f t="shared" si="11"/>
        <v>3506</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16.5</v>
      </c>
      <c r="D66" s="97">
        <f>SUM(D57:D65)</f>
        <v>0</v>
      </c>
      <c r="E66" s="97">
        <f>SUM(E57:E65)</f>
        <v>33</v>
      </c>
      <c r="F66" s="551" t="s">
        <v>444</v>
      </c>
      <c r="G66" s="551"/>
      <c r="H66" s="551"/>
      <c r="I66" s="97">
        <f>SUM(I57:I65)</f>
        <v>49492</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276.02</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1.358E-3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291.68779999999998</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1.2819999999999999E-3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276.02</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1.477E-3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276.02</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1.359E-3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276.02</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1.4790000000000001E-3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1.359E-3</v>
      </c>
      <c r="I85" s="101">
        <f>ROUND(F85*H85,2)</f>
        <v>60700.46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1.358E-3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1.4790000000000001E-3</v>
      </c>
      <c r="I90" s="101">
        <f>ROUND(F90*H90,2)</f>
        <v>23911.07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1.477E-3</v>
      </c>
      <c r="I92" s="101">
        <f t="shared" ref="I92:I96" si="14">ROUND(F92*H92,2)</f>
        <v>14829.23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1.2819999999999999E-3</v>
      </c>
      <c r="I94" s="101">
        <f t="shared" si="14"/>
        <v>306395.02</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1.2819999999999999E-3</v>
      </c>
      <c r="I96" s="101">
        <f t="shared" si="14"/>
        <v>-2051.2600000000002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v>-1</v>
      </c>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121.2992</v>
      </c>
      <c r="D101" s="557"/>
      <c r="E101" s="46">
        <f>H8</f>
        <v>1.0442</v>
      </c>
      <c r="F101" s="304">
        <f>'1461'!F101</f>
        <v>947.59</v>
      </c>
      <c r="G101" s="39" t="s">
        <v>12</v>
      </c>
      <c r="H101" s="101">
        <f>ROUND(C101*E101*F101,2)</f>
        <v>120022.34</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170.3886</v>
      </c>
      <c r="D102" s="557"/>
      <c r="E102" s="46">
        <f>H8</f>
        <v>1.0442</v>
      </c>
      <c r="F102" s="304">
        <f>'1461'!F102</f>
        <v>904.74</v>
      </c>
      <c r="G102" s="39" t="s">
        <v>12</v>
      </c>
      <c r="H102" s="101">
        <f>ROUND(C102*E102*F102,2)</f>
        <v>160971.14000000001</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291.68779999999998</v>
      </c>
      <c r="D104" s="547"/>
      <c r="E104" s="123"/>
      <c r="F104" s="123"/>
      <c r="G104" s="123"/>
      <c r="H104" s="124" t="s">
        <v>100</v>
      </c>
      <c r="I104" s="101">
        <f>IF(A1=75,0,H103+H102+H101)</f>
        <v>280993.48</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60</v>
      </c>
      <c r="D110" s="143">
        <v>0</v>
      </c>
      <c r="E110" s="144">
        <f>C110</f>
        <v>60</v>
      </c>
      <c r="F110" s="126" t="s">
        <v>30</v>
      </c>
      <c r="G110" s="305">
        <f>'1461'!G110</f>
        <v>565</v>
      </c>
      <c r="I110" s="101">
        <f>ROUND(G110*E110,2)</f>
        <v>33900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2333631.0200000005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2240799.1800000006</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2240799.1800000006</v>
      </c>
      <c r="I132" s="94">
        <f>ROUND(IF(E30=0,0,IF(E30&gt;250,-(((250/E30)*H132)*IF(G132="H",0.02,0.05)),IF(G132="H",-0.02*H132,-0.05*H132))),2)</f>
        <v>-101478.12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2232152.9000000004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-384483.65-187582.84-187582.84-187582.84-187582.83-180069.2</f>
        <v>-1314884.2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917268.70000000042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183453.74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10561.84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18"/>
  <sheetViews>
    <sheetView topLeftCell="A12" workbookViewId="0">
      <selection activeCell="E111" sqref="E11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236</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43.7</v>
      </c>
      <c r="D18" s="143">
        <v>0</v>
      </c>
      <c r="E18" s="116">
        <f t="shared" si="1"/>
        <v>87.4</v>
      </c>
      <c r="F18" s="624">
        <f>'1461'!F18:G18</f>
        <v>0.98799999999999999</v>
      </c>
      <c r="G18" s="624"/>
      <c r="H18" s="80">
        <f t="shared" si="2"/>
        <v>86.351200000000006</v>
      </c>
      <c r="I18" s="101">
        <f t="shared" si="3"/>
        <v>463438.78</v>
      </c>
      <c r="N18" s="564" t="s">
        <v>24</v>
      </c>
      <c r="O18" s="564"/>
      <c r="P18" s="603">
        <f t="shared" si="0"/>
        <v>0</v>
      </c>
      <c r="Q18" s="603"/>
      <c r="R18" s="608">
        <v>1</v>
      </c>
      <c r="S18" s="608"/>
      <c r="T18" s="95">
        <f t="shared" si="4"/>
        <v>0</v>
      </c>
      <c r="U18" s="474">
        <f t="shared" si="5"/>
        <v>0</v>
      </c>
    </row>
    <row r="19" spans="1:21" x14ac:dyDescent="0.25">
      <c r="A19" s="539" t="s">
        <v>25</v>
      </c>
      <c r="B19" s="539"/>
      <c r="C19" s="143">
        <v>11</v>
      </c>
      <c r="D19" s="143">
        <v>0</v>
      </c>
      <c r="E19" s="116">
        <f t="shared" si="1"/>
        <v>22</v>
      </c>
      <c r="F19" s="624">
        <f>'1461'!F19:G19</f>
        <v>0.98799999999999999</v>
      </c>
      <c r="G19" s="624"/>
      <c r="H19" s="80">
        <f t="shared" si="2"/>
        <v>21.736000000000001</v>
      </c>
      <c r="I19" s="101">
        <f t="shared" si="3"/>
        <v>116655.07</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0.5</v>
      </c>
      <c r="D25" s="143">
        <v>0</v>
      </c>
      <c r="E25" s="116">
        <f t="shared" si="1"/>
        <v>1</v>
      </c>
      <c r="F25" s="624">
        <f>'1461'!F25:G25</f>
        <v>5.7069999999999999</v>
      </c>
      <c r="G25" s="624"/>
      <c r="H25" s="80">
        <f t="shared" si="2"/>
        <v>5.7069999999999999</v>
      </c>
      <c r="I25" s="101">
        <f t="shared" si="3"/>
        <v>30628.93</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1.04</v>
      </c>
      <c r="D28" s="143">
        <v>0</v>
      </c>
      <c r="E28" s="116">
        <f t="shared" si="1"/>
        <v>2.08</v>
      </c>
      <c r="F28" s="624">
        <f>'1461'!F28:G28</f>
        <v>1.208</v>
      </c>
      <c r="G28" s="624"/>
      <c r="H28" s="80">
        <f t="shared" si="2"/>
        <v>2.5125999999999999</v>
      </c>
      <c r="I28" s="101">
        <f t="shared" si="3"/>
        <v>13484.89</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56.24</v>
      </c>
      <c r="D30" s="94">
        <f>SUM(D14:D29)</f>
        <v>0</v>
      </c>
      <c r="E30" s="94">
        <f>SUM(E14:E29)</f>
        <v>112.48</v>
      </c>
      <c r="F30" s="543"/>
      <c r="G30" s="543"/>
      <c r="H30" s="99">
        <f>SUM(H14:H29)</f>
        <v>116.30680000000001</v>
      </c>
      <c r="I30" s="94">
        <f>SUM(I14:I29)</f>
        <v>624207.67000000016</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116.30680000000001</v>
      </c>
      <c r="F46" s="34"/>
      <c r="G46" s="106"/>
      <c r="H46" s="107" t="s">
        <v>98</v>
      </c>
      <c r="I46" s="94">
        <f>SUM(I44,I30)</f>
        <v>624207.67000000016</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624207.67000000016</v>
      </c>
      <c r="G51" s="109" t="s">
        <v>6</v>
      </c>
      <c r="H51" s="402">
        <v>4.5199999999999997E-2</v>
      </c>
      <c r="I51" s="101">
        <f>ROUND(F51*H51,2)</f>
        <v>28214.19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624207.67000000016</v>
      </c>
      <c r="G52" s="109" t="s">
        <v>6</v>
      </c>
      <c r="H52" s="402">
        <v>1.41E-2</v>
      </c>
      <c r="I52" s="101">
        <f>ROUND(F52*H52,2)</f>
        <v>8801.33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37015.519999999997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10.5</v>
      </c>
      <c r="D63" s="143">
        <v>0</v>
      </c>
      <c r="E63" s="116">
        <f t="shared" si="10"/>
        <v>21</v>
      </c>
      <c r="F63" s="445" t="s">
        <v>14</v>
      </c>
      <c r="G63" s="444">
        <v>251</v>
      </c>
      <c r="H63" s="458">
        <f>'1461'!H63</f>
        <v>835</v>
      </c>
      <c r="I63" s="101">
        <f t="shared" si="11"/>
        <v>17535</v>
      </c>
      <c r="N63" s="573"/>
      <c r="O63" s="573"/>
      <c r="P63" s="576"/>
      <c r="Q63" s="576"/>
      <c r="R63" s="40" t="s">
        <v>14</v>
      </c>
      <c r="S63" s="450">
        <v>251</v>
      </c>
      <c r="T63" s="461">
        <f t="shared" si="12"/>
        <v>835</v>
      </c>
      <c r="U63" s="475">
        <f t="shared" si="13"/>
        <v>0</v>
      </c>
      <c r="V63" s="425"/>
    </row>
    <row r="64" spans="1:22" x14ac:dyDescent="0.25">
      <c r="A64" s="550"/>
      <c r="B64" s="550"/>
      <c r="C64" s="143">
        <v>0.5</v>
      </c>
      <c r="D64" s="143">
        <v>0</v>
      </c>
      <c r="E64" s="116">
        <f t="shared" si="10"/>
        <v>1</v>
      </c>
      <c r="F64" s="445" t="s">
        <v>14</v>
      </c>
      <c r="G64" s="444">
        <v>252</v>
      </c>
      <c r="H64" s="458">
        <f>'1461'!H64</f>
        <v>3168</v>
      </c>
      <c r="I64" s="101">
        <f t="shared" si="11"/>
        <v>3168</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11</v>
      </c>
      <c r="D66" s="97">
        <f>SUM(D57:D65)</f>
        <v>0</v>
      </c>
      <c r="E66" s="97">
        <f>SUM(E57:E65)</f>
        <v>22</v>
      </c>
      <c r="F66" s="551" t="s">
        <v>444</v>
      </c>
      <c r="G66" s="551"/>
      <c r="H66" s="551"/>
      <c r="I66" s="97">
        <f>SUM(I57:I65)</f>
        <v>20703</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112.48</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5.53E-4</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116.30680000000001</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5.1099999999999995E-4</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112.48</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6.02E-4</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112.48</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5.5400000000000002E-4</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112.48</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6.0300000000000002E-4</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5.5400000000000002E-4</v>
      </c>
      <c r="I85" s="101">
        <f>ROUND(F85*H85,2)</f>
        <v>24744.71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5.53E-4</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6.0300000000000002E-4</v>
      </c>
      <c r="I90" s="101">
        <f>ROUND(F90*H90,2)</f>
        <v>9748.73</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6.02E-4</v>
      </c>
      <c r="I92" s="101">
        <f t="shared" ref="I92:I96" si="14">ROUND(F92*H92,2)</f>
        <v>6044.14</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5.1099999999999995E-4</v>
      </c>
      <c r="I94" s="101">
        <f t="shared" si="14"/>
        <v>122127.81</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5.1099999999999995E-4</v>
      </c>
      <c r="I96" s="101">
        <f t="shared" si="14"/>
        <v>-817.62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116.30680000000001</v>
      </c>
      <c r="D103" s="557"/>
      <c r="E103" s="46">
        <f>H8</f>
        <v>1.0442</v>
      </c>
      <c r="F103" s="304">
        <f>'1461'!F103</f>
        <v>906.93</v>
      </c>
      <c r="G103" s="39" t="s">
        <v>12</v>
      </c>
      <c r="H103" s="94">
        <f>ROUND(C103*E103*F103,2)</f>
        <v>110144.44</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116.30680000000001</v>
      </c>
      <c r="D104" s="547"/>
      <c r="E104" s="123"/>
      <c r="F104" s="123"/>
      <c r="G104" s="123"/>
      <c r="H104" s="124" t="s">
        <v>100</v>
      </c>
      <c r="I104" s="101">
        <f>IF(A1=75,0,H103+H102+H101)</f>
        <v>110144.44</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40</v>
      </c>
      <c r="D110" s="143">
        <v>0</v>
      </c>
      <c r="E110" s="144">
        <f>C110</f>
        <v>40</v>
      </c>
      <c r="F110" s="126" t="s">
        <v>30</v>
      </c>
      <c r="G110" s="305">
        <f>'1461'!G110</f>
        <v>565</v>
      </c>
      <c r="I110" s="101">
        <f>ROUND(G110*E110,2)</f>
        <v>22600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939502.88000000012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902487.3600000001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902487.3600000001</v>
      </c>
      <c r="I132" s="94">
        <f>ROUND(IF(E30=0,0,IF(E30&gt;250,-(((250/E30)*H132)*IF(G132="H",0.02,0.05)),IF(G132="H",-0.02*H132,-0.05*H132))),2)</f>
        <v>-45124.37</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894378.51000000013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-184740.19-89293.73-89293.72-89293.73-89293.72-53384.46</f>
        <v>-595299.54999999993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299078.9600000002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59815.79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18"/>
  <sheetViews>
    <sheetView topLeftCell="A3"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274</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129.83000000000001</v>
      </c>
      <c r="D16" s="143">
        <v>0</v>
      </c>
      <c r="E16" s="116">
        <f t="shared" si="1"/>
        <v>259.66000000000003</v>
      </c>
      <c r="F16" s="624">
        <f>'1461'!F16:G16</f>
        <v>1</v>
      </c>
      <c r="G16" s="624"/>
      <c r="H16" s="80">
        <f t="shared" si="2"/>
        <v>259.66000000000003</v>
      </c>
      <c r="I16" s="101">
        <f t="shared" si="3"/>
        <v>1393570.83</v>
      </c>
      <c r="N16" s="564" t="s">
        <v>22</v>
      </c>
      <c r="O16" s="564"/>
      <c r="P16" s="603">
        <f t="shared" si="0"/>
        <v>0</v>
      </c>
      <c r="Q16" s="603"/>
      <c r="R16" s="608">
        <v>1</v>
      </c>
      <c r="S16" s="608"/>
      <c r="T16" s="95">
        <f t="shared" si="4"/>
        <v>0</v>
      </c>
      <c r="U16" s="474">
        <f t="shared" si="5"/>
        <v>0</v>
      </c>
    </row>
    <row r="17" spans="1:21" x14ac:dyDescent="0.25">
      <c r="A17" s="539" t="s">
        <v>23</v>
      </c>
      <c r="B17" s="539"/>
      <c r="C17" s="143">
        <v>23</v>
      </c>
      <c r="D17" s="143">
        <v>0</v>
      </c>
      <c r="E17" s="116">
        <f t="shared" si="1"/>
        <v>46</v>
      </c>
      <c r="F17" s="624">
        <f>'1461'!F17:G17</f>
        <v>1</v>
      </c>
      <c r="G17" s="624"/>
      <c r="H17" s="80">
        <f t="shared" si="2"/>
        <v>46</v>
      </c>
      <c r="I17" s="101">
        <f t="shared" si="3"/>
        <v>246877.68</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14.17</v>
      </c>
      <c r="D27" s="143">
        <v>0</v>
      </c>
      <c r="E27" s="116">
        <f t="shared" si="1"/>
        <v>28.34</v>
      </c>
      <c r="F27" s="624">
        <f>'1461'!F27:G27</f>
        <v>1.208</v>
      </c>
      <c r="G27" s="624"/>
      <c r="H27" s="80">
        <f t="shared" si="2"/>
        <v>34.234699999999997</v>
      </c>
      <c r="I27" s="101">
        <f t="shared" si="3"/>
        <v>183734.42</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167</v>
      </c>
      <c r="D30" s="94">
        <f>SUM(D14:D29)</f>
        <v>0</v>
      </c>
      <c r="E30" s="94">
        <f>SUM(E14:E29)</f>
        <v>334</v>
      </c>
      <c r="F30" s="543"/>
      <c r="G30" s="543"/>
      <c r="H30" s="99">
        <f>SUM(H14:H29)</f>
        <v>339.8947</v>
      </c>
      <c r="I30" s="94">
        <f>SUM(I14:I29)</f>
        <v>1824182.93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339.8947</v>
      </c>
      <c r="F46" s="34"/>
      <c r="G46" s="106"/>
      <c r="H46" s="107" t="s">
        <v>98</v>
      </c>
      <c r="I46" s="94">
        <f>SUM(I44,I30)</f>
        <v>1824182.93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1824182.93</v>
      </c>
      <c r="G51" s="109" t="s">
        <v>6</v>
      </c>
      <c r="H51" s="402">
        <v>4.5199999999999997E-2</v>
      </c>
      <c r="I51" s="101">
        <f>ROUND(F51*H51,2)</f>
        <v>82453.070000000007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1824182.93</v>
      </c>
      <c r="G52" s="109" t="s">
        <v>6</v>
      </c>
      <c r="H52" s="402">
        <v>1.41E-2</v>
      </c>
      <c r="I52" s="101">
        <f>ROUND(F52*H52,2)</f>
        <v>25720.98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108174.05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22</v>
      </c>
      <c r="D60" s="143">
        <v>0</v>
      </c>
      <c r="E60" s="116">
        <f t="shared" si="10"/>
        <v>44</v>
      </c>
      <c r="F60" s="445" t="s">
        <v>13</v>
      </c>
      <c r="G60" s="444">
        <v>251</v>
      </c>
      <c r="H60" s="458">
        <f>'1461'!H60</f>
        <v>1173</v>
      </c>
      <c r="I60" s="101">
        <f t="shared" si="11"/>
        <v>51612</v>
      </c>
      <c r="N60" s="573"/>
      <c r="O60" s="573"/>
      <c r="P60" s="576"/>
      <c r="Q60" s="576"/>
      <c r="R60" s="40" t="s">
        <v>13</v>
      </c>
      <c r="S60" s="450">
        <v>251</v>
      </c>
      <c r="T60" s="461">
        <f t="shared" si="12"/>
        <v>1173</v>
      </c>
      <c r="U60" s="475">
        <f t="shared" si="13"/>
        <v>0</v>
      </c>
      <c r="V60" s="425"/>
    </row>
    <row r="61" spans="1:22" x14ac:dyDescent="0.25">
      <c r="A61" s="550"/>
      <c r="B61" s="550"/>
      <c r="C61" s="143">
        <v>1</v>
      </c>
      <c r="D61" s="143">
        <v>0</v>
      </c>
      <c r="E61" s="116">
        <f t="shared" si="10"/>
        <v>2</v>
      </c>
      <c r="F61" s="445" t="s">
        <v>13</v>
      </c>
      <c r="G61" s="444">
        <v>252</v>
      </c>
      <c r="H61" s="458">
        <f>'1461'!H61</f>
        <v>3506</v>
      </c>
      <c r="I61" s="101">
        <f t="shared" si="11"/>
        <v>7012</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23</v>
      </c>
      <c r="D66" s="97">
        <f>SUM(D57:D65)</f>
        <v>0</v>
      </c>
      <c r="E66" s="97">
        <f>SUM(E57:E65)</f>
        <v>46</v>
      </c>
      <c r="F66" s="551" t="s">
        <v>444</v>
      </c>
      <c r="G66" s="551"/>
      <c r="H66" s="551"/>
      <c r="I66" s="97">
        <f>SUM(I57:I65)</f>
        <v>58624</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334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1.6429999999999999E-3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339.8947</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1.4940000000000001E-3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334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1.787E-3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334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1.645E-3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334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1.789E-3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1.645E-3</v>
      </c>
      <c r="I85" s="101">
        <f>ROUND(F85*H85,2)</f>
        <v>73474.81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1.6429999999999999E-3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1.789E-3</v>
      </c>
      <c r="I90" s="101">
        <f>ROUND(F90*H90,2)</f>
        <v>28922.86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1.787E-3</v>
      </c>
      <c r="I92" s="101">
        <f t="shared" ref="I92:I96" si="14">ROUND(F92*H92,2)</f>
        <v>17941.66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1.4940000000000001E-3</v>
      </c>
      <c r="I94" s="101">
        <f t="shared" si="14"/>
        <v>357062.52</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1.4940000000000001E-3</v>
      </c>
      <c r="I96" s="101">
        <f t="shared" si="14"/>
        <v>-2390.4699999999998</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339.8947</v>
      </c>
      <c r="D102" s="557"/>
      <c r="E102" s="46">
        <f>H8</f>
        <v>1.0442</v>
      </c>
      <c r="F102" s="304">
        <f>'1461'!F102</f>
        <v>904.74</v>
      </c>
      <c r="G102" s="39" t="s">
        <v>12</v>
      </c>
      <c r="H102" s="101">
        <f>ROUND(C102*E102*F102,2)</f>
        <v>321108.55</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339.8947</v>
      </c>
      <c r="D104" s="547"/>
      <c r="E104" s="123"/>
      <c r="F104" s="123"/>
      <c r="G104" s="123"/>
      <c r="H104" s="124" t="s">
        <v>100</v>
      </c>
      <c r="I104" s="101">
        <f>IF(A1=75,0,H103+H102+H101)</f>
        <v>321108.55</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v>
      </c>
      <c r="D110" s="143">
        <v>0</v>
      </c>
      <c r="E110" s="144">
        <f>C110</f>
        <v>1</v>
      </c>
      <c r="F110" s="126" t="s">
        <v>30</v>
      </c>
      <c r="G110" s="305">
        <f>'1461'!G110</f>
        <v>565</v>
      </c>
      <c r="I110" s="101">
        <f>ROUND(G110*E110,2)</f>
        <v>565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2679491.86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2571317.81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2571317.81</v>
      </c>
      <c r="I132" s="94">
        <f>ROUND(IF(E30=0,0,IF(E30&gt;250,-(((250/E30)*H132)*IF(G132="H",0.02,0.05)),IF(G132="H",-0.02*H132,-0.05*H132))),2)</f>
        <v>-96231.95</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2583259.9099999997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-453139.72-220481.9-220481.9-220481.9-220481.9-207972.21</f>
        <v>-1543039.5299999998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1040220.3799999999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208044.08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32333.94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18"/>
  <sheetViews>
    <sheetView topLeftCell="A9" workbookViewId="0">
      <selection activeCell="C61" sqref="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273</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98.75</v>
      </c>
      <c r="D14" s="141">
        <v>0</v>
      </c>
      <c r="E14" s="187">
        <f>IF(D$30=0,C14*2,C14+D14)</f>
        <v>197.5</v>
      </c>
      <c r="F14" s="628">
        <f>'1461'!F14:G14</f>
        <v>1.1220000000000001</v>
      </c>
      <c r="G14" s="628"/>
      <c r="H14" s="145">
        <f>ROUND(E14*F14,4)</f>
        <v>221.595</v>
      </c>
      <c r="I14" s="111">
        <f>ROUND(ROUND(ROUND(H14*$C$8,4)*($H$8),2)*(MAX($H$9,1)),2)</f>
        <v>1189279.55</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8.5</v>
      </c>
      <c r="D15" s="143">
        <v>0</v>
      </c>
      <c r="E15" s="116">
        <f t="shared" ref="E15:E29" si="1">IF(D$30=0,C15*2,C15+D15)</f>
        <v>17</v>
      </c>
      <c r="F15" s="624">
        <f>'1461'!F15:G15</f>
        <v>1.1220000000000001</v>
      </c>
      <c r="G15" s="624"/>
      <c r="H15" s="80">
        <f t="shared" ref="H15:H29" si="2">ROUND(E15*F15,4)</f>
        <v>19.074000000000002</v>
      </c>
      <c r="I15" s="101">
        <f t="shared" ref="I15:I29" si="3">ROUND(ROUND(ROUND(H15*$C$8,4)*($H$8),2)*(MAX($H$9,1)),2)</f>
        <v>102368.37</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44.99</v>
      </c>
      <c r="D16" s="143">
        <v>0</v>
      </c>
      <c r="E16" s="116">
        <f t="shared" si="1"/>
        <v>89.98</v>
      </c>
      <c r="F16" s="624">
        <f>'1461'!F16:G16</f>
        <v>1</v>
      </c>
      <c r="G16" s="624"/>
      <c r="H16" s="80">
        <f t="shared" si="2"/>
        <v>89.98</v>
      </c>
      <c r="I16" s="101">
        <f t="shared" si="3"/>
        <v>482914.21</v>
      </c>
      <c r="N16" s="564" t="s">
        <v>22</v>
      </c>
      <c r="O16" s="564"/>
      <c r="P16" s="603">
        <f t="shared" si="0"/>
        <v>0</v>
      </c>
      <c r="Q16" s="603"/>
      <c r="R16" s="608">
        <v>1</v>
      </c>
      <c r="S16" s="608"/>
      <c r="T16" s="95">
        <f t="shared" si="4"/>
        <v>0</v>
      </c>
      <c r="U16" s="474">
        <f t="shared" si="5"/>
        <v>0</v>
      </c>
    </row>
    <row r="17" spans="1:21" x14ac:dyDescent="0.25">
      <c r="A17" s="539" t="s">
        <v>23</v>
      </c>
      <c r="B17" s="539"/>
      <c r="C17" s="143">
        <v>6.5</v>
      </c>
      <c r="D17" s="143">
        <v>0</v>
      </c>
      <c r="E17" s="116">
        <f t="shared" si="1"/>
        <v>13</v>
      </c>
      <c r="F17" s="624">
        <f>'1461'!F17:G17</f>
        <v>1</v>
      </c>
      <c r="G17" s="624"/>
      <c r="H17" s="80">
        <f t="shared" si="2"/>
        <v>13</v>
      </c>
      <c r="I17" s="101">
        <f t="shared" si="3"/>
        <v>69769.78</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41.75</v>
      </c>
      <c r="D26" s="143">
        <v>0</v>
      </c>
      <c r="E26" s="116">
        <f t="shared" si="1"/>
        <v>83.5</v>
      </c>
      <c r="F26" s="624">
        <f>'1461'!F26:G26</f>
        <v>1.208</v>
      </c>
      <c r="G26" s="624"/>
      <c r="H26" s="80">
        <f t="shared" si="2"/>
        <v>100.86799999999999</v>
      </c>
      <c r="I26" s="101">
        <f t="shared" si="3"/>
        <v>541349.07999999996</v>
      </c>
      <c r="N26" s="564" t="s">
        <v>85</v>
      </c>
      <c r="O26" s="564"/>
      <c r="P26" s="603">
        <f t="shared" si="0"/>
        <v>0</v>
      </c>
      <c r="Q26" s="603"/>
      <c r="R26" s="608">
        <v>1</v>
      </c>
      <c r="S26" s="608"/>
      <c r="T26" s="95">
        <f t="shared" si="4"/>
        <v>0</v>
      </c>
      <c r="U26" s="474">
        <f t="shared" si="5"/>
        <v>0</v>
      </c>
    </row>
    <row r="27" spans="1:21" x14ac:dyDescent="0.25">
      <c r="A27" s="539" t="s">
        <v>86</v>
      </c>
      <c r="B27" s="539"/>
      <c r="C27" s="143">
        <v>7.01</v>
      </c>
      <c r="D27" s="143">
        <v>0</v>
      </c>
      <c r="E27" s="116">
        <f t="shared" si="1"/>
        <v>14.02</v>
      </c>
      <c r="F27" s="624">
        <f>'1461'!F27:G27</f>
        <v>1.208</v>
      </c>
      <c r="G27" s="624"/>
      <c r="H27" s="80">
        <f t="shared" si="2"/>
        <v>16.936199999999999</v>
      </c>
      <c r="I27" s="101">
        <f t="shared" si="3"/>
        <v>90894.99</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207.5</v>
      </c>
      <c r="D30" s="94">
        <f>SUM(D14:D29)</f>
        <v>0</v>
      </c>
      <c r="E30" s="94">
        <f>SUM(E14:E29)</f>
        <v>415</v>
      </c>
      <c r="F30" s="543"/>
      <c r="G30" s="543"/>
      <c r="H30" s="99">
        <f>SUM(H14:H29)</f>
        <v>461.45319999999998</v>
      </c>
      <c r="I30" s="94">
        <f>SUM(I14:I29)</f>
        <v>2476575.98</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461.45319999999998</v>
      </c>
      <c r="F46" s="34"/>
      <c r="G46" s="106"/>
      <c r="H46" s="107" t="s">
        <v>98</v>
      </c>
      <c r="I46" s="94">
        <f>SUM(I44,I30)</f>
        <v>2476575.98</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2476575.98</v>
      </c>
      <c r="G51" s="109" t="s">
        <v>6</v>
      </c>
      <c r="H51" s="402">
        <v>4.5199999999999997E-2</v>
      </c>
      <c r="I51" s="101">
        <f>ROUND(F51*H51,2)</f>
        <v>111941.23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2476575.98</v>
      </c>
      <c r="G52" s="109" t="s">
        <v>6</v>
      </c>
      <c r="H52" s="402">
        <v>1.41E-2</v>
      </c>
      <c r="I52" s="101">
        <f>ROUND(F52*H52,2)</f>
        <v>34919.72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146860.95000000001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7.5</v>
      </c>
      <c r="D57" s="143">
        <v>0</v>
      </c>
      <c r="E57" s="116">
        <f t="shared" ref="E57:E65" si="10">IF(D$66=0,C57*2,C57+D57)</f>
        <v>15</v>
      </c>
      <c r="F57" s="444" t="s">
        <v>435</v>
      </c>
      <c r="G57" s="444">
        <v>251</v>
      </c>
      <c r="H57" s="458">
        <f>'1461'!H57</f>
        <v>1047</v>
      </c>
      <c r="I57" s="101">
        <f>ROUND(E57*H57,2)</f>
        <v>15705</v>
      </c>
      <c r="N57" s="572" t="s">
        <v>443</v>
      </c>
      <c r="O57" s="572"/>
      <c r="P57" s="575"/>
      <c r="Q57" s="575"/>
      <c r="R57" s="450" t="s">
        <v>435</v>
      </c>
      <c r="S57" s="450">
        <v>251</v>
      </c>
      <c r="T57" s="461">
        <f>H57</f>
        <v>1047</v>
      </c>
      <c r="U57" s="475">
        <f>ROUND(P57*T57,2)</f>
        <v>0</v>
      </c>
      <c r="V57" s="425"/>
    </row>
    <row r="58" spans="1:22" x14ac:dyDescent="0.25">
      <c r="A58" s="550"/>
      <c r="B58" s="550"/>
      <c r="C58" s="143">
        <v>1</v>
      </c>
      <c r="D58" s="143">
        <v>0</v>
      </c>
      <c r="E58" s="116">
        <f t="shared" si="10"/>
        <v>2</v>
      </c>
      <c r="F58" s="444" t="s">
        <v>435</v>
      </c>
      <c r="G58" s="444">
        <v>252</v>
      </c>
      <c r="H58" s="458">
        <f>'1461'!H58</f>
        <v>3380</v>
      </c>
      <c r="I58" s="101">
        <f t="shared" ref="I58:I65" si="11">ROUND(E58*H58,2)</f>
        <v>6760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6</v>
      </c>
      <c r="D60" s="143">
        <v>0</v>
      </c>
      <c r="E60" s="116">
        <f t="shared" si="10"/>
        <v>12</v>
      </c>
      <c r="F60" s="445" t="s">
        <v>13</v>
      </c>
      <c r="G60" s="444">
        <v>251</v>
      </c>
      <c r="H60" s="458">
        <f>'1461'!H60</f>
        <v>1173</v>
      </c>
      <c r="I60" s="101">
        <f t="shared" si="11"/>
        <v>14076</v>
      </c>
      <c r="N60" s="573"/>
      <c r="O60" s="573"/>
      <c r="P60" s="576"/>
      <c r="Q60" s="576"/>
      <c r="R60" s="40" t="s">
        <v>13</v>
      </c>
      <c r="S60" s="450">
        <v>251</v>
      </c>
      <c r="T60" s="461">
        <f t="shared" si="12"/>
        <v>1173</v>
      </c>
      <c r="U60" s="475">
        <f t="shared" si="13"/>
        <v>0</v>
      </c>
      <c r="V60" s="425"/>
    </row>
    <row r="61" spans="1:22" x14ac:dyDescent="0.25">
      <c r="A61" s="550"/>
      <c r="B61" s="550"/>
      <c r="C61" s="143">
        <v>0.5</v>
      </c>
      <c r="D61" s="143">
        <v>0</v>
      </c>
      <c r="E61" s="116">
        <f t="shared" si="10"/>
        <v>1</v>
      </c>
      <c r="F61" s="445" t="s">
        <v>13</v>
      </c>
      <c r="G61" s="444">
        <v>252</v>
      </c>
      <c r="H61" s="458">
        <f>'1461'!H61</f>
        <v>3506</v>
      </c>
      <c r="I61" s="101">
        <f t="shared" si="11"/>
        <v>3506</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15</v>
      </c>
      <c r="D66" s="97">
        <f>SUM(D57:D65)</f>
        <v>0</v>
      </c>
      <c r="E66" s="97">
        <f>SUM(E57:E65)</f>
        <v>30</v>
      </c>
      <c r="F66" s="551" t="s">
        <v>444</v>
      </c>
      <c r="G66" s="551"/>
      <c r="H66" s="551"/>
      <c r="I66" s="97">
        <f>SUM(I57:I65)</f>
        <v>40047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415</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2.0409999999999998E-3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461.45319999999998</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2.0279999999999999E-3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415</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2.2200000000000002E-3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415</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2.0439999999999998E-3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415</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2.2230000000000001E-3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2.0439999999999998E-3</v>
      </c>
      <c r="I85" s="101">
        <f>ROUND(F85*H85,2)</f>
        <v>91296.36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2.0409999999999998E-3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2.2230000000000001E-3</v>
      </c>
      <c r="I90" s="101">
        <f>ROUND(F90*H90,2)</f>
        <v>35939.360000000001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2.2200000000000002E-3</v>
      </c>
      <c r="I92" s="101">
        <f t="shared" ref="I92:I96" si="14">ROUND(F92*H92,2)</f>
        <v>22289.02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2.0279999999999999E-3</v>
      </c>
      <c r="I94" s="101">
        <f t="shared" si="14"/>
        <v>484687.28</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2.0279999999999999E-3</v>
      </c>
      <c r="I96" s="101">
        <f t="shared" si="14"/>
        <v>-3244.9</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341.53700000000003</v>
      </c>
      <c r="D101" s="557"/>
      <c r="E101" s="46">
        <f>H8</f>
        <v>1.0442</v>
      </c>
      <c r="F101" s="304">
        <f>'1461'!F101</f>
        <v>947.59</v>
      </c>
      <c r="G101" s="39" t="s">
        <v>12</v>
      </c>
      <c r="H101" s="101">
        <f>ROUND(C101*E101*F101,2)</f>
        <v>337941.8</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119.9162</v>
      </c>
      <c r="D102" s="557"/>
      <c r="E102" s="46">
        <f>H8</f>
        <v>1.0442</v>
      </c>
      <c r="F102" s="304">
        <f>'1461'!F102</f>
        <v>904.74</v>
      </c>
      <c r="G102" s="39" t="s">
        <v>12</v>
      </c>
      <c r="H102" s="101">
        <f>ROUND(C102*E102*F102,2)</f>
        <v>113288.37</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461.45320000000004</v>
      </c>
      <c r="D104" s="547"/>
      <c r="E104" s="123"/>
      <c r="F104" s="123"/>
      <c r="G104" s="123"/>
      <c r="H104" s="124" t="s">
        <v>100</v>
      </c>
      <c r="I104" s="101">
        <f>IF(A1=75,0,H103+H102+H101)</f>
        <v>451230.17</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v>
      </c>
      <c r="D110" s="143">
        <v>0</v>
      </c>
      <c r="E110" s="144">
        <f>C110</f>
        <v>2</v>
      </c>
      <c r="F110" s="126" t="s">
        <v>30</v>
      </c>
      <c r="G110" s="305">
        <f>'1461'!G110</f>
        <v>565</v>
      </c>
      <c r="I110" s="101">
        <f>ROUND(G110*E110,2)</f>
        <v>1130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3599950.27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3453089.32</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3453089.32</v>
      </c>
      <c r="I132" s="94">
        <f>ROUND(IF(E30=0,0,IF(E30&gt;250,-(((250/E30)*H132)*IF(G132="H",0.02,0.05)),IF(G132="H",-0.02*H132,-0.05*H132))),2)</f>
        <v>-104008.71</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3495941.56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-587523.82-286572.12-286572.12-286572.12-286572.12-292962.49</f>
        <v>-2026774.7900000003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1469166.7699999998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293833.34999999998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68645.759999999995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18"/>
  <sheetViews>
    <sheetView topLeftCell="A15" workbookViewId="0">
      <selection activeCell="C110" sqref="C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267</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0.5</v>
      </c>
      <c r="D15" s="143">
        <v>0</v>
      </c>
      <c r="E15" s="116">
        <f t="shared" ref="E15:E29" si="1">IF(D$30=0,C15*2,C15+D15)</f>
        <v>1</v>
      </c>
      <c r="F15" s="624">
        <f>'1461'!F15:G15</f>
        <v>1.1220000000000001</v>
      </c>
      <c r="G15" s="624"/>
      <c r="H15" s="80">
        <f t="shared" ref="H15:H29" si="2">ROUND(E15*F15,4)</f>
        <v>1.1220000000000001</v>
      </c>
      <c r="I15" s="101">
        <f t="shared" ref="I15:I29" si="3">ROUND(ROUND(ROUND(H15*$C$8,4)*($H$8),2)*(MAX($H$9,1)),2)</f>
        <v>6021.67</v>
      </c>
      <c r="J15" s="65" t="str">
        <f>IF(ROUND(E15,2)=ROUND(SUM(E57:E59),2)," ","CHECK PK-3 LINES BELOW")</f>
        <v xml:space="preserve"> </v>
      </c>
      <c r="N15" s="564" t="s">
        <v>21</v>
      </c>
      <c r="O15" s="564"/>
      <c r="P15" s="603">
        <f t="shared" si="0"/>
        <v>1</v>
      </c>
      <c r="Q15" s="603"/>
      <c r="R15" s="608">
        <v>1</v>
      </c>
      <c r="S15" s="608"/>
      <c r="T15" s="95">
        <f t="shared" ref="T15:T29" si="4">ROUND(P15*R15,4)</f>
        <v>1</v>
      </c>
      <c r="U15" s="474">
        <f t="shared" ref="U15:U29" si="5">ROUND(ROUND(ROUND(T15*$C$8,4)*($H$8),2)*(MAX($H$9,1)),2)</f>
        <v>5366.91</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1.5</v>
      </c>
      <c r="D17" s="143">
        <v>0</v>
      </c>
      <c r="E17" s="116">
        <f t="shared" si="1"/>
        <v>3</v>
      </c>
      <c r="F17" s="624">
        <f>'1461'!F17:G17</f>
        <v>1</v>
      </c>
      <c r="G17" s="624"/>
      <c r="H17" s="80">
        <f t="shared" si="2"/>
        <v>3</v>
      </c>
      <c r="I17" s="101">
        <f t="shared" si="3"/>
        <v>16100.72</v>
      </c>
      <c r="J17" s="65" t="str">
        <f>IF(ROUND(E17,2)=ROUND(SUM(E60:E62),2)," ","CHECK 4-8 LINES BELOW")</f>
        <v xml:space="preserve"> </v>
      </c>
      <c r="N17" s="564" t="s">
        <v>23</v>
      </c>
      <c r="O17" s="564"/>
      <c r="P17" s="603">
        <f t="shared" si="0"/>
        <v>3</v>
      </c>
      <c r="Q17" s="603"/>
      <c r="R17" s="608">
        <v>1</v>
      </c>
      <c r="S17" s="608"/>
      <c r="T17" s="95">
        <f t="shared" si="4"/>
        <v>3</v>
      </c>
      <c r="U17" s="474">
        <f t="shared" si="5"/>
        <v>16100.72</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10.5</v>
      </c>
      <c r="D20" s="143">
        <v>0</v>
      </c>
      <c r="E20" s="116">
        <f t="shared" si="1"/>
        <v>21</v>
      </c>
      <c r="F20" s="624">
        <f>'1461'!F20:G20</f>
        <v>3.706</v>
      </c>
      <c r="G20" s="624"/>
      <c r="H20" s="80">
        <f t="shared" si="2"/>
        <v>77.825999999999993</v>
      </c>
      <c r="I20" s="101">
        <f t="shared" si="3"/>
        <v>417684.83</v>
      </c>
      <c r="N20" s="564" t="s">
        <v>79</v>
      </c>
      <c r="O20" s="564"/>
      <c r="P20" s="603">
        <f t="shared" si="0"/>
        <v>21</v>
      </c>
      <c r="Q20" s="603"/>
      <c r="R20" s="608">
        <v>1</v>
      </c>
      <c r="S20" s="608"/>
      <c r="T20" s="95">
        <f t="shared" si="4"/>
        <v>21</v>
      </c>
      <c r="U20" s="474">
        <f t="shared" si="5"/>
        <v>112705.03</v>
      </c>
    </row>
    <row r="21" spans="1:21" x14ac:dyDescent="0.25">
      <c r="A21" s="539" t="s">
        <v>80</v>
      </c>
      <c r="B21" s="539"/>
      <c r="C21" s="143">
        <v>10</v>
      </c>
      <c r="D21" s="143">
        <v>0</v>
      </c>
      <c r="E21" s="116">
        <f t="shared" si="1"/>
        <v>20</v>
      </c>
      <c r="F21" s="624">
        <f>'1461'!F21:G21</f>
        <v>3.706</v>
      </c>
      <c r="G21" s="624"/>
      <c r="H21" s="80">
        <f t="shared" si="2"/>
        <v>74.12</v>
      </c>
      <c r="I21" s="101">
        <f t="shared" si="3"/>
        <v>397795.08</v>
      </c>
      <c r="N21" s="564" t="s">
        <v>80</v>
      </c>
      <c r="O21" s="564"/>
      <c r="P21" s="603">
        <f t="shared" si="0"/>
        <v>20</v>
      </c>
      <c r="Q21" s="603"/>
      <c r="R21" s="608">
        <v>1</v>
      </c>
      <c r="S21" s="608"/>
      <c r="T21" s="95">
        <f t="shared" si="4"/>
        <v>20</v>
      </c>
      <c r="U21" s="474">
        <f t="shared" si="5"/>
        <v>107338.12</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13</v>
      </c>
      <c r="D23" s="143">
        <v>0</v>
      </c>
      <c r="E23" s="116">
        <f t="shared" si="1"/>
        <v>26</v>
      </c>
      <c r="F23" s="624">
        <f>'1461'!F23:G23</f>
        <v>5.7069999999999999</v>
      </c>
      <c r="G23" s="624"/>
      <c r="H23" s="80">
        <f t="shared" si="2"/>
        <v>148.38200000000001</v>
      </c>
      <c r="I23" s="101">
        <f t="shared" si="3"/>
        <v>796352.26</v>
      </c>
      <c r="N23" s="564" t="s">
        <v>82</v>
      </c>
      <c r="O23" s="564"/>
      <c r="P23" s="603">
        <f t="shared" si="0"/>
        <v>26</v>
      </c>
      <c r="Q23" s="603"/>
      <c r="R23" s="608">
        <v>1</v>
      </c>
      <c r="S23" s="608"/>
      <c r="T23" s="95">
        <f t="shared" si="4"/>
        <v>26</v>
      </c>
      <c r="U23" s="474">
        <f t="shared" si="5"/>
        <v>139539.56</v>
      </c>
    </row>
    <row r="24" spans="1:21" x14ac:dyDescent="0.25">
      <c r="A24" s="539" t="s">
        <v>83</v>
      </c>
      <c r="B24" s="539"/>
      <c r="C24" s="143">
        <v>9</v>
      </c>
      <c r="D24" s="143">
        <v>0</v>
      </c>
      <c r="E24" s="116">
        <f t="shared" si="1"/>
        <v>18</v>
      </c>
      <c r="F24" s="624">
        <f>'1461'!F24:G24</f>
        <v>5.7069999999999999</v>
      </c>
      <c r="G24" s="624"/>
      <c r="H24" s="80">
        <f t="shared" si="2"/>
        <v>102.726</v>
      </c>
      <c r="I24" s="101">
        <f t="shared" si="3"/>
        <v>551320.79</v>
      </c>
      <c r="N24" s="564" t="s">
        <v>83</v>
      </c>
      <c r="O24" s="564"/>
      <c r="P24" s="603">
        <f t="shared" si="0"/>
        <v>18</v>
      </c>
      <c r="Q24" s="603"/>
      <c r="R24" s="608">
        <v>1</v>
      </c>
      <c r="S24" s="608"/>
      <c r="T24" s="95">
        <f t="shared" si="4"/>
        <v>18</v>
      </c>
      <c r="U24" s="474">
        <f t="shared" si="5"/>
        <v>96604.31</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44.5</v>
      </c>
      <c r="D30" s="94">
        <f>SUM(D14:D29)</f>
        <v>0</v>
      </c>
      <c r="E30" s="94">
        <f>SUM(E14:E29)</f>
        <v>89</v>
      </c>
      <c r="F30" s="543"/>
      <c r="G30" s="543"/>
      <c r="H30" s="99">
        <f>SUM(H14:H29)</f>
        <v>407.17599999999999</v>
      </c>
      <c r="I30" s="94">
        <f>SUM(I14:I29)</f>
        <v>2185275.35</v>
      </c>
      <c r="N30" s="605" t="s">
        <v>5</v>
      </c>
      <c r="O30" s="605"/>
      <c r="P30" s="606">
        <f>SUM(P14:P29)</f>
        <v>89</v>
      </c>
      <c r="Q30" s="606"/>
      <c r="R30" s="571"/>
      <c r="S30" s="571"/>
      <c r="T30" s="100">
        <f>SUM(T14:T29)</f>
        <v>89</v>
      </c>
      <c r="U30" s="474">
        <f>SUM(U14:U29)</f>
        <v>477654.64999999997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407.17599999999999</v>
      </c>
      <c r="F46" s="34"/>
      <c r="G46" s="106"/>
      <c r="H46" s="107" t="s">
        <v>98</v>
      </c>
      <c r="I46" s="94">
        <f>SUM(I44,I30)</f>
        <v>2185275.35</v>
      </c>
      <c r="N46" s="562" t="s">
        <v>44</v>
      </c>
      <c r="O46" s="562"/>
      <c r="P46" s="562"/>
      <c r="Q46" s="562"/>
      <c r="R46" s="35">
        <f>R44+T30</f>
        <v>89</v>
      </c>
      <c r="S46" s="571" t="s">
        <v>42</v>
      </c>
      <c r="T46" s="571"/>
      <c r="U46" s="108">
        <f>SUM(U44,U30)</f>
        <v>477654.64999999997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2185275.35</v>
      </c>
      <c r="G51" s="109" t="s">
        <v>6</v>
      </c>
      <c r="H51" s="402">
        <v>4.5199999999999997E-2</v>
      </c>
      <c r="I51" s="101">
        <f>ROUND(F51*H51,2)</f>
        <v>98774.45</v>
      </c>
      <c r="N51" s="407"/>
      <c r="O51" s="408" t="s">
        <v>395</v>
      </c>
      <c r="P51" s="28"/>
      <c r="Q51" s="44" t="s">
        <v>396</v>
      </c>
      <c r="R51" s="409">
        <f>U30</f>
        <v>477654.64999999997</v>
      </c>
      <c r="S51" s="410" t="s">
        <v>6</v>
      </c>
      <c r="T51" s="411">
        <v>4.5199999999999997E-2</v>
      </c>
      <c r="U51" s="403">
        <f>ROUND(R51*T51,2)</f>
        <v>21589.99</v>
      </c>
    </row>
    <row r="52" spans="1:22" x14ac:dyDescent="0.25">
      <c r="A52" s="26"/>
      <c r="B52" s="81" t="s">
        <v>397</v>
      </c>
      <c r="C52" s="26"/>
      <c r="D52" s="26"/>
      <c r="E52" s="43" t="s">
        <v>396</v>
      </c>
      <c r="F52" s="401">
        <f>I46</f>
        <v>2185275.35</v>
      </c>
      <c r="G52" s="109" t="s">
        <v>6</v>
      </c>
      <c r="H52" s="402">
        <v>1.41E-2</v>
      </c>
      <c r="I52" s="101">
        <f>ROUND(F52*H52,2)</f>
        <v>30812.38</v>
      </c>
      <c r="N52" s="28"/>
      <c r="O52" s="384" t="s">
        <v>397</v>
      </c>
      <c r="P52" s="28"/>
      <c r="Q52" s="44" t="s">
        <v>396</v>
      </c>
      <c r="R52" s="409">
        <f>U30</f>
        <v>477654.64999999997</v>
      </c>
      <c r="S52" s="410" t="s">
        <v>6</v>
      </c>
      <c r="T52" s="411">
        <v>1.41E-2</v>
      </c>
      <c r="U52" s="412">
        <f>ROUND(R52*T52,2)</f>
        <v>6734.93</v>
      </c>
    </row>
    <row r="53" spans="1:22" x14ac:dyDescent="0.25">
      <c r="A53" s="26"/>
      <c r="B53" s="81" t="s">
        <v>398</v>
      </c>
      <c r="C53" s="26"/>
      <c r="D53" s="26"/>
      <c r="E53" s="43"/>
      <c r="F53" s="401"/>
      <c r="G53" s="109"/>
      <c r="H53" s="402"/>
      <c r="I53" s="97">
        <f>SUM(I51:I52)</f>
        <v>129586.83</v>
      </c>
      <c r="N53" s="28"/>
      <c r="O53" s="384" t="s">
        <v>398</v>
      </c>
      <c r="P53" s="28"/>
      <c r="Q53" s="44"/>
      <c r="R53" s="409"/>
      <c r="S53" s="410"/>
      <c r="T53" s="411"/>
      <c r="U53" s="403">
        <f>SUM(U51:U52)</f>
        <v>28324.920000000002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0.5</v>
      </c>
      <c r="D59" s="143">
        <v>0</v>
      </c>
      <c r="E59" s="116">
        <f t="shared" si="10"/>
        <v>1</v>
      </c>
      <c r="F59" s="444" t="s">
        <v>435</v>
      </c>
      <c r="G59" s="444">
        <v>253</v>
      </c>
      <c r="H59" s="458">
        <f>'1461'!H59</f>
        <v>6896</v>
      </c>
      <c r="I59" s="101">
        <f t="shared" si="11"/>
        <v>6896</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1.5</v>
      </c>
      <c r="D62" s="143">
        <v>0</v>
      </c>
      <c r="E62" s="116">
        <f t="shared" si="10"/>
        <v>3</v>
      </c>
      <c r="F62" s="445" t="s">
        <v>13</v>
      </c>
      <c r="G62" s="444">
        <v>253</v>
      </c>
      <c r="H62" s="458">
        <f>'1461'!H62</f>
        <v>7023</v>
      </c>
      <c r="I62" s="101">
        <f t="shared" si="11"/>
        <v>21069</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v>
      </c>
      <c r="D66" s="97">
        <f>SUM(D57:D65)</f>
        <v>0</v>
      </c>
      <c r="E66" s="97">
        <f>SUM(E57:E65)</f>
        <v>4</v>
      </c>
      <c r="F66" s="551" t="s">
        <v>444</v>
      </c>
      <c r="G66" s="551"/>
      <c r="H66" s="551"/>
      <c r="I66" s="97">
        <f>SUM(I57:I65)</f>
        <v>27965</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89</v>
      </c>
      <c r="D69" s="526" t="s">
        <v>410</v>
      </c>
      <c r="E69" s="526"/>
      <c r="F69" s="526"/>
      <c r="G69" s="526"/>
      <c r="H69" s="301">
        <f>'1461'!H69</f>
        <v>203305.63</v>
      </c>
      <c r="I69" s="113"/>
      <c r="N69" s="566" t="s">
        <v>403</v>
      </c>
      <c r="O69" s="564"/>
      <c r="P69" s="41">
        <f>P30</f>
        <v>89</v>
      </c>
      <c r="Q69" s="567" t="s">
        <v>405</v>
      </c>
      <c r="R69" s="568"/>
      <c r="S69" s="568"/>
      <c r="T69" s="563">
        <f>H69</f>
        <v>203305.63</v>
      </c>
      <c r="U69" s="563"/>
    </row>
    <row r="70" spans="1:22" x14ac:dyDescent="0.25">
      <c r="B70" s="69"/>
      <c r="G70" s="42" t="s">
        <v>12</v>
      </c>
      <c r="H70" s="114">
        <f>ROUND(C69/H69,6)</f>
        <v>4.3800000000000002E-4</v>
      </c>
      <c r="I70" s="115"/>
      <c r="N70" s="564"/>
      <c r="O70" s="564"/>
      <c r="P70" s="564"/>
      <c r="Q70" s="564"/>
      <c r="R70" s="564"/>
      <c r="S70" s="564"/>
      <c r="T70" s="565">
        <f>ROUND(P69/T69,6)</f>
        <v>4.3800000000000002E-4</v>
      </c>
      <c r="U70" s="565"/>
    </row>
    <row r="71" spans="1:22" x14ac:dyDescent="0.25">
      <c r="A71" s="443" t="s">
        <v>447</v>
      </c>
      <c r="N71" s="454" t="s">
        <v>455</v>
      </c>
      <c r="O71" s="51"/>
      <c r="P71" s="51"/>
      <c r="Q71" s="51"/>
      <c r="R71" s="51"/>
      <c r="S71" s="51"/>
      <c r="T71" s="51"/>
      <c r="U71" s="51"/>
    </row>
    <row r="72" spans="1:22" x14ac:dyDescent="0.25">
      <c r="A72" s="545" t="s">
        <v>400</v>
      </c>
      <c r="B72" s="539"/>
      <c r="C72" s="112">
        <f>H30</f>
        <v>407.17599999999999</v>
      </c>
      <c r="D72" s="526" t="s">
        <v>411</v>
      </c>
      <c r="E72" s="526"/>
      <c r="F72" s="526"/>
      <c r="G72" s="526"/>
      <c r="H72" s="302">
        <f>'1461'!H72</f>
        <v>227540.36</v>
      </c>
      <c r="I72" s="116"/>
      <c r="N72" s="566" t="s">
        <v>404</v>
      </c>
      <c r="O72" s="564"/>
      <c r="P72" s="41">
        <f>T30</f>
        <v>89</v>
      </c>
      <c r="Q72" s="567" t="s">
        <v>406</v>
      </c>
      <c r="R72" s="568"/>
      <c r="S72" s="568"/>
      <c r="T72" s="563">
        <f>H72</f>
        <v>227540.36</v>
      </c>
      <c r="U72" s="563"/>
    </row>
    <row r="73" spans="1:22" x14ac:dyDescent="0.25">
      <c r="G73" s="42" t="s">
        <v>12</v>
      </c>
      <c r="H73" s="114">
        <f>ROUND(C72/H72,6)</f>
        <v>1.789E-3</v>
      </c>
      <c r="I73" s="114"/>
      <c r="N73" s="564"/>
      <c r="O73" s="564"/>
      <c r="P73" s="564"/>
      <c r="Q73" s="564"/>
      <c r="R73" s="564"/>
      <c r="S73" s="564"/>
      <c r="T73" s="565">
        <f>ROUND(P72/T72,6)</f>
        <v>3.9100000000000002E-4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89</v>
      </c>
      <c r="D75" s="518" t="s">
        <v>412</v>
      </c>
      <c r="E75" s="518"/>
      <c r="F75" s="518"/>
      <c r="G75" s="518"/>
      <c r="H75" s="301">
        <f>'1461'!H75</f>
        <v>186907.73</v>
      </c>
      <c r="I75" s="113"/>
      <c r="N75" s="566" t="s">
        <v>402</v>
      </c>
      <c r="O75" s="564"/>
      <c r="P75" s="41">
        <f>P30</f>
        <v>89</v>
      </c>
      <c r="Q75" s="597" t="s">
        <v>407</v>
      </c>
      <c r="R75" s="598"/>
      <c r="S75" s="598"/>
      <c r="T75" s="563">
        <f>H75</f>
        <v>186907.73</v>
      </c>
      <c r="U75" s="563"/>
    </row>
    <row r="76" spans="1:22" x14ac:dyDescent="0.25">
      <c r="B76" s="69"/>
      <c r="G76" s="42" t="s">
        <v>12</v>
      </c>
      <c r="H76" s="114">
        <f>ROUND(C75/H75,6)</f>
        <v>4.7600000000000002E-4</v>
      </c>
      <c r="I76" s="115"/>
      <c r="N76" s="564"/>
      <c r="O76" s="564"/>
      <c r="P76" s="564"/>
      <c r="Q76" s="564"/>
      <c r="R76" s="564"/>
      <c r="S76" s="564"/>
      <c r="T76" s="565">
        <f>ROUND(P75/T75,6)</f>
        <v>4.7600000000000002E-4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89</v>
      </c>
      <c r="D78" s="546" t="s">
        <v>413</v>
      </c>
      <c r="E78" s="546"/>
      <c r="F78" s="546"/>
      <c r="G78" s="546"/>
      <c r="H78" s="301">
        <f>'1461'!H78</f>
        <v>203080.55</v>
      </c>
      <c r="I78" s="113"/>
      <c r="N78" s="566" t="s">
        <v>402</v>
      </c>
      <c r="O78" s="564"/>
      <c r="P78" s="41">
        <f>P30</f>
        <v>89</v>
      </c>
      <c r="Q78" s="595" t="s">
        <v>408</v>
      </c>
      <c r="R78" s="596"/>
      <c r="S78" s="596"/>
      <c r="T78" s="563">
        <f>H78</f>
        <v>203080.55</v>
      </c>
      <c r="U78" s="563"/>
    </row>
    <row r="79" spans="1:22" x14ac:dyDescent="0.25">
      <c r="B79" s="69"/>
      <c r="G79" s="42" t="s">
        <v>12</v>
      </c>
      <c r="H79" s="114">
        <f>ROUND(C78/H78,6)</f>
        <v>4.3800000000000002E-4</v>
      </c>
      <c r="I79" s="115"/>
      <c r="N79" s="564"/>
      <c r="O79" s="564"/>
      <c r="P79" s="564"/>
      <c r="Q79" s="564"/>
      <c r="R79" s="564"/>
      <c r="S79" s="564"/>
      <c r="T79" s="565">
        <f>ROUND(P78/T78,6)</f>
        <v>4.3800000000000002E-4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89</v>
      </c>
      <c r="D81" s="518" t="s">
        <v>414</v>
      </c>
      <c r="E81" s="518"/>
      <c r="F81" s="518"/>
      <c r="G81" s="518"/>
      <c r="H81" s="301">
        <f>'1461'!H81</f>
        <v>186682.65</v>
      </c>
      <c r="I81" s="113"/>
      <c r="N81" s="566" t="s">
        <v>415</v>
      </c>
      <c r="O81" s="564"/>
      <c r="P81" s="41">
        <f>P30</f>
        <v>89</v>
      </c>
      <c r="Q81" s="597" t="s">
        <v>416</v>
      </c>
      <c r="R81" s="598"/>
      <c r="S81" s="598"/>
      <c r="T81" s="563">
        <f>H81</f>
        <v>186682.65</v>
      </c>
      <c r="U81" s="563"/>
    </row>
    <row r="82" spans="1:21" x14ac:dyDescent="0.25">
      <c r="B82" s="69"/>
      <c r="G82" s="42" t="s">
        <v>12</v>
      </c>
      <c r="H82" s="114">
        <f>ROUND(C81/H81,6)</f>
        <v>4.7699999999999999E-4</v>
      </c>
      <c r="I82" s="115"/>
      <c r="N82" s="564"/>
      <c r="O82" s="564"/>
      <c r="P82" s="564"/>
      <c r="Q82" s="564"/>
      <c r="R82" s="564"/>
      <c r="S82" s="564"/>
      <c r="T82" s="565">
        <f>ROUND(P81/T81,6)</f>
        <v>4.7699999999999999E-4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4.3800000000000002E-4</v>
      </c>
      <c r="I85" s="101">
        <f>ROUND(F85*H85,2)</f>
        <v>19563.5</v>
      </c>
      <c r="N85" s="454" t="s">
        <v>451</v>
      </c>
      <c r="O85" s="51"/>
      <c r="P85" s="51"/>
      <c r="Q85" s="44"/>
      <c r="R85" s="420">
        <f>F85</f>
        <v>44665536</v>
      </c>
      <c r="S85" s="38" t="s">
        <v>6</v>
      </c>
      <c r="T85" s="422">
        <f>T79</f>
        <v>4.3800000000000002E-4</v>
      </c>
      <c r="U85" s="474">
        <f>ROUND(R85*T85,2)</f>
        <v>19563.5</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4.3800000000000002E-4</v>
      </c>
      <c r="I88" s="101">
        <f>ROUND(F88*H88,2)</f>
        <v>0</v>
      </c>
      <c r="N88" s="599" t="s">
        <v>99</v>
      </c>
      <c r="O88" s="564"/>
      <c r="P88" s="564"/>
      <c r="Q88" s="44"/>
      <c r="R88" s="420">
        <f>F88</f>
        <v>0</v>
      </c>
      <c r="S88" s="38" t="s">
        <v>6</v>
      </c>
      <c r="T88" s="422">
        <f>T70</f>
        <v>4.3800000000000002E-4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4.7699999999999999E-4</v>
      </c>
      <c r="I90" s="101">
        <f>ROUND(F90*H90,2)</f>
        <v>7711.68</v>
      </c>
      <c r="N90" s="454" t="s">
        <v>452</v>
      </c>
      <c r="O90" s="51"/>
      <c r="P90" s="51"/>
      <c r="Q90" s="44"/>
      <c r="R90" s="420">
        <f>F90</f>
        <v>16167052</v>
      </c>
      <c r="S90" s="38" t="s">
        <v>6</v>
      </c>
      <c r="T90" s="422">
        <f>T82</f>
        <v>4.7699999999999999E-4</v>
      </c>
      <c r="U90" s="474">
        <f>ROUND(R90*T90,2)</f>
        <v>7711.68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4.7600000000000002E-4</v>
      </c>
      <c r="I92" s="101">
        <f t="shared" ref="I92:I96" si="14">ROUND(F92*H92,2)</f>
        <v>4779.09</v>
      </c>
      <c r="N92" s="454" t="s">
        <v>453</v>
      </c>
      <c r="O92" s="51"/>
      <c r="P92" s="51"/>
      <c r="Q92" s="44"/>
      <c r="R92" s="420">
        <f t="shared" ref="R92:R96" si="15">F92</f>
        <v>10040099</v>
      </c>
      <c r="S92" s="38" t="s">
        <v>6</v>
      </c>
      <c r="T92" s="422">
        <f>T76</f>
        <v>4.7600000000000002E-4</v>
      </c>
      <c r="U92" s="474">
        <f>ROUND(R92*T92,2)</f>
        <v>4779.09</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1.789E-3</v>
      </c>
      <c r="I94" s="101">
        <f t="shared" si="14"/>
        <v>427566.84</v>
      </c>
      <c r="N94" s="564" t="s">
        <v>418</v>
      </c>
      <c r="O94" s="564"/>
      <c r="P94" s="564"/>
      <c r="Q94" s="44"/>
      <c r="R94" s="420">
        <f t="shared" si="15"/>
        <v>238997674</v>
      </c>
      <c r="S94" s="38" t="s">
        <v>6</v>
      </c>
      <c r="T94" s="422">
        <f>T73</f>
        <v>3.9100000000000002E-4</v>
      </c>
      <c r="U94" s="474">
        <f>ROUND(R94*T94,2)</f>
        <v>93448.09</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1.789E-3</v>
      </c>
      <c r="I96" s="101">
        <f t="shared" si="14"/>
        <v>-2862.48</v>
      </c>
      <c r="N96" s="566" t="s">
        <v>419</v>
      </c>
      <c r="O96" s="564"/>
      <c r="P96" s="564"/>
      <c r="Q96" s="44"/>
      <c r="R96" s="420">
        <f t="shared" si="15"/>
        <v>-1600047</v>
      </c>
      <c r="S96" s="38" t="s">
        <v>6</v>
      </c>
      <c r="T96" s="422">
        <f>T73</f>
        <v>3.9100000000000002E-4</v>
      </c>
      <c r="U96" s="474">
        <f>ROUND(R96*T96,2)</f>
        <v>-625.62</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227.32999999999998</v>
      </c>
      <c r="D101" s="557"/>
      <c r="E101" s="46">
        <f>H8</f>
        <v>1.0442</v>
      </c>
      <c r="F101" s="304">
        <f>'1461'!F101</f>
        <v>947.59</v>
      </c>
      <c r="G101" s="39" t="s">
        <v>12</v>
      </c>
      <c r="H101" s="101">
        <f>ROUND(C101*E101*F101,2)</f>
        <v>224937.01</v>
      </c>
      <c r="I101" s="104"/>
      <c r="N101" s="28" t="s">
        <v>17</v>
      </c>
      <c r="O101" s="47">
        <f>T14+T15+T20+T23+T26</f>
        <v>48</v>
      </c>
      <c r="P101" s="587">
        <f>T8</f>
        <v>1.0442</v>
      </c>
      <c r="Q101" s="587"/>
      <c r="R101" s="48">
        <f>F101</f>
        <v>947.59</v>
      </c>
      <c r="S101" s="40" t="s">
        <v>12</v>
      </c>
      <c r="T101" s="480">
        <f>ROUND(O101*P101*R101,2)</f>
        <v>47494.73</v>
      </c>
      <c r="U101" s="102"/>
    </row>
    <row r="102" spans="1:21" x14ac:dyDescent="0.25">
      <c r="A102" s="49"/>
      <c r="B102" s="49" t="s">
        <v>104</v>
      </c>
      <c r="C102" s="557">
        <f>H16+H17+H21+H24+H27</f>
        <v>179.846</v>
      </c>
      <c r="D102" s="557"/>
      <c r="E102" s="46">
        <f>H8</f>
        <v>1.0442</v>
      </c>
      <c r="F102" s="304">
        <f>'1461'!F102</f>
        <v>904.74</v>
      </c>
      <c r="G102" s="39" t="s">
        <v>12</v>
      </c>
      <c r="H102" s="101">
        <f>ROUND(C102*E102*F102,2)</f>
        <v>169905.82</v>
      </c>
      <c r="N102" s="50" t="s">
        <v>13</v>
      </c>
      <c r="O102" s="47">
        <f>T16+T17+T21+T24+T27</f>
        <v>41</v>
      </c>
      <c r="P102" s="587">
        <f>T8</f>
        <v>1.0442</v>
      </c>
      <c r="Q102" s="587"/>
      <c r="R102" s="48">
        <f>F102</f>
        <v>904.74</v>
      </c>
      <c r="S102" s="40" t="s">
        <v>12</v>
      </c>
      <c r="T102" s="480">
        <f>ROUND(O102*P102*R102,2)</f>
        <v>38733.910000000003</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407.17599999999999</v>
      </c>
      <c r="D104" s="547"/>
      <c r="E104" s="123"/>
      <c r="F104" s="123"/>
      <c r="G104" s="123"/>
      <c r="H104" s="124" t="s">
        <v>100</v>
      </c>
      <c r="I104" s="101">
        <f>IF(A1=75,0,H103+H102+H101)</f>
        <v>394842.83</v>
      </c>
      <c r="N104" s="56" t="s">
        <v>89</v>
      </c>
      <c r="O104" s="57">
        <f>SUM(O101:O103)</f>
        <v>89</v>
      </c>
      <c r="P104" s="588" t="s">
        <v>16</v>
      </c>
      <c r="Q104" s="589"/>
      <c r="R104" s="589"/>
      <c r="S104" s="589"/>
      <c r="T104" s="589"/>
      <c r="U104" s="474">
        <f>IF(N1=75,0,T103+T102+T101)</f>
        <v>86228.640000000014</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1</v>
      </c>
      <c r="D110" s="143">
        <v>0</v>
      </c>
      <c r="E110" s="144">
        <f>C110</f>
        <v>1</v>
      </c>
      <c r="F110" s="126" t="s">
        <v>30</v>
      </c>
      <c r="G110" s="305">
        <f>'1461'!G110</f>
        <v>565</v>
      </c>
      <c r="I110" s="101">
        <f>ROUND(G110*E110,2)</f>
        <v>565</v>
      </c>
      <c r="N110" s="585" t="s">
        <v>52</v>
      </c>
      <c r="O110" s="585"/>
      <c r="P110" s="586">
        <f>IF(H130=1,E110,0)</f>
        <v>1</v>
      </c>
      <c r="Q110" s="586"/>
      <c r="R110" s="586"/>
      <c r="S110" s="83" t="s">
        <v>30</v>
      </c>
      <c r="T110" s="58">
        <f>G110</f>
        <v>565</v>
      </c>
      <c r="U110" s="474">
        <f>ROUND(T110*P110,2)</f>
        <v>565</v>
      </c>
    </row>
    <row r="111" spans="1:21" x14ac:dyDescent="0.25">
      <c r="A111" s="518" t="s">
        <v>377</v>
      </c>
      <c r="B111" s="519"/>
      <c r="C111" s="143">
        <v>1</v>
      </c>
      <c r="D111" s="143">
        <v>0</v>
      </c>
      <c r="E111" s="144">
        <f>C111</f>
        <v>1</v>
      </c>
      <c r="F111" s="126" t="s">
        <v>30</v>
      </c>
      <c r="G111" s="305">
        <f>'1461'!G111</f>
        <v>1762</v>
      </c>
      <c r="I111" s="101">
        <f>ROUND(G111*E111,2)</f>
        <v>1762</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3067168.81</v>
      </c>
      <c r="N125" s="454"/>
      <c r="O125" s="453"/>
      <c r="P125" s="453"/>
      <c r="Q125" s="307"/>
      <c r="R125" s="307"/>
      <c r="S125" s="307"/>
      <c r="T125" s="307"/>
      <c r="U125" s="481">
        <f>SUM(U30,U85,U88,U90,U92,U94,U96,U104,U110,U111,U121,U123)</f>
        <v>689325.03</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2937581.98</v>
      </c>
      <c r="N127" s="562" t="s">
        <v>33</v>
      </c>
      <c r="O127" s="562"/>
      <c r="P127" s="562"/>
      <c r="Q127" s="562"/>
      <c r="R127" s="562"/>
      <c r="S127" s="562"/>
      <c r="T127" s="562"/>
      <c r="U127" s="132">
        <f>U125-U53</f>
        <v>661000.11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661000.11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661000.11</v>
      </c>
      <c r="I132" s="94">
        <f>ROUND(IF(E30=0,0,IF(E30&gt;250,-(((250/E30)*H132)*IF(G132="H",0.02,0.05)),IF(G132="H",-0.02*H132,-0.05*H132))),2)</f>
        <v>-33050.01</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3034118.8000000003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-493844.18-242125.08-242125.08-242125.08-242125.08-260604.42</f>
        <v>-1722948.92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1311169.8800000004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262233.98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18"/>
  <sheetViews>
    <sheetView topLeftCell="A9" workbookViewId="0">
      <selection activeCell="G64" sqref="G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285</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334">
        <v>45200</v>
      </c>
      <c r="D11" s="334">
        <v>45200</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24.16</v>
      </c>
      <c r="D14" s="141">
        <v>0</v>
      </c>
      <c r="E14" s="187">
        <f>IF(D$30=0,C14*2,C14+D14)</f>
        <v>48.32</v>
      </c>
      <c r="F14" s="628">
        <f>'1461'!F14:G14</f>
        <v>1.1220000000000001</v>
      </c>
      <c r="G14" s="628"/>
      <c r="H14" s="145">
        <f>ROUND(E14*F14,4)</f>
        <v>54.215000000000003</v>
      </c>
      <c r="I14" s="111">
        <f>ROUND(ROUND(ROUND(H14*$C$8,4)*($H$8),2)*(MAX($H$9,1)),2)</f>
        <v>290966.81</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2.5</v>
      </c>
      <c r="D15" s="143">
        <v>0</v>
      </c>
      <c r="E15" s="116">
        <f t="shared" ref="E15:E29" si="1">IF(D$30=0,C15*2,C15+D15)</f>
        <v>5</v>
      </c>
      <c r="F15" s="624">
        <f>'1461'!F15:G15</f>
        <v>1.1220000000000001</v>
      </c>
      <c r="G15" s="624"/>
      <c r="H15" s="80">
        <f t="shared" ref="H15:H29" si="2">ROUND(E15*F15,4)</f>
        <v>5.61</v>
      </c>
      <c r="I15" s="101">
        <f t="shared" ref="I15:I29" si="3">ROUND(ROUND(ROUND(H15*$C$8,4)*($H$8),2)*(MAX($H$9,1)),2)</f>
        <v>30108.34</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29.83</v>
      </c>
      <c r="D16" s="143">
        <v>0</v>
      </c>
      <c r="E16" s="116">
        <f t="shared" si="1"/>
        <v>59.66</v>
      </c>
      <c r="F16" s="624">
        <f>'1461'!F16:G16</f>
        <v>1</v>
      </c>
      <c r="G16" s="624"/>
      <c r="H16" s="80">
        <f t="shared" si="2"/>
        <v>59.66</v>
      </c>
      <c r="I16" s="101">
        <f t="shared" si="3"/>
        <v>320189.62</v>
      </c>
      <c r="N16" s="564" t="s">
        <v>22</v>
      </c>
      <c r="O16" s="564"/>
      <c r="P16" s="603">
        <f t="shared" si="0"/>
        <v>0</v>
      </c>
      <c r="Q16" s="603"/>
      <c r="R16" s="608">
        <v>1</v>
      </c>
      <c r="S16" s="608"/>
      <c r="T16" s="95">
        <f t="shared" si="4"/>
        <v>0</v>
      </c>
      <c r="U16" s="474">
        <f t="shared" si="5"/>
        <v>0</v>
      </c>
    </row>
    <row r="17" spans="1:21" x14ac:dyDescent="0.25">
      <c r="A17" s="539" t="s">
        <v>23</v>
      </c>
      <c r="B17" s="539"/>
      <c r="C17" s="143">
        <v>5</v>
      </c>
      <c r="D17" s="143">
        <v>0</v>
      </c>
      <c r="E17" s="116">
        <f t="shared" si="1"/>
        <v>10</v>
      </c>
      <c r="F17" s="624">
        <f>'1461'!F17:G17</f>
        <v>1</v>
      </c>
      <c r="G17" s="624"/>
      <c r="H17" s="80">
        <f t="shared" si="2"/>
        <v>10</v>
      </c>
      <c r="I17" s="101">
        <f t="shared" si="3"/>
        <v>53669.06</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3.84</v>
      </c>
      <c r="D26" s="143">
        <v>0</v>
      </c>
      <c r="E26" s="116">
        <f t="shared" si="1"/>
        <v>7.68</v>
      </c>
      <c r="F26" s="624">
        <f>'1461'!F26:G26</f>
        <v>1.208</v>
      </c>
      <c r="G26" s="624"/>
      <c r="H26" s="80">
        <f t="shared" si="2"/>
        <v>9.2774000000000001</v>
      </c>
      <c r="I26" s="101">
        <f t="shared" si="3"/>
        <v>49790.93</v>
      </c>
      <c r="N26" s="564" t="s">
        <v>85</v>
      </c>
      <c r="O26" s="564"/>
      <c r="P26" s="603">
        <f t="shared" si="0"/>
        <v>0</v>
      </c>
      <c r="Q26" s="603"/>
      <c r="R26" s="608">
        <v>1</v>
      </c>
      <c r="S26" s="608"/>
      <c r="T26" s="95">
        <f t="shared" si="4"/>
        <v>0</v>
      </c>
      <c r="U26" s="474">
        <f t="shared" si="5"/>
        <v>0</v>
      </c>
    </row>
    <row r="27" spans="1:21" x14ac:dyDescent="0.25">
      <c r="A27" s="539" t="s">
        <v>86</v>
      </c>
      <c r="B27" s="539"/>
      <c r="C27" s="143">
        <v>2.67</v>
      </c>
      <c r="D27" s="143">
        <v>0</v>
      </c>
      <c r="E27" s="116">
        <f t="shared" si="1"/>
        <v>5.34</v>
      </c>
      <c r="F27" s="624">
        <f>'1461'!F27:G27</f>
        <v>1.208</v>
      </c>
      <c r="G27" s="624"/>
      <c r="H27" s="80">
        <f t="shared" si="2"/>
        <v>6.4507000000000003</v>
      </c>
      <c r="I27" s="101">
        <f t="shared" si="3"/>
        <v>34620.300000000003</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68</v>
      </c>
      <c r="D30" s="94">
        <f>SUM(D14:D29)</f>
        <v>0</v>
      </c>
      <c r="E30" s="94">
        <f>SUM(E14:E29)</f>
        <v>136</v>
      </c>
      <c r="F30" s="543"/>
      <c r="G30" s="543"/>
      <c r="H30" s="99">
        <f>SUM(H14:H29)</f>
        <v>145.21310000000003</v>
      </c>
      <c r="I30" s="94">
        <f>SUM(I14:I29)</f>
        <v>779345.06000000017</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145.21310000000003</v>
      </c>
      <c r="F46" s="34"/>
      <c r="G46" s="106"/>
      <c r="H46" s="107" t="s">
        <v>98</v>
      </c>
      <c r="I46" s="94">
        <f>SUM(I44,I30)</f>
        <v>779345.06000000017</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779345.06000000017</v>
      </c>
      <c r="G51" s="109" t="s">
        <v>6</v>
      </c>
      <c r="H51" s="402">
        <v>4.5199999999999997E-2</v>
      </c>
      <c r="I51" s="101">
        <f>ROUND(F51*H51,2)</f>
        <v>35226.400000000001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779345.06000000017</v>
      </c>
      <c r="G52" s="109" t="s">
        <v>6</v>
      </c>
      <c r="H52" s="402">
        <v>1.41E-2</v>
      </c>
      <c r="I52" s="101">
        <f>ROUND(F52*H52,2)</f>
        <v>10988.77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46215.17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2</v>
      </c>
      <c r="D57" s="143">
        <v>0</v>
      </c>
      <c r="E57" s="116">
        <f t="shared" ref="E57:E65" si="10">IF(D$66=0,C57*2,C57+D57)</f>
        <v>4</v>
      </c>
      <c r="F57" s="444" t="s">
        <v>435</v>
      </c>
      <c r="G57" s="444">
        <v>251</v>
      </c>
      <c r="H57" s="458">
        <f>'1461'!H57</f>
        <v>1047</v>
      </c>
      <c r="I57" s="101">
        <f>ROUND(E57*H57,2)</f>
        <v>4188</v>
      </c>
      <c r="N57" s="572" t="s">
        <v>443</v>
      </c>
      <c r="O57" s="572"/>
      <c r="P57" s="575"/>
      <c r="Q57" s="575"/>
      <c r="R57" s="450" t="s">
        <v>435</v>
      </c>
      <c r="S57" s="450">
        <v>251</v>
      </c>
      <c r="T57" s="461">
        <f>H57</f>
        <v>1047</v>
      </c>
      <c r="U57" s="475">
        <f>ROUND(P57*T57,2)</f>
        <v>0</v>
      </c>
      <c r="V57" s="425"/>
    </row>
    <row r="58" spans="1:22" x14ac:dyDescent="0.25">
      <c r="A58" s="550"/>
      <c r="B58" s="550"/>
      <c r="C58" s="143">
        <v>0.5</v>
      </c>
      <c r="D58" s="143">
        <v>0</v>
      </c>
      <c r="E58" s="116">
        <f t="shared" si="10"/>
        <v>1</v>
      </c>
      <c r="F58" s="444" t="s">
        <v>435</v>
      </c>
      <c r="G58" s="444">
        <v>252</v>
      </c>
      <c r="H58" s="458">
        <f>'1461'!H58</f>
        <v>3380</v>
      </c>
      <c r="I58" s="101">
        <f t="shared" ref="I58:I65" si="11">ROUND(E58*H58,2)</f>
        <v>3380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3.5</v>
      </c>
      <c r="D60" s="143">
        <v>0</v>
      </c>
      <c r="E60" s="116">
        <f t="shared" si="10"/>
        <v>7</v>
      </c>
      <c r="F60" s="445" t="s">
        <v>13</v>
      </c>
      <c r="G60" s="444">
        <v>251</v>
      </c>
      <c r="H60" s="458">
        <f>'1461'!H60</f>
        <v>1173</v>
      </c>
      <c r="I60" s="101">
        <f t="shared" si="11"/>
        <v>8211</v>
      </c>
      <c r="N60" s="573"/>
      <c r="O60" s="573"/>
      <c r="P60" s="576"/>
      <c r="Q60" s="576"/>
      <c r="R60" s="40" t="s">
        <v>13</v>
      </c>
      <c r="S60" s="450">
        <v>251</v>
      </c>
      <c r="T60" s="461">
        <f t="shared" si="12"/>
        <v>1173</v>
      </c>
      <c r="U60" s="475">
        <f t="shared" si="13"/>
        <v>0</v>
      </c>
      <c r="V60" s="425"/>
    </row>
    <row r="61" spans="1:22" x14ac:dyDescent="0.25">
      <c r="A61" s="550"/>
      <c r="B61" s="550"/>
      <c r="C61" s="143">
        <v>1.5</v>
      </c>
      <c r="D61" s="143">
        <v>0</v>
      </c>
      <c r="E61" s="116">
        <f t="shared" si="10"/>
        <v>3</v>
      </c>
      <c r="F61" s="445" t="s">
        <v>13</v>
      </c>
      <c r="G61" s="444">
        <v>252</v>
      </c>
      <c r="H61" s="458">
        <f>'1461'!H61</f>
        <v>3506</v>
      </c>
      <c r="I61" s="101">
        <f t="shared" si="11"/>
        <v>10518</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7.5</v>
      </c>
      <c r="D66" s="97">
        <f>SUM(D57:D65)</f>
        <v>0</v>
      </c>
      <c r="E66" s="97">
        <f>SUM(E57:E65)</f>
        <v>15</v>
      </c>
      <c r="F66" s="551" t="s">
        <v>444</v>
      </c>
      <c r="G66" s="551"/>
      <c r="H66" s="551"/>
      <c r="I66" s="97">
        <f>SUM(I57:I65)</f>
        <v>26297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136</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6.69E-4</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145.21310000000003</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6.38E-4</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136</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7.2800000000000002E-4</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136</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6.7000000000000002E-4</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136</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7.2900000000000005E-4</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6.7000000000000002E-4</v>
      </c>
      <c r="I85" s="101">
        <f>ROUND(F85*H85,2)</f>
        <v>29925.91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6.69E-4</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7.2900000000000005E-4</v>
      </c>
      <c r="I90" s="101">
        <f>ROUND(F90*H90,2)</f>
        <v>11785.78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7.2800000000000002E-4</v>
      </c>
      <c r="I92" s="101">
        <f t="shared" ref="I92:I96" si="14">ROUND(F92*H92,2)</f>
        <v>7309.19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6.38E-4</v>
      </c>
      <c r="I94" s="101">
        <f t="shared" si="14"/>
        <v>152480.51999999999</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6.38E-4</v>
      </c>
      <c r="I96" s="101">
        <f t="shared" si="14"/>
        <v>-1020.83</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69.102400000000003</v>
      </c>
      <c r="D101" s="557"/>
      <c r="E101" s="46">
        <f>H8</f>
        <v>1.0442</v>
      </c>
      <c r="F101" s="304">
        <f>'1461'!F101</f>
        <v>947.59</v>
      </c>
      <c r="G101" s="39" t="s">
        <v>12</v>
      </c>
      <c r="H101" s="101">
        <f>ROUND(C101*E101*F101,2)</f>
        <v>68374.990000000005</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76.110699999999994</v>
      </c>
      <c r="D102" s="557"/>
      <c r="E102" s="46">
        <f>H8</f>
        <v>1.0442</v>
      </c>
      <c r="F102" s="304">
        <f>'1461'!F102</f>
        <v>904.74</v>
      </c>
      <c r="G102" s="39" t="s">
        <v>12</v>
      </c>
      <c r="H102" s="101">
        <f>ROUND(C102*E102*F102,2)</f>
        <v>71904.02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145.2131</v>
      </c>
      <c r="D104" s="547"/>
      <c r="E104" s="123"/>
      <c r="F104" s="123"/>
      <c r="G104" s="123"/>
      <c r="H104" s="124" t="s">
        <v>100</v>
      </c>
      <c r="I104" s="101">
        <f>IF(A1=75,0,H103+H102+H101)</f>
        <v>140279.01</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44">
        <f>(C110+D110)/2</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1146401.6400000001</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1100186.4700000002</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1100186.4700000002</v>
      </c>
      <c r="I132" s="94">
        <f>ROUND(IF(E30=0,0,IF(E30&gt;250,-(((250/E30)*H132)*IF(G132="H",0.02,0.05)),IF(G132="H",-0.02*H132,-0.05*H132))),2)</f>
        <v>-55009.32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1091392.32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-232524.36-113692-113692-113692-74134.38-74099.21</f>
        <v>-721833.95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369558.37000000011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73911.67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18"/>
  <sheetViews>
    <sheetView topLeftCell="A15" workbookViewId="0">
      <selection activeCell="E110" sqref="E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300</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184.72</v>
      </c>
      <c r="D16" s="143">
        <v>0</v>
      </c>
      <c r="E16" s="116">
        <f t="shared" si="1"/>
        <v>369.44</v>
      </c>
      <c r="F16" s="624">
        <f>'1461'!F16:G16</f>
        <v>1</v>
      </c>
      <c r="G16" s="624"/>
      <c r="H16" s="80">
        <f t="shared" si="2"/>
        <v>369.44</v>
      </c>
      <c r="I16" s="101">
        <f t="shared" si="3"/>
        <v>1982749.78</v>
      </c>
      <c r="N16" s="564" t="s">
        <v>22</v>
      </c>
      <c r="O16" s="564"/>
      <c r="P16" s="603">
        <f t="shared" si="0"/>
        <v>0</v>
      </c>
      <c r="Q16" s="603"/>
      <c r="R16" s="608">
        <v>1</v>
      </c>
      <c r="S16" s="608"/>
      <c r="T16" s="95">
        <f t="shared" si="4"/>
        <v>0</v>
      </c>
      <c r="U16" s="474">
        <f t="shared" si="5"/>
        <v>0</v>
      </c>
    </row>
    <row r="17" spans="1:21" x14ac:dyDescent="0.25">
      <c r="A17" s="539" t="s">
        <v>23</v>
      </c>
      <c r="B17" s="539"/>
      <c r="C17" s="143">
        <v>27.5</v>
      </c>
      <c r="D17" s="143">
        <v>0</v>
      </c>
      <c r="E17" s="116">
        <f t="shared" si="1"/>
        <v>55</v>
      </c>
      <c r="F17" s="624">
        <f>'1461'!F17:G17</f>
        <v>1</v>
      </c>
      <c r="G17" s="624"/>
      <c r="H17" s="80">
        <f t="shared" si="2"/>
        <v>55</v>
      </c>
      <c r="I17" s="101">
        <f t="shared" si="3"/>
        <v>295179.83</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171.42</v>
      </c>
      <c r="D18" s="143">
        <v>0</v>
      </c>
      <c r="E18" s="116">
        <f t="shared" si="1"/>
        <v>342.84</v>
      </c>
      <c r="F18" s="624">
        <f>'1461'!F18:G18</f>
        <v>0.98799999999999999</v>
      </c>
      <c r="G18" s="624"/>
      <c r="H18" s="80">
        <f t="shared" si="2"/>
        <v>338.72590000000002</v>
      </c>
      <c r="I18" s="101">
        <f t="shared" si="3"/>
        <v>1817910.09</v>
      </c>
      <c r="N18" s="564" t="s">
        <v>24</v>
      </c>
      <c r="O18" s="564"/>
      <c r="P18" s="603">
        <f t="shared" si="0"/>
        <v>0</v>
      </c>
      <c r="Q18" s="603"/>
      <c r="R18" s="608">
        <v>1</v>
      </c>
      <c r="S18" s="608"/>
      <c r="T18" s="95">
        <f t="shared" si="4"/>
        <v>0</v>
      </c>
      <c r="U18" s="474">
        <f t="shared" si="5"/>
        <v>0</v>
      </c>
    </row>
    <row r="19" spans="1:21" x14ac:dyDescent="0.25">
      <c r="A19" s="539" t="s">
        <v>25</v>
      </c>
      <c r="B19" s="539"/>
      <c r="C19" s="143">
        <v>23</v>
      </c>
      <c r="D19" s="143">
        <v>0</v>
      </c>
      <c r="E19" s="116">
        <f t="shared" si="1"/>
        <v>46</v>
      </c>
      <c r="F19" s="624">
        <f>'1461'!F19:G19</f>
        <v>0.98799999999999999</v>
      </c>
      <c r="G19" s="624"/>
      <c r="H19" s="80">
        <f t="shared" si="2"/>
        <v>45.448</v>
      </c>
      <c r="I19" s="101">
        <f t="shared" si="3"/>
        <v>243915.15</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36.840000000000003</v>
      </c>
      <c r="D27" s="143">
        <v>0</v>
      </c>
      <c r="E27" s="116">
        <f t="shared" si="1"/>
        <v>73.680000000000007</v>
      </c>
      <c r="F27" s="624">
        <f>'1461'!F27:G27</f>
        <v>1.208</v>
      </c>
      <c r="G27" s="624"/>
      <c r="H27" s="80">
        <f t="shared" si="2"/>
        <v>89.005399999999995</v>
      </c>
      <c r="I27" s="101">
        <f t="shared" si="3"/>
        <v>477683.62</v>
      </c>
      <c r="N27" s="564" t="s">
        <v>86</v>
      </c>
      <c r="O27" s="564"/>
      <c r="P27" s="603">
        <f t="shared" si="0"/>
        <v>0</v>
      </c>
      <c r="Q27" s="603"/>
      <c r="R27" s="608">
        <v>1</v>
      </c>
      <c r="S27" s="608"/>
      <c r="T27" s="95">
        <f t="shared" si="4"/>
        <v>0</v>
      </c>
      <c r="U27" s="474">
        <f t="shared" si="5"/>
        <v>0</v>
      </c>
    </row>
    <row r="28" spans="1:21" x14ac:dyDescent="0.25">
      <c r="A28" s="539" t="s">
        <v>87</v>
      </c>
      <c r="B28" s="539"/>
      <c r="C28" s="143">
        <v>43.42</v>
      </c>
      <c r="D28" s="143">
        <v>0</v>
      </c>
      <c r="E28" s="116">
        <f t="shared" si="1"/>
        <v>86.84</v>
      </c>
      <c r="F28" s="624">
        <f>'1461'!F28:G28</f>
        <v>1.208</v>
      </c>
      <c r="G28" s="624"/>
      <c r="H28" s="80">
        <f t="shared" si="2"/>
        <v>104.9027</v>
      </c>
      <c r="I28" s="101">
        <f t="shared" si="3"/>
        <v>563002.93999999994</v>
      </c>
      <c r="N28" s="564" t="s">
        <v>87</v>
      </c>
      <c r="O28" s="564"/>
      <c r="P28" s="603">
        <f t="shared" si="0"/>
        <v>0</v>
      </c>
      <c r="Q28" s="603"/>
      <c r="R28" s="608">
        <v>1</v>
      </c>
      <c r="S28" s="608"/>
      <c r="T28" s="95">
        <f t="shared" si="4"/>
        <v>0</v>
      </c>
      <c r="U28" s="474">
        <f t="shared" si="5"/>
        <v>0</v>
      </c>
    </row>
    <row r="29" spans="1:21" x14ac:dyDescent="0.25">
      <c r="A29" s="539" t="s">
        <v>88</v>
      </c>
      <c r="B29" s="539"/>
      <c r="C29" s="110">
        <v>26.53</v>
      </c>
      <c r="D29" s="110">
        <v>0</v>
      </c>
      <c r="E29" s="154">
        <f t="shared" si="1"/>
        <v>53.06</v>
      </c>
      <c r="F29" s="624">
        <f>'1461'!F29:G29</f>
        <v>1.0720000000000001</v>
      </c>
      <c r="G29" s="624"/>
      <c r="H29" s="93">
        <f t="shared" si="2"/>
        <v>56.880299999999998</v>
      </c>
      <c r="I29" s="94">
        <f t="shared" si="3"/>
        <v>305271.23</v>
      </c>
      <c r="N29" s="569" t="s">
        <v>88</v>
      </c>
      <c r="O29" s="569"/>
      <c r="P29" s="603">
        <f t="shared" si="0"/>
        <v>0</v>
      </c>
      <c r="Q29" s="603"/>
      <c r="R29" s="604">
        <v>1</v>
      </c>
      <c r="S29" s="604"/>
      <c r="T29" s="95">
        <f t="shared" si="4"/>
        <v>0</v>
      </c>
      <c r="U29" s="474">
        <f t="shared" si="5"/>
        <v>0</v>
      </c>
    </row>
    <row r="30" spans="1:21" x14ac:dyDescent="0.25">
      <c r="A30" s="551" t="s">
        <v>5</v>
      </c>
      <c r="B30" s="551"/>
      <c r="C30" s="94">
        <f>SUM(C14:C29)</f>
        <v>513.43000000000006</v>
      </c>
      <c r="D30" s="94">
        <f>SUM(D14:D29)</f>
        <v>0</v>
      </c>
      <c r="E30" s="94">
        <f>SUM(E14:E29)</f>
        <v>1026.8600000000001</v>
      </c>
      <c r="F30" s="543"/>
      <c r="G30" s="543"/>
      <c r="H30" s="99">
        <f>SUM(H14:H29)</f>
        <v>1059.4023</v>
      </c>
      <c r="I30" s="94">
        <f>SUM(I14:I29)</f>
        <v>5685712.6400000006</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1059.4023</v>
      </c>
      <c r="F46" s="34"/>
      <c r="G46" s="106"/>
      <c r="H46" s="107" t="s">
        <v>98</v>
      </c>
      <c r="I46" s="94">
        <f>SUM(I44,I30)</f>
        <v>5685712.6400000006</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5685712.6400000006</v>
      </c>
      <c r="G51" s="109" t="s">
        <v>6</v>
      </c>
      <c r="H51" s="402">
        <v>4.5199999999999997E-2</v>
      </c>
      <c r="I51" s="101">
        <f>ROUND(F51*H51,2)</f>
        <v>256994.21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5685712.6400000006</v>
      </c>
      <c r="G52" s="109" t="s">
        <v>6</v>
      </c>
      <c r="H52" s="402">
        <v>1.41E-2</v>
      </c>
      <c r="I52" s="101">
        <f>ROUND(F52*H52,2)</f>
        <v>80168.55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337162.76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25</v>
      </c>
      <c r="D60" s="143">
        <v>0</v>
      </c>
      <c r="E60" s="116">
        <f t="shared" si="10"/>
        <v>50</v>
      </c>
      <c r="F60" s="445" t="s">
        <v>13</v>
      </c>
      <c r="G60" s="444">
        <v>251</v>
      </c>
      <c r="H60" s="458">
        <f>'1461'!H60</f>
        <v>1173</v>
      </c>
      <c r="I60" s="101">
        <f t="shared" si="11"/>
        <v>58650</v>
      </c>
      <c r="N60" s="573"/>
      <c r="O60" s="573"/>
      <c r="P60" s="576"/>
      <c r="Q60" s="576"/>
      <c r="R60" s="40" t="s">
        <v>13</v>
      </c>
      <c r="S60" s="450">
        <v>251</v>
      </c>
      <c r="T60" s="461">
        <f t="shared" si="12"/>
        <v>1173</v>
      </c>
      <c r="U60" s="475">
        <f t="shared" si="13"/>
        <v>0</v>
      </c>
      <c r="V60" s="425"/>
    </row>
    <row r="61" spans="1:22" x14ac:dyDescent="0.25">
      <c r="A61" s="550"/>
      <c r="B61" s="550"/>
      <c r="C61" s="143">
        <v>2.5</v>
      </c>
      <c r="D61" s="143">
        <v>0</v>
      </c>
      <c r="E61" s="116">
        <f t="shared" si="10"/>
        <v>5</v>
      </c>
      <c r="F61" s="445" t="s">
        <v>13</v>
      </c>
      <c r="G61" s="444">
        <v>252</v>
      </c>
      <c r="H61" s="458">
        <f>'1461'!H61</f>
        <v>3506</v>
      </c>
      <c r="I61" s="101">
        <f t="shared" si="11"/>
        <v>17530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19.5</v>
      </c>
      <c r="D63" s="143">
        <v>0</v>
      </c>
      <c r="E63" s="116">
        <f t="shared" si="10"/>
        <v>39</v>
      </c>
      <c r="F63" s="445" t="s">
        <v>14</v>
      </c>
      <c r="G63" s="444">
        <v>251</v>
      </c>
      <c r="H63" s="458">
        <f>'1461'!H63</f>
        <v>835</v>
      </c>
      <c r="I63" s="101">
        <f t="shared" si="11"/>
        <v>32565</v>
      </c>
      <c r="N63" s="573"/>
      <c r="O63" s="573"/>
      <c r="P63" s="576"/>
      <c r="Q63" s="576"/>
      <c r="R63" s="40" t="s">
        <v>14</v>
      </c>
      <c r="S63" s="450">
        <v>251</v>
      </c>
      <c r="T63" s="461">
        <f t="shared" si="12"/>
        <v>835</v>
      </c>
      <c r="U63" s="475">
        <f t="shared" si="13"/>
        <v>0</v>
      </c>
      <c r="V63" s="425"/>
    </row>
    <row r="64" spans="1:22" x14ac:dyDescent="0.25">
      <c r="A64" s="550"/>
      <c r="B64" s="550"/>
      <c r="C64" s="143">
        <v>3.5</v>
      </c>
      <c r="D64" s="143">
        <v>0</v>
      </c>
      <c r="E64" s="116">
        <f t="shared" si="10"/>
        <v>7</v>
      </c>
      <c r="F64" s="445" t="s">
        <v>14</v>
      </c>
      <c r="G64" s="444">
        <v>252</v>
      </c>
      <c r="H64" s="458">
        <f>'1461'!H64</f>
        <v>3168</v>
      </c>
      <c r="I64" s="101">
        <f t="shared" si="11"/>
        <v>22176</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50.5</v>
      </c>
      <c r="D66" s="97">
        <f>SUM(D57:D65)</f>
        <v>0</v>
      </c>
      <c r="E66" s="97">
        <f>SUM(E57:E65)</f>
        <v>101</v>
      </c>
      <c r="F66" s="551" t="s">
        <v>444</v>
      </c>
      <c r="G66" s="551"/>
      <c r="H66" s="551"/>
      <c r="I66" s="97">
        <f>SUM(I57:I65)</f>
        <v>130921</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1026.8600000000001</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5.0509999999999999E-3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1059.4023</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4.6560000000000004E-3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1026.8600000000001</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5.4939999999999998E-3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1026.8600000000001</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5.0559999999999997E-3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1026.8600000000001</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5.5009999999999998E-3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5.0559999999999997E-3</v>
      </c>
      <c r="I85" s="101">
        <f>ROUND(F85*H85,2)</f>
        <v>225828.95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5.0509999999999999E-3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5.5009999999999998E-3</v>
      </c>
      <c r="I90" s="101">
        <f>ROUND(F90*H90,2)</f>
        <v>88934.95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5.4939999999999998E-3</v>
      </c>
      <c r="I92" s="101">
        <f t="shared" ref="I92:I96" si="14">ROUND(F92*H92,2)</f>
        <v>55160.3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4.6560000000000004E-3</v>
      </c>
      <c r="I94" s="101">
        <f t="shared" si="14"/>
        <v>1112773.17</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4.6560000000000004E-3</v>
      </c>
      <c r="I96" s="101">
        <f t="shared" si="14"/>
        <v>-7449.82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513.44539999999995</v>
      </c>
      <c r="D102" s="557"/>
      <c r="E102" s="46">
        <f>H8</f>
        <v>1.0442</v>
      </c>
      <c r="F102" s="304">
        <f>'1461'!F102</f>
        <v>904.74</v>
      </c>
      <c r="G102" s="39" t="s">
        <v>12</v>
      </c>
      <c r="H102" s="101">
        <f>ROUND(C102*E102*F102,2)</f>
        <v>485067.02</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545.95690000000002</v>
      </c>
      <c r="D103" s="557"/>
      <c r="E103" s="46">
        <f>H8</f>
        <v>1.0442</v>
      </c>
      <c r="F103" s="304">
        <f>'1461'!F103</f>
        <v>906.93</v>
      </c>
      <c r="G103" s="39" t="s">
        <v>12</v>
      </c>
      <c r="H103" s="94">
        <f>ROUND(C103*E103*F103,2)</f>
        <v>517030.09</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1059.4023</v>
      </c>
      <c r="D104" s="547"/>
      <c r="E104" s="123"/>
      <c r="F104" s="123"/>
      <c r="G104" s="123"/>
      <c r="H104" s="124" t="s">
        <v>100</v>
      </c>
      <c r="I104" s="101">
        <f>IF(A1=75,0,H103+H102+H101)</f>
        <v>1002097.1100000001</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7</v>
      </c>
      <c r="D110" s="143">
        <v>0</v>
      </c>
      <c r="E110" s="144">
        <f>C110</f>
        <v>7</v>
      </c>
      <c r="F110" s="126" t="s">
        <v>30</v>
      </c>
      <c r="G110" s="305">
        <f>'1461'!G110</f>
        <v>565</v>
      </c>
      <c r="I110" s="101">
        <f>ROUND(G110*E110,2)</f>
        <v>3955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8297933.3000000007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7960770.540000001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7960770.540000001</v>
      </c>
      <c r="I132" s="94">
        <f>ROUND(IF(E30=0,0,IF(E30&gt;250,-(((250/E30)*H132)*IF(G132="H",0.02,0.05)),IF(G132="H",-0.02*H132,-0.05*H132))),2)</f>
        <v>-96906.72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8201026.580000001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-1365148.96-665322.06-665322.05-665322.06-665322.06-694314.4</f>
        <v>-4720751.5900000008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3480274.99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696055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301131.81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18"/>
  <sheetViews>
    <sheetView topLeftCell="A15" workbookViewId="0">
      <selection activeCell="I137" sqref="I13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309</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105.51</v>
      </c>
      <c r="D18" s="143">
        <v>0</v>
      </c>
      <c r="E18" s="116">
        <f t="shared" si="1"/>
        <v>211.02</v>
      </c>
      <c r="F18" s="624">
        <f>'1461'!F18:G18</f>
        <v>0.98799999999999999</v>
      </c>
      <c r="G18" s="624"/>
      <c r="H18" s="80">
        <f t="shared" si="2"/>
        <v>208.48779999999999</v>
      </c>
      <c r="I18" s="101">
        <f t="shared" si="3"/>
        <v>1118934.44</v>
      </c>
      <c r="N18" s="564" t="s">
        <v>24</v>
      </c>
      <c r="O18" s="564"/>
      <c r="P18" s="603">
        <f t="shared" si="0"/>
        <v>0</v>
      </c>
      <c r="Q18" s="603"/>
      <c r="R18" s="608">
        <v>1</v>
      </c>
      <c r="S18" s="608"/>
      <c r="T18" s="95">
        <f t="shared" si="4"/>
        <v>0</v>
      </c>
      <c r="U18" s="474">
        <f t="shared" si="5"/>
        <v>0</v>
      </c>
    </row>
    <row r="19" spans="1:21" x14ac:dyDescent="0.25">
      <c r="A19" s="539" t="s">
        <v>25</v>
      </c>
      <c r="B19" s="539"/>
      <c r="C19" s="143">
        <v>23</v>
      </c>
      <c r="D19" s="143">
        <v>0</v>
      </c>
      <c r="E19" s="116">
        <f t="shared" si="1"/>
        <v>46</v>
      </c>
      <c r="F19" s="624">
        <f>'1461'!F19:G19</f>
        <v>0.98799999999999999</v>
      </c>
      <c r="G19" s="624"/>
      <c r="H19" s="80">
        <f t="shared" si="2"/>
        <v>45.448</v>
      </c>
      <c r="I19" s="101">
        <f t="shared" si="3"/>
        <v>243915.15</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19.649999999999999</v>
      </c>
      <c r="D28" s="143">
        <v>0</v>
      </c>
      <c r="E28" s="116">
        <f t="shared" si="1"/>
        <v>39.299999999999997</v>
      </c>
      <c r="F28" s="624">
        <f>'1461'!F28:G28</f>
        <v>1.208</v>
      </c>
      <c r="G28" s="624"/>
      <c r="H28" s="80">
        <f t="shared" si="2"/>
        <v>47.474400000000003</v>
      </c>
      <c r="I28" s="101">
        <f t="shared" si="3"/>
        <v>254790.65</v>
      </c>
      <c r="N28" s="564" t="s">
        <v>87</v>
      </c>
      <c r="O28" s="564"/>
      <c r="P28" s="603">
        <f t="shared" si="0"/>
        <v>0</v>
      </c>
      <c r="Q28" s="603"/>
      <c r="R28" s="608">
        <v>1</v>
      </c>
      <c r="S28" s="608"/>
      <c r="T28" s="95">
        <f t="shared" si="4"/>
        <v>0</v>
      </c>
      <c r="U28" s="474">
        <f t="shared" si="5"/>
        <v>0</v>
      </c>
    </row>
    <row r="29" spans="1:21" x14ac:dyDescent="0.25">
      <c r="A29" s="539" t="s">
        <v>88</v>
      </c>
      <c r="B29" s="539"/>
      <c r="C29" s="110">
        <v>7.28</v>
      </c>
      <c r="D29" s="110">
        <v>0</v>
      </c>
      <c r="E29" s="116">
        <f t="shared" si="1"/>
        <v>14.56</v>
      </c>
      <c r="F29" s="624">
        <f>'1461'!F29:G29</f>
        <v>1.0720000000000001</v>
      </c>
      <c r="G29" s="624"/>
      <c r="H29" s="93">
        <f t="shared" si="2"/>
        <v>15.6083</v>
      </c>
      <c r="I29" s="94">
        <f t="shared" si="3"/>
        <v>83768.28</v>
      </c>
      <c r="N29" s="569" t="s">
        <v>88</v>
      </c>
      <c r="O29" s="569"/>
      <c r="P29" s="603">
        <f t="shared" si="0"/>
        <v>0</v>
      </c>
      <c r="Q29" s="603"/>
      <c r="R29" s="604">
        <v>1</v>
      </c>
      <c r="S29" s="604"/>
      <c r="T29" s="95">
        <f t="shared" si="4"/>
        <v>0</v>
      </c>
      <c r="U29" s="474">
        <f t="shared" si="5"/>
        <v>0</v>
      </c>
    </row>
    <row r="30" spans="1:21" x14ac:dyDescent="0.25">
      <c r="A30" s="551" t="s">
        <v>5</v>
      </c>
      <c r="B30" s="551"/>
      <c r="C30" s="94">
        <f>SUM(C14:C29)</f>
        <v>155.44</v>
      </c>
      <c r="D30" s="94">
        <f>SUM(D14:D29)</f>
        <v>0</v>
      </c>
      <c r="E30" s="97">
        <f>SUM(E14:E29)</f>
        <v>310.88</v>
      </c>
      <c r="F30" s="543"/>
      <c r="G30" s="543"/>
      <c r="H30" s="99">
        <f>SUM(H14:H29)</f>
        <v>317.01850000000002</v>
      </c>
      <c r="I30" s="94">
        <f>SUM(I14:I29)</f>
        <v>1701408.5199999998</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42">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44">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44">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44">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44">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36">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317.01850000000002</v>
      </c>
      <c r="F46" s="34"/>
      <c r="G46" s="106"/>
      <c r="H46" s="107" t="s">
        <v>98</v>
      </c>
      <c r="I46" s="94">
        <f>SUM(I44,I30)</f>
        <v>1701408.5199999998</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1701408.5199999998</v>
      </c>
      <c r="G51" s="109" t="s">
        <v>6</v>
      </c>
      <c r="H51" s="402">
        <v>4.5199999999999997E-2</v>
      </c>
      <c r="I51" s="101">
        <f>ROUND(F51*H51,2)</f>
        <v>76903.67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1701408.5199999998</v>
      </c>
      <c r="G52" s="109" t="s">
        <v>6</v>
      </c>
      <c r="H52" s="402">
        <v>1.41E-2</v>
      </c>
      <c r="I52" s="101">
        <f>ROUND(F52*H52,2)</f>
        <v>23989.86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100893.53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22.5</v>
      </c>
      <c r="D63" s="143">
        <v>0</v>
      </c>
      <c r="E63" s="116">
        <f t="shared" si="10"/>
        <v>45</v>
      </c>
      <c r="F63" s="445" t="s">
        <v>14</v>
      </c>
      <c r="G63" s="444">
        <v>251</v>
      </c>
      <c r="H63" s="458">
        <f>'1461'!H63</f>
        <v>835</v>
      </c>
      <c r="I63" s="101">
        <f t="shared" si="11"/>
        <v>37575</v>
      </c>
      <c r="N63" s="573"/>
      <c r="O63" s="573"/>
      <c r="P63" s="576"/>
      <c r="Q63" s="576"/>
      <c r="R63" s="40" t="s">
        <v>14</v>
      </c>
      <c r="S63" s="450">
        <v>251</v>
      </c>
      <c r="T63" s="461">
        <f t="shared" si="12"/>
        <v>835</v>
      </c>
      <c r="U63" s="475">
        <f t="shared" si="13"/>
        <v>0</v>
      </c>
      <c r="V63" s="425"/>
    </row>
    <row r="64" spans="1:22" x14ac:dyDescent="0.25">
      <c r="A64" s="550"/>
      <c r="B64" s="550"/>
      <c r="C64" s="143">
        <v>0.5</v>
      </c>
      <c r="D64" s="143">
        <v>0</v>
      </c>
      <c r="E64" s="116">
        <f t="shared" si="10"/>
        <v>1</v>
      </c>
      <c r="F64" s="445" t="s">
        <v>14</v>
      </c>
      <c r="G64" s="444">
        <v>252</v>
      </c>
      <c r="H64" s="458">
        <f>'1461'!H64</f>
        <v>3168</v>
      </c>
      <c r="I64" s="101">
        <f t="shared" si="11"/>
        <v>3168</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23</v>
      </c>
      <c r="D66" s="97">
        <f>SUM(D57:D65)</f>
        <v>0</v>
      </c>
      <c r="E66" s="97">
        <f>SUM(E57:E65)</f>
        <v>46</v>
      </c>
      <c r="F66" s="551" t="s">
        <v>444</v>
      </c>
      <c r="G66" s="551"/>
      <c r="H66" s="551"/>
      <c r="I66" s="97">
        <f>SUM(I57:I65)</f>
        <v>40743</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310.88</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1.529E-3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317.01850000000002</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1.3929999999999999E-3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310.88</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1.663E-3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310.88</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1.531E-3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310.88</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1.665E-3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1.531E-3</v>
      </c>
      <c r="I85" s="101">
        <f>ROUND(F85*H85,2)</f>
        <v>68382.94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53"/>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1.529E-3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1.665E-3</v>
      </c>
      <c r="I90" s="101">
        <f>ROUND(F90*H90,2)</f>
        <v>26918.14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1.663E-3</v>
      </c>
      <c r="I92" s="101">
        <f t="shared" ref="I92:I96" si="14">ROUND(F92*H92,2)</f>
        <v>16696.68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1.3929999999999999E-3</v>
      </c>
      <c r="I94" s="101">
        <f t="shared" si="14"/>
        <v>332923.76</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1.3929999999999999E-3</v>
      </c>
      <c r="I96" s="101">
        <f t="shared" si="14"/>
        <v>-2228.87</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317.01850000000002</v>
      </c>
      <c r="D103" s="557"/>
      <c r="E103" s="46">
        <f>H8</f>
        <v>1.0442</v>
      </c>
      <c r="F103" s="304">
        <f>'1461'!F103</f>
        <v>906.93</v>
      </c>
      <c r="G103" s="39" t="s">
        <v>12</v>
      </c>
      <c r="H103" s="94">
        <f>ROUND(C103*E103*F103,2)</f>
        <v>300221.69</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317.01850000000002</v>
      </c>
      <c r="D104" s="547"/>
      <c r="E104" s="123"/>
      <c r="F104" s="123"/>
      <c r="G104" s="123"/>
      <c r="H104" s="124" t="s">
        <v>100</v>
      </c>
      <c r="I104" s="101">
        <f>IF(A1=75,0,H103+H102+H101)</f>
        <v>300221.69</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v>
      </c>
      <c r="D110" s="143">
        <v>0</v>
      </c>
      <c r="E110" s="144">
        <f>C110</f>
        <v>2</v>
      </c>
      <c r="F110" s="126" t="s">
        <v>30</v>
      </c>
      <c r="G110" s="305">
        <f>'1461'!G110</f>
        <v>565</v>
      </c>
      <c r="I110" s="101">
        <f>ROUND(G110*E110,2)</f>
        <v>1130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44">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42">
        <f>IF(D30=0,C118*2,C118+D118)</f>
        <v>0</v>
      </c>
      <c r="F118" s="634">
        <v>0</v>
      </c>
      <c r="G118" s="634"/>
      <c r="H118" s="61">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44">
        <f>IF(D31=0,C119*2,C119+D119)</f>
        <v>0</v>
      </c>
      <c r="F119" s="559">
        <f>ROUND(F118/2,2)</f>
        <v>0</v>
      </c>
      <c r="G119" s="559"/>
      <c r="H119" s="61">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44">
        <f>IF(D32=0,C120*2,C120+D120)</f>
        <v>0</v>
      </c>
      <c r="F120" s="560"/>
      <c r="G120" s="560"/>
      <c r="H120" s="63">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2486195.8599999994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2385302.3299999996</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2385302.3299999996</v>
      </c>
      <c r="I132" s="94">
        <f>ROUND(IF(E30=0,0,IF(E30&gt;250,-(((250/E30)*H132)*IF(G132="H",0.02,0.05)),IF(G132="H",-0.02*H132,-0.05*H132))),2)</f>
        <v>-95909.29</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2390286.5699999994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-414000.01-200600.78-200600.78-200600.78-200600.78-195974.03</f>
        <v>-1412377.1600000001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977909.40999999922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195581.88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23355.83</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69"/>
      <c r="Q146" s="73"/>
      <c r="R146" s="73"/>
      <c r="S146" s="73"/>
      <c r="T146" s="73"/>
      <c r="U146" s="73"/>
    </row>
    <row r="147" spans="1:21" x14ac:dyDescent="0.25">
      <c r="B147" s="69"/>
      <c r="C147" s="69"/>
      <c r="D147" s="69"/>
      <c r="E147" s="69"/>
      <c r="F147" s="69"/>
      <c r="G147" s="69"/>
      <c r="H147" s="65"/>
      <c r="I147" s="134"/>
      <c r="N147" s="73"/>
      <c r="O147" s="73"/>
      <c r="P147" s="369"/>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18"/>
  <sheetViews>
    <sheetView workbookViewId="0">
      <selection activeCell="C65" sqref="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110</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302.58999999999997</v>
      </c>
      <c r="D18" s="143">
        <v>0</v>
      </c>
      <c r="E18" s="116">
        <f t="shared" si="1"/>
        <v>605.17999999999995</v>
      </c>
      <c r="F18" s="624">
        <f>'1461'!F18:G18</f>
        <v>0.98799999999999999</v>
      </c>
      <c r="G18" s="624"/>
      <c r="H18" s="80">
        <f t="shared" si="2"/>
        <v>597.91780000000006</v>
      </c>
      <c r="I18" s="101">
        <f t="shared" si="3"/>
        <v>3208968.67</v>
      </c>
      <c r="N18" s="564" t="s">
        <v>24</v>
      </c>
      <c r="O18" s="564"/>
      <c r="P18" s="603">
        <f t="shared" si="0"/>
        <v>0</v>
      </c>
      <c r="Q18" s="603"/>
      <c r="R18" s="608">
        <v>1</v>
      </c>
      <c r="S18" s="608"/>
      <c r="T18" s="95">
        <f t="shared" si="4"/>
        <v>0</v>
      </c>
      <c r="U18" s="474">
        <f t="shared" si="5"/>
        <v>0</v>
      </c>
    </row>
    <row r="19" spans="1:21" x14ac:dyDescent="0.25">
      <c r="A19" s="539" t="s">
        <v>25</v>
      </c>
      <c r="B19" s="539"/>
      <c r="C19" s="143">
        <v>114.3</v>
      </c>
      <c r="D19" s="143">
        <v>0</v>
      </c>
      <c r="E19" s="116">
        <f t="shared" si="1"/>
        <v>228.6</v>
      </c>
      <c r="F19" s="624">
        <f>'1461'!F19:G19</f>
        <v>0.98799999999999999</v>
      </c>
      <c r="G19" s="624"/>
      <c r="H19" s="80">
        <f t="shared" si="2"/>
        <v>225.85679999999999</v>
      </c>
      <c r="I19" s="101">
        <f t="shared" si="3"/>
        <v>1212152.23</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1.7</v>
      </c>
      <c r="D28" s="143">
        <v>0</v>
      </c>
      <c r="E28" s="116">
        <f t="shared" si="1"/>
        <v>3.4</v>
      </c>
      <c r="F28" s="624">
        <f>'1461'!F28:G28</f>
        <v>1.208</v>
      </c>
      <c r="G28" s="624"/>
      <c r="H28" s="80">
        <f t="shared" si="2"/>
        <v>4.1071999999999997</v>
      </c>
      <c r="I28" s="101">
        <f t="shared" si="3"/>
        <v>22042.959999999999</v>
      </c>
      <c r="N28" s="564" t="s">
        <v>87</v>
      </c>
      <c r="O28" s="564"/>
      <c r="P28" s="603">
        <f t="shared" si="0"/>
        <v>0</v>
      </c>
      <c r="Q28" s="603"/>
      <c r="R28" s="608">
        <v>1</v>
      </c>
      <c r="S28" s="608"/>
      <c r="T28" s="95">
        <f t="shared" si="4"/>
        <v>0</v>
      </c>
      <c r="U28" s="474">
        <f t="shared" si="5"/>
        <v>0</v>
      </c>
    </row>
    <row r="29" spans="1:21" x14ac:dyDescent="0.25">
      <c r="A29" s="539" t="s">
        <v>88</v>
      </c>
      <c r="B29" s="539"/>
      <c r="C29" s="110">
        <v>112.63</v>
      </c>
      <c r="D29" s="110">
        <v>0</v>
      </c>
      <c r="E29" s="154">
        <f t="shared" si="1"/>
        <v>225.26</v>
      </c>
      <c r="F29" s="624">
        <f>'1461'!F29:G29</f>
        <v>1.0720000000000001</v>
      </c>
      <c r="G29" s="624"/>
      <c r="H29" s="93">
        <f t="shared" si="2"/>
        <v>241.4787</v>
      </c>
      <c r="I29" s="94">
        <f t="shared" si="3"/>
        <v>1295993.5</v>
      </c>
      <c r="N29" s="569" t="s">
        <v>88</v>
      </c>
      <c r="O29" s="569"/>
      <c r="P29" s="603">
        <f t="shared" si="0"/>
        <v>0</v>
      </c>
      <c r="Q29" s="603"/>
      <c r="R29" s="604">
        <v>1</v>
      </c>
      <c r="S29" s="604"/>
      <c r="T29" s="95">
        <f t="shared" si="4"/>
        <v>0</v>
      </c>
      <c r="U29" s="474">
        <f t="shared" si="5"/>
        <v>0</v>
      </c>
    </row>
    <row r="30" spans="1:21" x14ac:dyDescent="0.25">
      <c r="A30" s="551" t="s">
        <v>5</v>
      </c>
      <c r="B30" s="551"/>
      <c r="C30" s="94">
        <f>SUM(C14:C29)</f>
        <v>531.22</v>
      </c>
      <c r="D30" s="94">
        <f>SUM(D14:D29)</f>
        <v>0</v>
      </c>
      <c r="E30" s="94">
        <f>SUM(E14:E29)</f>
        <v>1062.44</v>
      </c>
      <c r="F30" s="543"/>
      <c r="G30" s="543"/>
      <c r="H30" s="99">
        <f>SUM(H14:H29)</f>
        <v>1069.3605000000002</v>
      </c>
      <c r="I30" s="94">
        <f>SUM(I14:I29)</f>
        <v>5739157.3600000003</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1069.3605000000002</v>
      </c>
      <c r="F46" s="34"/>
      <c r="G46" s="106"/>
      <c r="H46" s="107" t="s">
        <v>98</v>
      </c>
      <c r="I46" s="94">
        <f>SUM(I44,I30)</f>
        <v>5739157.3600000003</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5739157.3600000003</v>
      </c>
      <c r="G51" s="109" t="s">
        <v>6</v>
      </c>
      <c r="H51" s="402">
        <v>4.5199999999999997E-2</v>
      </c>
      <c r="I51" s="101">
        <f>ROUND(F51*H51,2)</f>
        <v>259409.91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5739157.3600000003</v>
      </c>
      <c r="G52" s="109" t="s">
        <v>6</v>
      </c>
      <c r="H52" s="402">
        <v>1.41E-2</v>
      </c>
      <c r="I52" s="101">
        <f>ROUND(F52*H52,2)</f>
        <v>80922.12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340332.03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2" si="10">IF(D$72=0,C57*2,C57+D57)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105.79</v>
      </c>
      <c r="D63" s="143">
        <v>0</v>
      </c>
      <c r="E63" s="116">
        <f>IF(D$66=0,C63*2,C63+D63)</f>
        <v>211.58</v>
      </c>
      <c r="F63" s="445" t="s">
        <v>14</v>
      </c>
      <c r="G63" s="444">
        <v>251</v>
      </c>
      <c r="H63" s="458">
        <f>'1461'!H63</f>
        <v>835</v>
      </c>
      <c r="I63" s="101">
        <f t="shared" si="11"/>
        <v>176669.3</v>
      </c>
      <c r="N63" s="573"/>
      <c r="O63" s="573"/>
      <c r="P63" s="576"/>
      <c r="Q63" s="576"/>
      <c r="R63" s="40" t="s">
        <v>14</v>
      </c>
      <c r="S63" s="450">
        <v>251</v>
      </c>
      <c r="T63" s="461">
        <f t="shared" si="12"/>
        <v>835</v>
      </c>
      <c r="U63" s="475">
        <f t="shared" si="13"/>
        <v>0</v>
      </c>
      <c r="V63" s="425"/>
    </row>
    <row r="64" spans="1:22" x14ac:dyDescent="0.25">
      <c r="A64" s="550"/>
      <c r="B64" s="550"/>
      <c r="C64" s="143">
        <v>8.01</v>
      </c>
      <c r="D64" s="143">
        <v>0</v>
      </c>
      <c r="E64" s="116">
        <f>IF(D$66=0,C64*2,C64+D64)</f>
        <v>16.02</v>
      </c>
      <c r="F64" s="445" t="s">
        <v>14</v>
      </c>
      <c r="G64" s="444">
        <v>252</v>
      </c>
      <c r="H64" s="458">
        <f>'1461'!H64</f>
        <v>3168</v>
      </c>
      <c r="I64" s="101">
        <f t="shared" si="11"/>
        <v>50751.360000000001</v>
      </c>
      <c r="N64" s="573"/>
      <c r="O64" s="573"/>
      <c r="P64" s="576"/>
      <c r="Q64" s="576"/>
      <c r="R64" s="40" t="s">
        <v>14</v>
      </c>
      <c r="S64" s="450">
        <v>252</v>
      </c>
      <c r="T64" s="461">
        <f t="shared" si="12"/>
        <v>3168</v>
      </c>
      <c r="U64" s="475">
        <f t="shared" si="13"/>
        <v>0</v>
      </c>
      <c r="V64" s="425"/>
    </row>
    <row r="65" spans="1:22" ht="16.5" thickBot="1" x14ac:dyDescent="0.3">
      <c r="A65" s="550"/>
      <c r="B65" s="550"/>
      <c r="C65" s="143">
        <v>0.5</v>
      </c>
      <c r="D65" s="143">
        <v>0</v>
      </c>
      <c r="E65" s="116">
        <f>IF(D$66=0,C65*2,C65+D65)</f>
        <v>1</v>
      </c>
      <c r="F65" s="445" t="s">
        <v>14</v>
      </c>
      <c r="G65" s="444">
        <v>253</v>
      </c>
      <c r="H65" s="458">
        <f>'1461'!H65</f>
        <v>6685</v>
      </c>
      <c r="I65" s="101">
        <f t="shared" si="11"/>
        <v>6685</v>
      </c>
      <c r="N65" s="573"/>
      <c r="O65" s="573"/>
      <c r="P65" s="577"/>
      <c r="Q65" s="577"/>
      <c r="R65" s="40" t="s">
        <v>14</v>
      </c>
      <c r="S65" s="450">
        <v>253</v>
      </c>
      <c r="T65" s="461">
        <f t="shared" si="12"/>
        <v>6685</v>
      </c>
      <c r="U65" s="476">
        <f t="shared" si="13"/>
        <v>0</v>
      </c>
      <c r="V65" s="425"/>
    </row>
    <row r="66" spans="1:22" ht="16.5" thickBot="1" x14ac:dyDescent="0.3">
      <c r="A66" s="441"/>
      <c r="C66" s="97">
        <f>SUM(C57:C65)</f>
        <v>114.30000000000001</v>
      </c>
      <c r="D66" s="97">
        <f>SUM(D57:D65)</f>
        <v>0</v>
      </c>
      <c r="E66" s="97">
        <f>SUM(E57:E65)</f>
        <v>228.60000000000002</v>
      </c>
      <c r="F66" s="551" t="s">
        <v>444</v>
      </c>
      <c r="G66" s="551"/>
      <c r="H66" s="551"/>
      <c r="I66" s="97">
        <f>SUM(I57:I65)</f>
        <v>234105.65999999997</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1062.44</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5.2259999999999997E-3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1069.3605000000002</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4.7000000000000002E-3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1062.44</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5.6839999999999998E-3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1062.44</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5.2319999999999997E-3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1062.44</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5.6909999999999999E-3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5.2319999999999997E-3</v>
      </c>
      <c r="I85" s="101">
        <f>ROUND(F85*H85,2)</f>
        <v>233690.08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5.2259999999999997E-3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5.6909999999999999E-3</v>
      </c>
      <c r="I90" s="101">
        <f>ROUND(F90*H90,2)</f>
        <v>92006.69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5.6839999999999998E-3</v>
      </c>
      <c r="I92" s="101">
        <f t="shared" ref="I92:I96" si="14">ROUND(F92*H92,2)</f>
        <v>57067.92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4.7000000000000002E-3</v>
      </c>
      <c r="I94" s="101">
        <f t="shared" si="14"/>
        <v>1123289.07</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4.7000000000000002E-3</v>
      </c>
      <c r="I96" s="101">
        <f t="shared" si="14"/>
        <v>-7520.22</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1069.3605000000002</v>
      </c>
      <c r="D103" s="557"/>
      <c r="E103" s="46">
        <f>H8</f>
        <v>1.0442</v>
      </c>
      <c r="F103" s="304">
        <f>'1461'!F103</f>
        <v>906.93</v>
      </c>
      <c r="G103" s="39" t="s">
        <v>12</v>
      </c>
      <c r="H103" s="94">
        <f>ROUND(C103*E103*F103,2)</f>
        <v>1012701.83</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1069.3605000000002</v>
      </c>
      <c r="D104" s="547"/>
      <c r="E104" s="123"/>
      <c r="F104" s="123"/>
      <c r="G104" s="123"/>
      <c r="H104" s="124" t="s">
        <v>100</v>
      </c>
      <c r="I104" s="101">
        <f>IF(A1=75,0,H103+H102+H101)</f>
        <v>1012701.83</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8"/>
      <c r="D107" s="8"/>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710</v>
      </c>
      <c r="D110" s="143">
        <v>0</v>
      </c>
      <c r="E110" s="116">
        <f>C110</f>
        <v>710</v>
      </c>
      <c r="F110" s="126" t="s">
        <v>30</v>
      </c>
      <c r="G110" s="305">
        <f>'1461'!G110</f>
        <v>565</v>
      </c>
      <c r="I110" s="101">
        <f>ROUND(G110*E110,2)</f>
        <v>401150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8885648.3900000006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8545316.3600000013</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8545316.3600000013</v>
      </c>
      <c r="I132" s="94">
        <f>ROUND(IF(E30=0,0,IF(E30&gt;250,-(((250/E30)*H132)*IF(G132="H",0.02,0.05)),IF(G132="H",-0.02*H132,-0.05*H132))),2)</f>
        <v>-40215.519999999997</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8845432.870000001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-1588639.75-768922.08-768922.08-768922.08-768922.08-689413.31</f>
        <v>-5353741.3800000008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3491691.49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698338.3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130690.80720000004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9"/>
      <c r="O152" s="579"/>
      <c r="P152" s="579"/>
      <c r="Q152" s="579"/>
      <c r="R152" s="579"/>
      <c r="S152" s="579"/>
      <c r="T152" s="579"/>
      <c r="U152" s="579"/>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18"/>
  <sheetViews>
    <sheetView topLeftCell="A6" workbookViewId="0">
      <selection activeCell="I130" sqref="I13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350</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151"/>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7"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25.88</v>
      </c>
      <c r="D18" s="143">
        <v>0</v>
      </c>
      <c r="E18" s="116">
        <f t="shared" si="1"/>
        <v>51.76</v>
      </c>
      <c r="F18" s="624">
        <f>'1461'!F18:G18</f>
        <v>0.98799999999999999</v>
      </c>
      <c r="G18" s="624"/>
      <c r="H18" s="80">
        <f t="shared" si="2"/>
        <v>51.1389</v>
      </c>
      <c r="I18" s="101">
        <f t="shared" si="3"/>
        <v>274457.67</v>
      </c>
      <c r="N18" s="564" t="s">
        <v>24</v>
      </c>
      <c r="O18" s="564"/>
      <c r="P18" s="603">
        <f t="shared" si="0"/>
        <v>0</v>
      </c>
      <c r="Q18" s="603"/>
      <c r="R18" s="608">
        <v>1</v>
      </c>
      <c r="S18" s="608"/>
      <c r="T18" s="95">
        <f t="shared" si="4"/>
        <v>0</v>
      </c>
      <c r="U18" s="474">
        <f t="shared" si="5"/>
        <v>0</v>
      </c>
    </row>
    <row r="19" spans="1:21" x14ac:dyDescent="0.25">
      <c r="A19" s="539" t="s">
        <v>25</v>
      </c>
      <c r="B19" s="539"/>
      <c r="C19" s="143">
        <v>3.5</v>
      </c>
      <c r="D19" s="143">
        <v>0</v>
      </c>
      <c r="E19" s="116">
        <f t="shared" si="1"/>
        <v>7</v>
      </c>
      <c r="F19" s="624">
        <f>'1461'!F19:G19</f>
        <v>0.98799999999999999</v>
      </c>
      <c r="G19" s="624"/>
      <c r="H19" s="80">
        <f t="shared" si="2"/>
        <v>6.9160000000000004</v>
      </c>
      <c r="I19" s="101">
        <f t="shared" si="3"/>
        <v>37117.519999999997</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3.17</v>
      </c>
      <c r="D28" s="143">
        <v>0</v>
      </c>
      <c r="E28" s="116">
        <f t="shared" si="1"/>
        <v>6.34</v>
      </c>
      <c r="F28" s="624">
        <f>'1461'!F28:G28</f>
        <v>1.208</v>
      </c>
      <c r="G28" s="624"/>
      <c r="H28" s="80">
        <f t="shared" si="2"/>
        <v>7.6586999999999996</v>
      </c>
      <c r="I28" s="101">
        <f t="shared" si="3"/>
        <v>41103.519999999997</v>
      </c>
      <c r="N28" s="564" t="s">
        <v>87</v>
      </c>
      <c r="O28" s="564"/>
      <c r="P28" s="603">
        <f t="shared" si="0"/>
        <v>0</v>
      </c>
      <c r="Q28" s="603"/>
      <c r="R28" s="608">
        <v>1</v>
      </c>
      <c r="S28" s="608"/>
      <c r="T28" s="95">
        <f t="shared" si="4"/>
        <v>0</v>
      </c>
      <c r="U28" s="474">
        <f t="shared" si="5"/>
        <v>0</v>
      </c>
    </row>
    <row r="29" spans="1:21" x14ac:dyDescent="0.25">
      <c r="A29" s="539" t="s">
        <v>88</v>
      </c>
      <c r="B29" s="539"/>
      <c r="C29" s="110">
        <v>1.78</v>
      </c>
      <c r="D29" s="110">
        <v>0</v>
      </c>
      <c r="E29" s="154">
        <f t="shared" si="1"/>
        <v>3.56</v>
      </c>
      <c r="F29" s="624">
        <f>'1461'!F29:G29</f>
        <v>1.0720000000000001</v>
      </c>
      <c r="G29" s="624"/>
      <c r="H29" s="93">
        <f t="shared" si="2"/>
        <v>3.8163</v>
      </c>
      <c r="I29" s="94">
        <f t="shared" si="3"/>
        <v>20481.72</v>
      </c>
      <c r="N29" s="569" t="s">
        <v>88</v>
      </c>
      <c r="O29" s="569"/>
      <c r="P29" s="603">
        <f t="shared" si="0"/>
        <v>0</v>
      </c>
      <c r="Q29" s="603"/>
      <c r="R29" s="604">
        <v>1</v>
      </c>
      <c r="S29" s="604"/>
      <c r="T29" s="95">
        <f t="shared" si="4"/>
        <v>0</v>
      </c>
      <c r="U29" s="474">
        <f t="shared" si="5"/>
        <v>0</v>
      </c>
    </row>
    <row r="30" spans="1:21" x14ac:dyDescent="0.25">
      <c r="A30" s="551" t="s">
        <v>5</v>
      </c>
      <c r="B30" s="551"/>
      <c r="C30" s="94">
        <f>SUM(C14:C29)</f>
        <v>34.33</v>
      </c>
      <c r="D30" s="94">
        <f>SUM(D14:D29)</f>
        <v>0</v>
      </c>
      <c r="E30" s="94">
        <f>SUM(E14:E29)</f>
        <v>68.66</v>
      </c>
      <c r="F30" s="543"/>
      <c r="G30" s="543"/>
      <c r="H30" s="99">
        <f>SUM(H14:H29)</f>
        <v>69.529899999999998</v>
      </c>
      <c r="I30" s="94">
        <f>SUM(I14:I29)</f>
        <v>373160.43000000005</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69.529899999999998</v>
      </c>
      <c r="F46" s="34"/>
      <c r="G46" s="106"/>
      <c r="H46" s="107" t="s">
        <v>98</v>
      </c>
      <c r="I46" s="94">
        <f>SUM(I44,I30)</f>
        <v>373160.43000000005</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373160.43000000005</v>
      </c>
      <c r="G51" s="109" t="s">
        <v>6</v>
      </c>
      <c r="H51" s="402">
        <v>4.5199999999999997E-2</v>
      </c>
      <c r="I51" s="101">
        <f>ROUND(F51*H51,2)</f>
        <v>16866.849999999999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373160.43000000005</v>
      </c>
      <c r="G52" s="109" t="s">
        <v>6</v>
      </c>
      <c r="H52" s="402">
        <v>1.41E-2</v>
      </c>
      <c r="I52" s="101">
        <f>ROUND(F52*H52,2)</f>
        <v>5261.56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22128.41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IF(D$66=0,C57*2,C57+D57)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3</v>
      </c>
      <c r="D63" s="143">
        <v>0</v>
      </c>
      <c r="E63" s="116">
        <f t="shared" si="10"/>
        <v>6</v>
      </c>
      <c r="F63" s="445" t="s">
        <v>14</v>
      </c>
      <c r="G63" s="444">
        <v>251</v>
      </c>
      <c r="H63" s="458">
        <f>'1461'!H63</f>
        <v>835</v>
      </c>
      <c r="I63" s="101">
        <f t="shared" si="11"/>
        <v>5010</v>
      </c>
      <c r="N63" s="573"/>
      <c r="O63" s="573"/>
      <c r="P63" s="576"/>
      <c r="Q63" s="576"/>
      <c r="R63" s="40" t="s">
        <v>14</v>
      </c>
      <c r="S63" s="450">
        <v>251</v>
      </c>
      <c r="T63" s="461">
        <f t="shared" si="12"/>
        <v>835</v>
      </c>
      <c r="U63" s="475">
        <f t="shared" si="13"/>
        <v>0</v>
      </c>
      <c r="V63" s="425"/>
    </row>
    <row r="64" spans="1:22" x14ac:dyDescent="0.25">
      <c r="A64" s="550"/>
      <c r="B64" s="550"/>
      <c r="C64" s="143">
        <v>0.5</v>
      </c>
      <c r="D64" s="143">
        <v>0</v>
      </c>
      <c r="E64" s="116">
        <f t="shared" si="10"/>
        <v>1</v>
      </c>
      <c r="F64" s="445" t="s">
        <v>14</v>
      </c>
      <c r="G64" s="444">
        <v>252</v>
      </c>
      <c r="H64" s="458">
        <f>'1461'!H64</f>
        <v>3168</v>
      </c>
      <c r="I64" s="101">
        <f t="shared" si="11"/>
        <v>3168</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3.5</v>
      </c>
      <c r="D66" s="97">
        <f>SUM(D57:D65)</f>
        <v>0</v>
      </c>
      <c r="E66" s="97">
        <f>SUM(E57:E65)</f>
        <v>7</v>
      </c>
      <c r="F66" s="551" t="s">
        <v>444</v>
      </c>
      <c r="G66" s="551"/>
      <c r="H66" s="551"/>
      <c r="I66" s="97">
        <f>SUM(I57:I65)</f>
        <v>8178</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68.66</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3.3799999999999998E-4</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69.529899999999998</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3.0600000000000001E-4</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68.66</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3.6699999999999998E-4</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68.66</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3.3799999999999998E-4</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68.66</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3.68E-4</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3.3799999999999998E-4</v>
      </c>
      <c r="I85" s="101">
        <f>ROUND(F85*H85,2)</f>
        <v>15096.95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3.3799999999999998E-4</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3.68E-4</v>
      </c>
      <c r="I90" s="101">
        <f>ROUND(F90*H90,2)</f>
        <v>5949.48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3.6699999999999998E-4</v>
      </c>
      <c r="I92" s="101">
        <f t="shared" ref="I92:I96" si="14">ROUND(F92*H92,2)</f>
        <v>3684.72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3.0600000000000001E-4</v>
      </c>
      <c r="I94" s="101">
        <f t="shared" si="14"/>
        <v>73133.289999999994</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3.0600000000000001E-4</v>
      </c>
      <c r="I96" s="101">
        <f t="shared" si="14"/>
        <v>-489.61</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69.529899999999998</v>
      </c>
      <c r="D103" s="557"/>
      <c r="E103" s="46">
        <f>H8</f>
        <v>1.0442</v>
      </c>
      <c r="F103" s="304">
        <f>'1461'!F103</f>
        <v>906.93</v>
      </c>
      <c r="G103" s="39" t="s">
        <v>12</v>
      </c>
      <c r="H103" s="94">
        <f>ROUND(C103*E103*F103,2)</f>
        <v>65845.95</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69.529899999999998</v>
      </c>
      <c r="D104" s="547"/>
      <c r="E104" s="123"/>
      <c r="F104" s="123"/>
      <c r="G104" s="123"/>
      <c r="H104" s="124" t="s">
        <v>100</v>
      </c>
      <c r="I104" s="101">
        <f>IF(A1=75,0,H103+H102+H101)</f>
        <v>65845.95</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7"/>
      <c r="D109" s="325"/>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(C110+D110)/2</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544559.21</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522430.8</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522430.8</v>
      </c>
      <c r="I132" s="94">
        <f>ROUND(IF(E30=0,0,IF(E30&gt;250,-(((250/E30)*H132)*IF(G132="H",0.02,0.05)),IF(G132="H",-0.02*H132,-0.05*H132))),2)</f>
        <v>-26121.54</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518437.67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-49713.85-24354.32-24354.32-24354.32-24354.32-66139.27</f>
        <v>-213270.40000000002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305167.26999999996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61033.45</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Feb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18"/>
  <sheetViews>
    <sheetView topLeftCell="A66" workbookViewId="0">
      <selection activeCell="F110" sqref="F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111</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30.18</v>
      </c>
      <c r="D19" s="143">
        <v>0</v>
      </c>
      <c r="E19" s="116">
        <f t="shared" si="1"/>
        <v>60.36</v>
      </c>
      <c r="F19" s="624">
        <f>'1461'!F19:G19</f>
        <v>0.98799999999999999</v>
      </c>
      <c r="G19" s="624"/>
      <c r="H19" s="80">
        <f t="shared" si="2"/>
        <v>59.6357</v>
      </c>
      <c r="I19" s="101">
        <f t="shared" si="3"/>
        <v>320059.2</v>
      </c>
      <c r="J19" s="65" t="str">
        <f>IF(ROUND(E19,2)=ROUND(SUM(E63:E65),2)," ","CHECK 4-8 LINES BELOW")</f>
        <v xml:space="preserve"> </v>
      </c>
      <c r="N19" s="564" t="s">
        <v>25</v>
      </c>
      <c r="O19" s="564"/>
      <c r="P19" s="603">
        <f t="shared" si="0"/>
        <v>60.36</v>
      </c>
      <c r="Q19" s="603"/>
      <c r="R19" s="608">
        <v>1</v>
      </c>
      <c r="S19" s="608"/>
      <c r="T19" s="95">
        <f t="shared" si="4"/>
        <v>60.36</v>
      </c>
      <c r="U19" s="473">
        <f t="shared" si="5"/>
        <v>323946.45</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5.21</v>
      </c>
      <c r="D22" s="143">
        <v>0</v>
      </c>
      <c r="E22" s="116">
        <f t="shared" si="1"/>
        <v>10.42</v>
      </c>
      <c r="F22" s="624">
        <f>'1461'!F22:G22</f>
        <v>3.706</v>
      </c>
      <c r="G22" s="624"/>
      <c r="H22" s="80">
        <f t="shared" si="2"/>
        <v>38.616500000000002</v>
      </c>
      <c r="I22" s="101">
        <f t="shared" si="3"/>
        <v>207251.13</v>
      </c>
      <c r="N22" s="564" t="s">
        <v>81</v>
      </c>
      <c r="O22" s="564"/>
      <c r="P22" s="603">
        <f t="shared" si="0"/>
        <v>10.42</v>
      </c>
      <c r="Q22" s="603"/>
      <c r="R22" s="608">
        <v>1</v>
      </c>
      <c r="S22" s="608"/>
      <c r="T22" s="95">
        <f t="shared" si="4"/>
        <v>10.42</v>
      </c>
      <c r="U22" s="474">
        <f t="shared" si="5"/>
        <v>55923.16</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35.39</v>
      </c>
      <c r="D30" s="94">
        <f>SUM(D14:D29)</f>
        <v>0</v>
      </c>
      <c r="E30" s="94">
        <f>SUM(E14:E29)</f>
        <v>70.78</v>
      </c>
      <c r="F30" s="543"/>
      <c r="G30" s="543"/>
      <c r="H30" s="99">
        <f>SUM(H14:H29)</f>
        <v>98.252200000000002</v>
      </c>
      <c r="I30" s="94">
        <f>SUM(I14:I29)</f>
        <v>527310.33000000007</v>
      </c>
      <c r="N30" s="605" t="s">
        <v>5</v>
      </c>
      <c r="O30" s="605"/>
      <c r="P30" s="606">
        <f>SUM(P14:P29)</f>
        <v>70.78</v>
      </c>
      <c r="Q30" s="606"/>
      <c r="R30" s="571"/>
      <c r="S30" s="571"/>
      <c r="T30" s="100">
        <f>SUM(T14:T29)</f>
        <v>70.78</v>
      </c>
      <c r="U30" s="474">
        <f>SUM(U14:U29)</f>
        <v>379869.61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98.252200000000002</v>
      </c>
      <c r="F46" s="34"/>
      <c r="G46" s="106"/>
      <c r="H46" s="107" t="s">
        <v>98</v>
      </c>
      <c r="I46" s="94">
        <f>SUM(I44,I30)</f>
        <v>527310.33000000007</v>
      </c>
      <c r="N46" s="562" t="s">
        <v>44</v>
      </c>
      <c r="O46" s="562"/>
      <c r="P46" s="562"/>
      <c r="Q46" s="562"/>
      <c r="R46" s="35">
        <f>R44+T30</f>
        <v>70.78</v>
      </c>
      <c r="S46" s="571" t="s">
        <v>42</v>
      </c>
      <c r="T46" s="571"/>
      <c r="U46" s="108">
        <f>SUM(U44,U30)</f>
        <v>379869.61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527310.33000000007</v>
      </c>
      <c r="G51" s="109" t="s">
        <v>6</v>
      </c>
      <c r="H51" s="402">
        <v>4.5199999999999997E-2</v>
      </c>
      <c r="I51" s="101">
        <f>ROUND(F51*H51,2)</f>
        <v>23834.43</v>
      </c>
      <c r="N51" s="407"/>
      <c r="O51" s="408" t="s">
        <v>395</v>
      </c>
      <c r="P51" s="28"/>
      <c r="Q51" s="44" t="s">
        <v>396</v>
      </c>
      <c r="R51" s="409">
        <f>U30</f>
        <v>379869.61</v>
      </c>
      <c r="S51" s="410" t="s">
        <v>6</v>
      </c>
      <c r="T51" s="411">
        <v>4.5199999999999997E-2</v>
      </c>
      <c r="U51" s="403">
        <f>ROUND(R51*T51,2)</f>
        <v>17170.11</v>
      </c>
    </row>
    <row r="52" spans="1:22" x14ac:dyDescent="0.25">
      <c r="A52" s="26"/>
      <c r="B52" s="81" t="s">
        <v>397</v>
      </c>
      <c r="C52" s="26"/>
      <c r="D52" s="26"/>
      <c r="E52" s="43" t="s">
        <v>396</v>
      </c>
      <c r="F52" s="401">
        <f>I46</f>
        <v>527310.33000000007</v>
      </c>
      <c r="G52" s="109" t="s">
        <v>6</v>
      </c>
      <c r="H52" s="402">
        <v>1.41E-2</v>
      </c>
      <c r="I52" s="101">
        <f>ROUND(F52*H52,2)</f>
        <v>7435.08</v>
      </c>
      <c r="N52" s="28"/>
      <c r="O52" s="384" t="s">
        <v>397</v>
      </c>
      <c r="P52" s="28"/>
      <c r="Q52" s="44" t="s">
        <v>396</v>
      </c>
      <c r="R52" s="409">
        <f>U30</f>
        <v>379869.61</v>
      </c>
      <c r="S52" s="410" t="s">
        <v>6</v>
      </c>
      <c r="T52" s="411">
        <v>1.41E-2</v>
      </c>
      <c r="U52" s="412">
        <f>ROUND(R52*T52,2)</f>
        <v>5356.16</v>
      </c>
    </row>
    <row r="53" spans="1:22" x14ac:dyDescent="0.25">
      <c r="A53" s="26"/>
      <c r="B53" s="81" t="s">
        <v>398</v>
      </c>
      <c r="C53" s="26"/>
      <c r="D53" s="26"/>
      <c r="E53" s="43"/>
      <c r="F53" s="401"/>
      <c r="G53" s="109"/>
      <c r="H53" s="402"/>
      <c r="I53" s="97">
        <f>SUM(I51:I52)</f>
        <v>31269.510000000002</v>
      </c>
      <c r="N53" s="28"/>
      <c r="O53" s="384" t="s">
        <v>398</v>
      </c>
      <c r="P53" s="28"/>
      <c r="Q53" s="44"/>
      <c r="R53" s="409"/>
      <c r="S53" s="410"/>
      <c r="T53" s="411"/>
      <c r="U53" s="403">
        <f>SUM(U51:U52)</f>
        <v>22526.27</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2" si="10">IF(D$72=0,C57*2,C57+D57)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0.7</v>
      </c>
      <c r="D63" s="143">
        <v>0</v>
      </c>
      <c r="E63" s="116">
        <f>IF(D$66=0,C63*2,C63+D63)</f>
        <v>1.4</v>
      </c>
      <c r="F63" s="445" t="s">
        <v>14</v>
      </c>
      <c r="G63" s="444">
        <v>251</v>
      </c>
      <c r="H63" s="458">
        <f>'1461'!H63</f>
        <v>835</v>
      </c>
      <c r="I63" s="101">
        <f t="shared" si="11"/>
        <v>1169</v>
      </c>
      <c r="N63" s="573"/>
      <c r="O63" s="573"/>
      <c r="P63" s="576"/>
      <c r="Q63" s="576"/>
      <c r="R63" s="40" t="s">
        <v>14</v>
      </c>
      <c r="S63" s="450">
        <v>251</v>
      </c>
      <c r="T63" s="461">
        <f t="shared" si="12"/>
        <v>835</v>
      </c>
      <c r="U63" s="475">
        <f t="shared" si="13"/>
        <v>0</v>
      </c>
      <c r="V63" s="425"/>
    </row>
    <row r="64" spans="1:22" x14ac:dyDescent="0.25">
      <c r="A64" s="550"/>
      <c r="B64" s="550"/>
      <c r="C64" s="143">
        <v>0.5</v>
      </c>
      <c r="D64" s="143">
        <v>0</v>
      </c>
      <c r="E64" s="116">
        <f>IF(D$66=0,C64*2,C64+D64)</f>
        <v>1</v>
      </c>
      <c r="F64" s="445" t="s">
        <v>14</v>
      </c>
      <c r="G64" s="444">
        <v>252</v>
      </c>
      <c r="H64" s="458">
        <f>'1461'!H64</f>
        <v>3168</v>
      </c>
      <c r="I64" s="101">
        <f t="shared" si="11"/>
        <v>3168</v>
      </c>
      <c r="N64" s="573"/>
      <c r="O64" s="573"/>
      <c r="P64" s="576"/>
      <c r="Q64" s="576"/>
      <c r="R64" s="40" t="s">
        <v>14</v>
      </c>
      <c r="S64" s="450">
        <v>252</v>
      </c>
      <c r="T64" s="461">
        <f t="shared" si="12"/>
        <v>3168</v>
      </c>
      <c r="U64" s="475">
        <f t="shared" si="13"/>
        <v>0</v>
      </c>
      <c r="V64" s="425"/>
    </row>
    <row r="65" spans="1:22" ht="16.5" thickBot="1" x14ac:dyDescent="0.3">
      <c r="A65" s="550"/>
      <c r="B65" s="550"/>
      <c r="C65" s="143">
        <v>28.98</v>
      </c>
      <c r="D65" s="143">
        <v>0</v>
      </c>
      <c r="E65" s="116">
        <f>IF(D$66=0,C65*2,C65+D65)</f>
        <v>57.96</v>
      </c>
      <c r="F65" s="445" t="s">
        <v>14</v>
      </c>
      <c r="G65" s="444">
        <v>253</v>
      </c>
      <c r="H65" s="458">
        <f>'1461'!H65</f>
        <v>6685</v>
      </c>
      <c r="I65" s="101">
        <f t="shared" si="11"/>
        <v>387462.6</v>
      </c>
      <c r="N65" s="573"/>
      <c r="O65" s="573"/>
      <c r="P65" s="577"/>
      <c r="Q65" s="577"/>
      <c r="R65" s="40" t="s">
        <v>14</v>
      </c>
      <c r="S65" s="450">
        <v>253</v>
      </c>
      <c r="T65" s="461">
        <f t="shared" si="12"/>
        <v>6685</v>
      </c>
      <c r="U65" s="476">
        <f t="shared" si="13"/>
        <v>0</v>
      </c>
      <c r="V65" s="425"/>
    </row>
    <row r="66" spans="1:22" ht="16.5" thickBot="1" x14ac:dyDescent="0.3">
      <c r="A66" s="441"/>
      <c r="C66" s="97">
        <f>SUM(C57:C65)</f>
        <v>30.18</v>
      </c>
      <c r="D66" s="97">
        <f>SUM(D57:D65)</f>
        <v>0</v>
      </c>
      <c r="E66" s="97">
        <f>SUM(E57:E65)</f>
        <v>60.36</v>
      </c>
      <c r="F66" s="551" t="s">
        <v>444</v>
      </c>
      <c r="G66" s="551"/>
      <c r="H66" s="551"/>
      <c r="I66" s="97">
        <f>SUM(I57:I65)</f>
        <v>391799.6</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70.78</v>
      </c>
      <c r="D69" s="526" t="s">
        <v>410</v>
      </c>
      <c r="E69" s="526"/>
      <c r="F69" s="526"/>
      <c r="G69" s="526"/>
      <c r="H69" s="301">
        <f>'1461'!H69</f>
        <v>203305.63</v>
      </c>
      <c r="I69" s="113"/>
      <c r="N69" s="566" t="s">
        <v>403</v>
      </c>
      <c r="O69" s="564"/>
      <c r="P69" s="41">
        <f>P30</f>
        <v>70.78</v>
      </c>
      <c r="Q69" s="567" t="s">
        <v>405</v>
      </c>
      <c r="R69" s="568"/>
      <c r="S69" s="568"/>
      <c r="T69" s="563">
        <f>H69</f>
        <v>203305.63</v>
      </c>
      <c r="U69" s="563"/>
    </row>
    <row r="70" spans="1:22" x14ac:dyDescent="0.25">
      <c r="B70" s="69"/>
      <c r="G70" s="42" t="s">
        <v>12</v>
      </c>
      <c r="H70" s="114">
        <f>ROUND(C69/H69,6)</f>
        <v>3.48E-4</v>
      </c>
      <c r="I70" s="115"/>
      <c r="N70" s="564"/>
      <c r="O70" s="564"/>
      <c r="P70" s="564"/>
      <c r="Q70" s="564"/>
      <c r="R70" s="564"/>
      <c r="S70" s="564"/>
      <c r="T70" s="565">
        <f>ROUND(P69/T69,6)</f>
        <v>3.48E-4</v>
      </c>
      <c r="U70" s="565"/>
    </row>
    <row r="71" spans="1:22" x14ac:dyDescent="0.25">
      <c r="A71" s="443" t="s">
        <v>447</v>
      </c>
      <c r="N71" s="454" t="s">
        <v>455</v>
      </c>
      <c r="O71" s="51"/>
      <c r="P71" s="51"/>
      <c r="Q71" s="51"/>
      <c r="R71" s="51"/>
      <c r="S71" s="51"/>
      <c r="T71" s="51"/>
      <c r="U71" s="51"/>
    </row>
    <row r="72" spans="1:22" x14ac:dyDescent="0.25">
      <c r="A72" s="545" t="s">
        <v>400</v>
      </c>
      <c r="B72" s="539"/>
      <c r="C72" s="112">
        <f>H30</f>
        <v>98.252200000000002</v>
      </c>
      <c r="D72" s="526" t="s">
        <v>411</v>
      </c>
      <c r="E72" s="526"/>
      <c r="F72" s="526"/>
      <c r="G72" s="526"/>
      <c r="H72" s="302">
        <f>'1461'!H72</f>
        <v>227540.36</v>
      </c>
      <c r="I72" s="116"/>
      <c r="N72" s="566" t="s">
        <v>404</v>
      </c>
      <c r="O72" s="564"/>
      <c r="P72" s="41">
        <f>T30</f>
        <v>70.78</v>
      </c>
      <c r="Q72" s="567" t="s">
        <v>406</v>
      </c>
      <c r="R72" s="568"/>
      <c r="S72" s="568"/>
      <c r="T72" s="563">
        <f>H72</f>
        <v>227540.36</v>
      </c>
      <c r="U72" s="563"/>
    </row>
    <row r="73" spans="1:22" x14ac:dyDescent="0.25">
      <c r="G73" s="42" t="s">
        <v>12</v>
      </c>
      <c r="H73" s="114">
        <f>ROUND(C72/H72,6)</f>
        <v>4.3199999999999998E-4</v>
      </c>
      <c r="I73" s="114"/>
      <c r="N73" s="564"/>
      <c r="O73" s="564"/>
      <c r="P73" s="564"/>
      <c r="Q73" s="564"/>
      <c r="R73" s="564"/>
      <c r="S73" s="564"/>
      <c r="T73" s="565">
        <f>ROUND(P72/T72,6)</f>
        <v>3.1100000000000002E-4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70.78</v>
      </c>
      <c r="D75" s="518" t="s">
        <v>412</v>
      </c>
      <c r="E75" s="518"/>
      <c r="F75" s="518"/>
      <c r="G75" s="518"/>
      <c r="H75" s="301">
        <f>'1461'!H75</f>
        <v>186907.73</v>
      </c>
      <c r="I75" s="113"/>
      <c r="N75" s="566" t="s">
        <v>402</v>
      </c>
      <c r="O75" s="564"/>
      <c r="P75" s="41">
        <f>P30</f>
        <v>70.78</v>
      </c>
      <c r="Q75" s="597" t="s">
        <v>407</v>
      </c>
      <c r="R75" s="598"/>
      <c r="S75" s="598"/>
      <c r="T75" s="563">
        <f>H75</f>
        <v>186907.73</v>
      </c>
      <c r="U75" s="563"/>
    </row>
    <row r="76" spans="1:22" x14ac:dyDescent="0.25">
      <c r="B76" s="69"/>
      <c r="G76" s="42" t="s">
        <v>12</v>
      </c>
      <c r="H76" s="114">
        <f>ROUND(C75/H75,6)</f>
        <v>3.79E-4</v>
      </c>
      <c r="I76" s="115"/>
      <c r="N76" s="564"/>
      <c r="O76" s="564"/>
      <c r="P76" s="564"/>
      <c r="Q76" s="564"/>
      <c r="R76" s="564"/>
      <c r="S76" s="564"/>
      <c r="T76" s="565">
        <f>ROUND(P75/T75,6)</f>
        <v>3.79E-4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70.78</v>
      </c>
      <c r="D78" s="546" t="s">
        <v>413</v>
      </c>
      <c r="E78" s="546"/>
      <c r="F78" s="546"/>
      <c r="G78" s="546"/>
      <c r="H78" s="301">
        <f>'1461'!H78</f>
        <v>203080.55</v>
      </c>
      <c r="I78" s="113"/>
      <c r="N78" s="566" t="s">
        <v>402</v>
      </c>
      <c r="O78" s="564"/>
      <c r="P78" s="41">
        <f>P30</f>
        <v>70.78</v>
      </c>
      <c r="Q78" s="595" t="s">
        <v>408</v>
      </c>
      <c r="R78" s="596"/>
      <c r="S78" s="596"/>
      <c r="T78" s="563">
        <f>H78</f>
        <v>203080.55</v>
      </c>
      <c r="U78" s="563"/>
    </row>
    <row r="79" spans="1:22" x14ac:dyDescent="0.25">
      <c r="B79" s="69"/>
      <c r="G79" s="42" t="s">
        <v>12</v>
      </c>
      <c r="H79" s="114">
        <f>ROUND(C78/H78,6)</f>
        <v>3.4900000000000003E-4</v>
      </c>
      <c r="I79" s="115"/>
      <c r="N79" s="564"/>
      <c r="O79" s="564"/>
      <c r="P79" s="564"/>
      <c r="Q79" s="564"/>
      <c r="R79" s="564"/>
      <c r="S79" s="564"/>
      <c r="T79" s="565">
        <f>ROUND(P78/T78,6)</f>
        <v>3.4900000000000003E-4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70.78</v>
      </c>
      <c r="D81" s="518" t="s">
        <v>414</v>
      </c>
      <c r="E81" s="518"/>
      <c r="F81" s="518"/>
      <c r="G81" s="518"/>
      <c r="H81" s="301">
        <f>'1461'!H81</f>
        <v>186682.65</v>
      </c>
      <c r="I81" s="113"/>
      <c r="N81" s="566" t="s">
        <v>415</v>
      </c>
      <c r="O81" s="564"/>
      <c r="P81" s="41">
        <f>P30</f>
        <v>70.78</v>
      </c>
      <c r="Q81" s="597" t="s">
        <v>416</v>
      </c>
      <c r="R81" s="598"/>
      <c r="S81" s="598"/>
      <c r="T81" s="563">
        <f>H81</f>
        <v>186682.65</v>
      </c>
      <c r="U81" s="563"/>
    </row>
    <row r="82" spans="1:21" x14ac:dyDescent="0.25">
      <c r="B82" s="69"/>
      <c r="G82" s="42" t="s">
        <v>12</v>
      </c>
      <c r="H82" s="114">
        <f>ROUND(C81/H81,6)</f>
        <v>3.79E-4</v>
      </c>
      <c r="I82" s="115"/>
      <c r="N82" s="564"/>
      <c r="O82" s="564"/>
      <c r="P82" s="564"/>
      <c r="Q82" s="564"/>
      <c r="R82" s="564"/>
      <c r="S82" s="564"/>
      <c r="T82" s="565">
        <f>ROUND(P81/T81,6)</f>
        <v>3.79E-4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3.4900000000000003E-4</v>
      </c>
      <c r="I85" s="101">
        <f>ROUND(F85*H85,2)</f>
        <v>15588.27</v>
      </c>
      <c r="N85" s="454" t="s">
        <v>451</v>
      </c>
      <c r="O85" s="51"/>
      <c r="P85" s="51"/>
      <c r="Q85" s="44"/>
      <c r="R85" s="420">
        <f>F85</f>
        <v>44665536</v>
      </c>
      <c r="S85" s="38" t="s">
        <v>6</v>
      </c>
      <c r="T85" s="422">
        <f>T79</f>
        <v>3.4900000000000003E-4</v>
      </c>
      <c r="U85" s="474">
        <f>ROUND(R85*T85,2)</f>
        <v>15588.27</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3.48E-4</v>
      </c>
      <c r="I88" s="101">
        <f>ROUND(F88*H88,2)</f>
        <v>0</v>
      </c>
      <c r="N88" s="599" t="s">
        <v>99</v>
      </c>
      <c r="O88" s="564"/>
      <c r="P88" s="564"/>
      <c r="Q88" s="44"/>
      <c r="R88" s="420">
        <f>F88</f>
        <v>0</v>
      </c>
      <c r="S88" s="38" t="s">
        <v>6</v>
      </c>
      <c r="T88" s="422">
        <f>T70</f>
        <v>3.48E-4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3.79E-4</v>
      </c>
      <c r="I90" s="101">
        <f>ROUND(F90*H90,2)</f>
        <v>6127.31</v>
      </c>
      <c r="N90" s="454" t="s">
        <v>452</v>
      </c>
      <c r="O90" s="51"/>
      <c r="P90" s="51"/>
      <c r="Q90" s="44"/>
      <c r="R90" s="420">
        <f>F90</f>
        <v>16167052</v>
      </c>
      <c r="S90" s="38" t="s">
        <v>6</v>
      </c>
      <c r="T90" s="422">
        <f>T82</f>
        <v>3.79E-4</v>
      </c>
      <c r="U90" s="474">
        <f>ROUND(R90*T90,2)</f>
        <v>6127.31</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3.79E-4</v>
      </c>
      <c r="I92" s="101">
        <f t="shared" ref="I92:I96" si="14">ROUND(F92*H92,2)</f>
        <v>3805.2</v>
      </c>
      <c r="N92" s="454" t="s">
        <v>453</v>
      </c>
      <c r="O92" s="51"/>
      <c r="P92" s="51"/>
      <c r="Q92" s="44"/>
      <c r="R92" s="420">
        <f t="shared" ref="R92:R96" si="15">F92</f>
        <v>10040099</v>
      </c>
      <c r="S92" s="38" t="s">
        <v>6</v>
      </c>
      <c r="T92" s="422">
        <f>T76</f>
        <v>3.79E-4</v>
      </c>
      <c r="U92" s="474">
        <f>ROUND(R92*T92,2)</f>
        <v>3805.2</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4.3199999999999998E-4</v>
      </c>
      <c r="I94" s="101">
        <f t="shared" si="14"/>
        <v>103247</v>
      </c>
      <c r="N94" s="564" t="s">
        <v>418</v>
      </c>
      <c r="O94" s="564"/>
      <c r="P94" s="564"/>
      <c r="Q94" s="44"/>
      <c r="R94" s="420">
        <f t="shared" si="15"/>
        <v>238997674</v>
      </c>
      <c r="S94" s="38" t="s">
        <v>6</v>
      </c>
      <c r="T94" s="422">
        <f>T73</f>
        <v>3.1100000000000002E-4</v>
      </c>
      <c r="U94" s="474">
        <f>ROUND(R94*T94,2)</f>
        <v>74328.28</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4.3199999999999998E-4</v>
      </c>
      <c r="I96" s="101">
        <f t="shared" si="14"/>
        <v>-691.22</v>
      </c>
      <c r="N96" s="566" t="s">
        <v>419</v>
      </c>
      <c r="O96" s="564"/>
      <c r="P96" s="564"/>
      <c r="Q96" s="44"/>
      <c r="R96" s="420">
        <f t="shared" si="15"/>
        <v>-1600047</v>
      </c>
      <c r="S96" s="38" t="s">
        <v>6</v>
      </c>
      <c r="T96" s="422">
        <f>T73</f>
        <v>3.1100000000000002E-4</v>
      </c>
      <c r="U96" s="474">
        <f>ROUND(R96*T96,2)</f>
        <v>-497.61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0</v>
      </c>
      <c r="D101" s="557"/>
      <c r="E101" s="46">
        <f>H8</f>
        <v>1.0442</v>
      </c>
      <c r="F101" s="304">
        <f>'1461'!F101</f>
        <v>947.59</v>
      </c>
      <c r="G101" s="39" t="s">
        <v>12</v>
      </c>
      <c r="H101" s="101">
        <f>ROUND(C101*E101*F101,2)</f>
        <v>0</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0</v>
      </c>
      <c r="D102" s="557"/>
      <c r="E102" s="46">
        <f>H8</f>
        <v>1.0442</v>
      </c>
      <c r="F102" s="304">
        <f>'1461'!F102</f>
        <v>904.74</v>
      </c>
      <c r="G102" s="39" t="s">
        <v>12</v>
      </c>
      <c r="H102" s="101">
        <f>ROUND(C102*E102*F102,2)</f>
        <v>0</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98.252200000000002</v>
      </c>
      <c r="D103" s="557"/>
      <c r="E103" s="46">
        <f>H8</f>
        <v>1.0442</v>
      </c>
      <c r="F103" s="304">
        <f>'1461'!F103</f>
        <v>906.93</v>
      </c>
      <c r="G103" s="39" t="s">
        <v>12</v>
      </c>
      <c r="H103" s="94">
        <f>ROUND(C103*E103*F103,2)</f>
        <v>93046.44</v>
      </c>
      <c r="N103" s="53" t="s">
        <v>14</v>
      </c>
      <c r="O103" s="54">
        <f>T18+T19+T22+T25+T28+T29</f>
        <v>70.78</v>
      </c>
      <c r="P103" s="587">
        <f>T8</f>
        <v>1.0442</v>
      </c>
      <c r="Q103" s="587"/>
      <c r="R103" s="48">
        <f>F103</f>
        <v>906.93</v>
      </c>
      <c r="S103" s="40" t="s">
        <v>12</v>
      </c>
      <c r="T103" s="480">
        <f>ROUND(O103*P103*R103,2)</f>
        <v>67029.81</v>
      </c>
      <c r="U103" s="51"/>
    </row>
    <row r="104" spans="1:21" ht="16.5" thickBot="1" x14ac:dyDescent="0.3">
      <c r="A104" s="55"/>
      <c r="B104" s="122" t="s">
        <v>102</v>
      </c>
      <c r="C104" s="547">
        <f>SUM(C101:C103)</f>
        <v>98.252200000000002</v>
      </c>
      <c r="D104" s="547"/>
      <c r="E104" s="123"/>
      <c r="F104" s="123"/>
      <c r="G104" s="123"/>
      <c r="H104" s="124" t="s">
        <v>100</v>
      </c>
      <c r="I104" s="101">
        <f>IF(A1=75,0,H103+H102+H101)</f>
        <v>93046.44</v>
      </c>
      <c r="N104" s="56" t="s">
        <v>89</v>
      </c>
      <c r="O104" s="57">
        <f>SUM(O101:O103)</f>
        <v>70.78</v>
      </c>
      <c r="P104" s="588" t="s">
        <v>16</v>
      </c>
      <c r="Q104" s="589"/>
      <c r="R104" s="589"/>
      <c r="S104" s="589"/>
      <c r="T104" s="589"/>
      <c r="U104" s="474">
        <f>IF(N1=75,0,T103+T102+T101)</f>
        <v>67029.81</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8"/>
      <c r="D107" s="8"/>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34</v>
      </c>
      <c r="D110" s="143">
        <v>0</v>
      </c>
      <c r="E110" s="116">
        <f>C110</f>
        <v>34</v>
      </c>
      <c r="F110" s="126" t="s">
        <v>30</v>
      </c>
      <c r="G110" s="305">
        <f>'1461'!G110</f>
        <v>565</v>
      </c>
      <c r="I110" s="101">
        <f>ROUND(G110*E110,2)</f>
        <v>19210</v>
      </c>
      <c r="N110" s="585" t="s">
        <v>52</v>
      </c>
      <c r="O110" s="585"/>
      <c r="P110" s="586">
        <f>IF(H130=1,E110,0)</f>
        <v>34</v>
      </c>
      <c r="Q110" s="586"/>
      <c r="R110" s="586"/>
      <c r="S110" s="83" t="s">
        <v>30</v>
      </c>
      <c r="T110" s="58">
        <f>G110</f>
        <v>565</v>
      </c>
      <c r="U110" s="474">
        <f>ROUND(T110*P110,2)</f>
        <v>19210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1159442.9300000002</v>
      </c>
      <c r="N125" s="454"/>
      <c r="O125" s="453"/>
      <c r="P125" s="453"/>
      <c r="Q125" s="307"/>
      <c r="R125" s="307"/>
      <c r="S125" s="307"/>
      <c r="T125" s="307"/>
      <c r="U125" s="481">
        <f>SUM(U30,U85,U88,U90,U92,U94,U96,U104,U110,U111,U121,U123)</f>
        <v>565460.87000000011</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1128173.4200000002</v>
      </c>
      <c r="N127" s="562" t="s">
        <v>33</v>
      </c>
      <c r="O127" s="562"/>
      <c r="P127" s="562"/>
      <c r="Q127" s="562"/>
      <c r="R127" s="562"/>
      <c r="S127" s="562"/>
      <c r="T127" s="562"/>
      <c r="U127" s="132">
        <f>U125-U53</f>
        <v>542934.60000000009</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542934.60000000009</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542934.60000000009</v>
      </c>
      <c r="I132" s="94">
        <f>ROUND(IF(E30=0,0,IF(E30&gt;250,-(((250/E30)*H132)*IF(G132="H",0.02,0.05)),IF(G132="H",-0.02*H132,-0.05*H132))),2)</f>
        <v>-27146.73</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1132296.2000000002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-202338.12-109048.72-109048.72-109048.73-109048.73-82925.52</f>
        <v>-721458.53999999992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410837.66000000027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82167.53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9"/>
      <c r="O152" s="579"/>
      <c r="P152" s="579"/>
      <c r="Q152" s="579"/>
      <c r="R152" s="579"/>
      <c r="S152" s="579"/>
      <c r="T152" s="579"/>
      <c r="U152" s="579"/>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18"/>
  <sheetViews>
    <sheetView topLeftCell="A54" workbookViewId="0">
      <selection activeCell="E110" sqref="E11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112</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1</v>
      </c>
      <c r="D15" s="143">
        <v>0</v>
      </c>
      <c r="E15" s="116">
        <f t="shared" ref="E15:E29" si="1">IF(D$30=0,C15*2,C15+D15)</f>
        <v>2</v>
      </c>
      <c r="F15" s="624">
        <f>'1461'!F15:G15</f>
        <v>1.1220000000000001</v>
      </c>
      <c r="G15" s="624"/>
      <c r="H15" s="80">
        <f t="shared" ref="H15:H29" si="2">ROUND(E15*F15,4)</f>
        <v>2.2440000000000002</v>
      </c>
      <c r="I15" s="101">
        <f t="shared" ref="I15:I29" si="3">ROUND(ROUND(ROUND(H15*$C$8,4)*($H$8),2)*(MAX($H$9,1)),2)</f>
        <v>12043.34</v>
      </c>
      <c r="J15" s="65" t="str">
        <f>IF(ROUND(E15,2)=ROUND(SUM(E57:E59),2)," ","CHECK PK-3 LINES BELOW")</f>
        <v xml:space="preserve"> </v>
      </c>
      <c r="N15" s="564" t="s">
        <v>21</v>
      </c>
      <c r="O15" s="564"/>
      <c r="P15" s="603">
        <f t="shared" si="0"/>
        <v>2</v>
      </c>
      <c r="Q15" s="603"/>
      <c r="R15" s="608">
        <v>1</v>
      </c>
      <c r="S15" s="608"/>
      <c r="T15" s="95">
        <f t="shared" ref="T15:T29" si="4">ROUND(P15*R15,4)</f>
        <v>2</v>
      </c>
      <c r="U15" s="474">
        <f t="shared" ref="U15:U29" si="5">ROUND(ROUND(ROUND(T15*$C$8,4)*($H$8),2)*(MAX($H$9,1)),2)</f>
        <v>10733.81</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1.5</v>
      </c>
      <c r="D20" s="143">
        <v>0</v>
      </c>
      <c r="E20" s="116">
        <f t="shared" si="1"/>
        <v>3</v>
      </c>
      <c r="F20" s="624">
        <f>'1461'!F20:G20</f>
        <v>3.706</v>
      </c>
      <c r="G20" s="624"/>
      <c r="H20" s="80">
        <f t="shared" si="2"/>
        <v>11.118</v>
      </c>
      <c r="I20" s="101">
        <f t="shared" si="3"/>
        <v>59669.26</v>
      </c>
      <c r="N20" s="564" t="s">
        <v>79</v>
      </c>
      <c r="O20" s="564"/>
      <c r="P20" s="603">
        <f t="shared" si="0"/>
        <v>3</v>
      </c>
      <c r="Q20" s="603"/>
      <c r="R20" s="608">
        <v>1</v>
      </c>
      <c r="S20" s="608"/>
      <c r="T20" s="95">
        <f t="shared" si="4"/>
        <v>3</v>
      </c>
      <c r="U20" s="474">
        <f t="shared" si="5"/>
        <v>16100.72</v>
      </c>
    </row>
    <row r="21" spans="1:21" x14ac:dyDescent="0.25">
      <c r="A21" s="539" t="s">
        <v>80</v>
      </c>
      <c r="B21" s="539"/>
      <c r="C21" s="143">
        <v>2</v>
      </c>
      <c r="D21" s="143">
        <v>0</v>
      </c>
      <c r="E21" s="116">
        <f t="shared" si="1"/>
        <v>4</v>
      </c>
      <c r="F21" s="624">
        <f>'1461'!F21:G21</f>
        <v>3.706</v>
      </c>
      <c r="G21" s="624"/>
      <c r="H21" s="80">
        <f t="shared" si="2"/>
        <v>14.824</v>
      </c>
      <c r="I21" s="101">
        <f t="shared" si="3"/>
        <v>79559.02</v>
      </c>
      <c r="N21" s="564" t="s">
        <v>80</v>
      </c>
      <c r="O21" s="564"/>
      <c r="P21" s="603">
        <f t="shared" si="0"/>
        <v>4</v>
      </c>
      <c r="Q21" s="603"/>
      <c r="R21" s="608">
        <v>1</v>
      </c>
      <c r="S21" s="608"/>
      <c r="T21" s="95">
        <f t="shared" si="4"/>
        <v>4</v>
      </c>
      <c r="U21" s="474">
        <f t="shared" si="5"/>
        <v>21467.62</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2</v>
      </c>
      <c r="D23" s="143">
        <v>0</v>
      </c>
      <c r="E23" s="116">
        <f t="shared" si="1"/>
        <v>4</v>
      </c>
      <c r="F23" s="624">
        <f>'1461'!F23:G23</f>
        <v>5.7069999999999999</v>
      </c>
      <c r="G23" s="624"/>
      <c r="H23" s="80">
        <f t="shared" si="2"/>
        <v>22.827999999999999</v>
      </c>
      <c r="I23" s="101">
        <f t="shared" si="3"/>
        <v>122515.73</v>
      </c>
      <c r="N23" s="564" t="s">
        <v>82</v>
      </c>
      <c r="O23" s="564"/>
      <c r="P23" s="603">
        <f t="shared" si="0"/>
        <v>4</v>
      </c>
      <c r="Q23" s="603"/>
      <c r="R23" s="608">
        <v>1</v>
      </c>
      <c r="S23" s="608"/>
      <c r="T23" s="95">
        <f t="shared" si="4"/>
        <v>4</v>
      </c>
      <c r="U23" s="474">
        <f t="shared" si="5"/>
        <v>21467.62</v>
      </c>
    </row>
    <row r="24" spans="1:21" x14ac:dyDescent="0.25">
      <c r="A24" s="539" t="s">
        <v>83</v>
      </c>
      <c r="B24" s="539"/>
      <c r="C24" s="143">
        <v>6</v>
      </c>
      <c r="D24" s="143">
        <v>0</v>
      </c>
      <c r="E24" s="116">
        <f t="shared" si="1"/>
        <v>12</v>
      </c>
      <c r="F24" s="624">
        <f>'1461'!F24:G24</f>
        <v>5.7069999999999999</v>
      </c>
      <c r="G24" s="624"/>
      <c r="H24" s="80">
        <f t="shared" si="2"/>
        <v>68.483999999999995</v>
      </c>
      <c r="I24" s="101">
        <f t="shared" si="3"/>
        <v>367547.2</v>
      </c>
      <c r="N24" s="564" t="s">
        <v>83</v>
      </c>
      <c r="O24" s="564"/>
      <c r="P24" s="603">
        <f t="shared" si="0"/>
        <v>12</v>
      </c>
      <c r="Q24" s="603"/>
      <c r="R24" s="608">
        <v>1</v>
      </c>
      <c r="S24" s="608"/>
      <c r="T24" s="95">
        <f t="shared" si="4"/>
        <v>12</v>
      </c>
      <c r="U24" s="474">
        <f t="shared" si="5"/>
        <v>64402.87</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12.5</v>
      </c>
      <c r="D30" s="94">
        <f>SUM(D14:D29)</f>
        <v>0</v>
      </c>
      <c r="E30" s="94">
        <f>SUM(E14:E29)</f>
        <v>25</v>
      </c>
      <c r="F30" s="543"/>
      <c r="G30" s="543"/>
      <c r="H30" s="99">
        <f>SUM(H14:H29)</f>
        <v>119.49799999999999</v>
      </c>
      <c r="I30" s="94">
        <f>SUM(I14:I29)</f>
        <v>641334.55000000005</v>
      </c>
      <c r="N30" s="605" t="s">
        <v>5</v>
      </c>
      <c r="O30" s="605"/>
      <c r="P30" s="606">
        <f>SUM(P14:P29)</f>
        <v>25</v>
      </c>
      <c r="Q30" s="606"/>
      <c r="R30" s="571"/>
      <c r="S30" s="571"/>
      <c r="T30" s="100">
        <f>SUM(T14:T29)</f>
        <v>25</v>
      </c>
      <c r="U30" s="474">
        <f>SUM(U14:U29)</f>
        <v>134172.63999999998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119.49799999999999</v>
      </c>
      <c r="F46" s="34"/>
      <c r="G46" s="106"/>
      <c r="H46" s="107" t="s">
        <v>98</v>
      </c>
      <c r="I46" s="94">
        <f>SUM(I44,I30)</f>
        <v>641334.55000000005</v>
      </c>
      <c r="N46" s="562" t="s">
        <v>44</v>
      </c>
      <c r="O46" s="562"/>
      <c r="P46" s="562"/>
      <c r="Q46" s="562"/>
      <c r="R46" s="35">
        <f>R44+T30</f>
        <v>25</v>
      </c>
      <c r="S46" s="571" t="s">
        <v>42</v>
      </c>
      <c r="T46" s="571"/>
      <c r="U46" s="108">
        <f>SUM(U44,U30)</f>
        <v>134172.63999999998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641334.55000000005</v>
      </c>
      <c r="G51" s="109" t="s">
        <v>6</v>
      </c>
      <c r="H51" s="402">
        <v>4.5199999999999997E-2</v>
      </c>
      <c r="I51" s="101">
        <f>ROUND(F51*H51,2)</f>
        <v>28988.32</v>
      </c>
      <c r="N51" s="407"/>
      <c r="O51" s="408" t="s">
        <v>395</v>
      </c>
      <c r="P51" s="28"/>
      <c r="Q51" s="44" t="s">
        <v>396</v>
      </c>
      <c r="R51" s="409">
        <f>U30</f>
        <v>134172.63999999998</v>
      </c>
      <c r="S51" s="410" t="s">
        <v>6</v>
      </c>
      <c r="T51" s="411">
        <v>4.5199999999999997E-2</v>
      </c>
      <c r="U51" s="403">
        <f>ROUND(R51*T51,2)</f>
        <v>6064.6</v>
      </c>
    </row>
    <row r="52" spans="1:22" x14ac:dyDescent="0.25">
      <c r="A52" s="26"/>
      <c r="B52" s="81" t="s">
        <v>397</v>
      </c>
      <c r="C52" s="26"/>
      <c r="D52" s="26"/>
      <c r="E52" s="43" t="s">
        <v>396</v>
      </c>
      <c r="F52" s="401">
        <f>I46</f>
        <v>641334.55000000005</v>
      </c>
      <c r="G52" s="109" t="s">
        <v>6</v>
      </c>
      <c r="H52" s="402">
        <v>1.41E-2</v>
      </c>
      <c r="I52" s="101">
        <f>ROUND(F52*H52,2)</f>
        <v>9042.82</v>
      </c>
      <c r="N52" s="28"/>
      <c r="O52" s="384" t="s">
        <v>397</v>
      </c>
      <c r="P52" s="28"/>
      <c r="Q52" s="44" t="s">
        <v>396</v>
      </c>
      <c r="R52" s="409">
        <f>U30</f>
        <v>134172.63999999998</v>
      </c>
      <c r="S52" s="410" t="s">
        <v>6</v>
      </c>
      <c r="T52" s="411">
        <v>1.41E-2</v>
      </c>
      <c r="U52" s="412">
        <f>ROUND(R52*T52,2)</f>
        <v>1891.83</v>
      </c>
    </row>
    <row r="53" spans="1:22" x14ac:dyDescent="0.25">
      <c r="A53" s="26"/>
      <c r="B53" s="81" t="s">
        <v>398</v>
      </c>
      <c r="C53" s="26"/>
      <c r="D53" s="26"/>
      <c r="E53" s="43"/>
      <c r="F53" s="401"/>
      <c r="G53" s="109"/>
      <c r="H53" s="402"/>
      <c r="I53" s="97">
        <f>SUM(I51:I52)</f>
        <v>38031.14</v>
      </c>
      <c r="N53" s="28"/>
      <c r="O53" s="384" t="s">
        <v>398</v>
      </c>
      <c r="P53" s="28"/>
      <c r="Q53" s="44"/>
      <c r="R53" s="409"/>
      <c r="S53" s="410"/>
      <c r="T53" s="411"/>
      <c r="U53" s="403">
        <f>SUM(U51:U52)</f>
        <v>7956.43</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IF(D$72=0,C57*2,C57+D57)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1</v>
      </c>
      <c r="D59" s="143">
        <v>0</v>
      </c>
      <c r="E59" s="116">
        <f>IF(D$66=0,C59*2,C59+D59)</f>
        <v>2</v>
      </c>
      <c r="F59" s="444" t="s">
        <v>435</v>
      </c>
      <c r="G59" s="444">
        <v>253</v>
      </c>
      <c r="H59" s="458">
        <f>'1461'!H59</f>
        <v>6896</v>
      </c>
      <c r="I59" s="101">
        <f t="shared" si="11"/>
        <v>13792</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1</v>
      </c>
      <c r="D66" s="97">
        <f>SUM(D57:D65)</f>
        <v>0</v>
      </c>
      <c r="E66" s="97">
        <f>SUM(E57:E65)</f>
        <v>2</v>
      </c>
      <c r="F66" s="551" t="s">
        <v>444</v>
      </c>
      <c r="G66" s="551"/>
      <c r="H66" s="551"/>
      <c r="I66" s="97">
        <f>SUM(I57:I65)</f>
        <v>13792</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25</v>
      </c>
      <c r="D69" s="526" t="s">
        <v>410</v>
      </c>
      <c r="E69" s="526"/>
      <c r="F69" s="526"/>
      <c r="G69" s="526"/>
      <c r="H69" s="301">
        <f>'1461'!H69</f>
        <v>203305.63</v>
      </c>
      <c r="I69" s="113"/>
      <c r="N69" s="566" t="s">
        <v>403</v>
      </c>
      <c r="O69" s="564"/>
      <c r="P69" s="41">
        <f>P30</f>
        <v>25</v>
      </c>
      <c r="Q69" s="567" t="s">
        <v>405</v>
      </c>
      <c r="R69" s="568"/>
      <c r="S69" s="568"/>
      <c r="T69" s="563">
        <f>H69</f>
        <v>203305.63</v>
      </c>
      <c r="U69" s="563"/>
    </row>
    <row r="70" spans="1:22" x14ac:dyDescent="0.25">
      <c r="B70" s="69"/>
      <c r="G70" s="42" t="s">
        <v>12</v>
      </c>
      <c r="H70" s="114">
        <f>ROUND(C69/H69,6)</f>
        <v>1.2300000000000001E-4</v>
      </c>
      <c r="I70" s="115"/>
      <c r="N70" s="564"/>
      <c r="O70" s="564"/>
      <c r="P70" s="564"/>
      <c r="Q70" s="564"/>
      <c r="R70" s="564"/>
      <c r="S70" s="564"/>
      <c r="T70" s="565">
        <f>ROUND(P69/T69,6)</f>
        <v>1.2300000000000001E-4</v>
      </c>
      <c r="U70" s="565"/>
    </row>
    <row r="71" spans="1:22" x14ac:dyDescent="0.25">
      <c r="A71" s="443" t="s">
        <v>447</v>
      </c>
      <c r="N71" s="454" t="s">
        <v>455</v>
      </c>
      <c r="O71" s="51"/>
      <c r="P71" s="51"/>
      <c r="Q71" s="51"/>
      <c r="R71" s="51"/>
      <c r="S71" s="51"/>
      <c r="T71" s="51"/>
      <c r="U71" s="51"/>
    </row>
    <row r="72" spans="1:22" x14ac:dyDescent="0.25">
      <c r="A72" s="545" t="s">
        <v>400</v>
      </c>
      <c r="B72" s="539"/>
      <c r="C72" s="112">
        <f>H30</f>
        <v>119.49799999999999</v>
      </c>
      <c r="D72" s="526" t="s">
        <v>411</v>
      </c>
      <c r="E72" s="526"/>
      <c r="F72" s="526"/>
      <c r="G72" s="526"/>
      <c r="H72" s="302">
        <f>'1461'!H72</f>
        <v>227540.36</v>
      </c>
      <c r="I72" s="116"/>
      <c r="N72" s="566" t="s">
        <v>404</v>
      </c>
      <c r="O72" s="564"/>
      <c r="P72" s="41">
        <f>T30</f>
        <v>25</v>
      </c>
      <c r="Q72" s="567" t="s">
        <v>406</v>
      </c>
      <c r="R72" s="568"/>
      <c r="S72" s="568"/>
      <c r="T72" s="563">
        <f>H72</f>
        <v>227540.36</v>
      </c>
      <c r="U72" s="563"/>
    </row>
    <row r="73" spans="1:22" x14ac:dyDescent="0.25">
      <c r="G73" s="42" t="s">
        <v>12</v>
      </c>
      <c r="H73" s="114">
        <f>ROUND(C72/H72,6)</f>
        <v>5.2499999999999997E-4</v>
      </c>
      <c r="I73" s="114"/>
      <c r="N73" s="564"/>
      <c r="O73" s="564"/>
      <c r="P73" s="564"/>
      <c r="Q73" s="564"/>
      <c r="R73" s="564"/>
      <c r="S73" s="564"/>
      <c r="T73" s="565">
        <f>ROUND(P72/T72,6)</f>
        <v>1.1E-4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25</v>
      </c>
      <c r="D75" s="518" t="s">
        <v>412</v>
      </c>
      <c r="E75" s="518"/>
      <c r="F75" s="518"/>
      <c r="G75" s="518"/>
      <c r="H75" s="301">
        <f>'1461'!H75</f>
        <v>186907.73</v>
      </c>
      <c r="I75" s="113"/>
      <c r="N75" s="566" t="s">
        <v>402</v>
      </c>
      <c r="O75" s="564"/>
      <c r="P75" s="41">
        <f>P30</f>
        <v>25</v>
      </c>
      <c r="Q75" s="597" t="s">
        <v>407</v>
      </c>
      <c r="R75" s="598"/>
      <c r="S75" s="598"/>
      <c r="T75" s="563">
        <f>H75</f>
        <v>186907.73</v>
      </c>
      <c r="U75" s="563"/>
    </row>
    <row r="76" spans="1:22" x14ac:dyDescent="0.25">
      <c r="B76" s="69"/>
      <c r="G76" s="42" t="s">
        <v>12</v>
      </c>
      <c r="H76" s="114">
        <f>ROUND(C75/H75,6)</f>
        <v>1.34E-4</v>
      </c>
      <c r="I76" s="115"/>
      <c r="N76" s="564"/>
      <c r="O76" s="564"/>
      <c r="P76" s="564"/>
      <c r="Q76" s="564"/>
      <c r="R76" s="564"/>
      <c r="S76" s="564"/>
      <c r="T76" s="565">
        <f>ROUND(P75/T75,6)</f>
        <v>1.34E-4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25</v>
      </c>
      <c r="D78" s="546" t="s">
        <v>413</v>
      </c>
      <c r="E78" s="546"/>
      <c r="F78" s="546"/>
      <c r="G78" s="546"/>
      <c r="H78" s="301">
        <f>'1461'!H78</f>
        <v>203080.55</v>
      </c>
      <c r="I78" s="113"/>
      <c r="N78" s="566" t="s">
        <v>402</v>
      </c>
      <c r="O78" s="564"/>
      <c r="P78" s="41">
        <f>P30</f>
        <v>25</v>
      </c>
      <c r="Q78" s="595" t="s">
        <v>408</v>
      </c>
      <c r="R78" s="596"/>
      <c r="S78" s="596"/>
      <c r="T78" s="563">
        <f>H78</f>
        <v>203080.55</v>
      </c>
      <c r="U78" s="563"/>
    </row>
    <row r="79" spans="1:22" x14ac:dyDescent="0.25">
      <c r="B79" s="69"/>
      <c r="G79" s="42" t="s">
        <v>12</v>
      </c>
      <c r="H79" s="114">
        <f>ROUND(C78/H78,6)</f>
        <v>1.2300000000000001E-4</v>
      </c>
      <c r="I79" s="115"/>
      <c r="N79" s="564"/>
      <c r="O79" s="564"/>
      <c r="P79" s="564"/>
      <c r="Q79" s="564"/>
      <c r="R79" s="564"/>
      <c r="S79" s="564"/>
      <c r="T79" s="565">
        <f>ROUND(P78/T78,6)</f>
        <v>1.2300000000000001E-4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25</v>
      </c>
      <c r="D81" s="518" t="s">
        <v>414</v>
      </c>
      <c r="E81" s="518"/>
      <c r="F81" s="518"/>
      <c r="G81" s="518"/>
      <c r="H81" s="301">
        <f>'1461'!H81</f>
        <v>186682.65</v>
      </c>
      <c r="I81" s="113"/>
      <c r="N81" s="566" t="s">
        <v>415</v>
      </c>
      <c r="O81" s="564"/>
      <c r="P81" s="41">
        <f>P30</f>
        <v>25</v>
      </c>
      <c r="Q81" s="597" t="s">
        <v>416</v>
      </c>
      <c r="R81" s="598"/>
      <c r="S81" s="598"/>
      <c r="T81" s="563">
        <f>H81</f>
        <v>186682.65</v>
      </c>
      <c r="U81" s="563"/>
    </row>
    <row r="82" spans="1:21" x14ac:dyDescent="0.25">
      <c r="B82" s="69"/>
      <c r="G82" s="42" t="s">
        <v>12</v>
      </c>
      <c r="H82" s="114">
        <f>ROUND(C81/H81,6)</f>
        <v>1.34E-4</v>
      </c>
      <c r="I82" s="115"/>
      <c r="N82" s="564"/>
      <c r="O82" s="564"/>
      <c r="P82" s="564"/>
      <c r="Q82" s="564"/>
      <c r="R82" s="564"/>
      <c r="S82" s="564"/>
      <c r="T82" s="565">
        <f>ROUND(P81/T81,6)</f>
        <v>1.34E-4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1.2300000000000001E-4</v>
      </c>
      <c r="I85" s="101">
        <f>ROUND(F85*H85,2)</f>
        <v>5493.86</v>
      </c>
      <c r="N85" s="454" t="s">
        <v>451</v>
      </c>
      <c r="O85" s="51"/>
      <c r="P85" s="51"/>
      <c r="Q85" s="44"/>
      <c r="R85" s="420">
        <f>F85</f>
        <v>44665536</v>
      </c>
      <c r="S85" s="38" t="s">
        <v>6</v>
      </c>
      <c r="T85" s="422">
        <f>T79</f>
        <v>1.2300000000000001E-4</v>
      </c>
      <c r="U85" s="474">
        <f>ROUND(R85*T85,2)</f>
        <v>5493.86</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1.2300000000000001E-4</v>
      </c>
      <c r="I88" s="101">
        <f>ROUND(F88*H88,2)</f>
        <v>0</v>
      </c>
      <c r="N88" s="599" t="s">
        <v>99</v>
      </c>
      <c r="O88" s="564"/>
      <c r="P88" s="564"/>
      <c r="Q88" s="44"/>
      <c r="R88" s="420">
        <f>F88</f>
        <v>0</v>
      </c>
      <c r="S88" s="38" t="s">
        <v>6</v>
      </c>
      <c r="T88" s="422">
        <f>T70</f>
        <v>1.2300000000000001E-4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1.34E-4</v>
      </c>
      <c r="I90" s="101">
        <f>ROUND(F90*H90,2)</f>
        <v>2166.38</v>
      </c>
      <c r="N90" s="454" t="s">
        <v>452</v>
      </c>
      <c r="O90" s="51"/>
      <c r="P90" s="51"/>
      <c r="Q90" s="44"/>
      <c r="R90" s="420">
        <f>F90</f>
        <v>16167052</v>
      </c>
      <c r="S90" s="38" t="s">
        <v>6</v>
      </c>
      <c r="T90" s="422">
        <f>T82</f>
        <v>1.34E-4</v>
      </c>
      <c r="U90" s="474">
        <f>ROUND(R90*T90,2)</f>
        <v>2166.38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1.34E-4</v>
      </c>
      <c r="I92" s="101">
        <f t="shared" ref="I92:I96" si="14">ROUND(F92*H92,2)</f>
        <v>1345.37</v>
      </c>
      <c r="N92" s="454" t="s">
        <v>453</v>
      </c>
      <c r="O92" s="51"/>
      <c r="P92" s="51"/>
      <c r="Q92" s="44"/>
      <c r="R92" s="420">
        <f t="shared" ref="R92:R96" si="15">F92</f>
        <v>10040099</v>
      </c>
      <c r="S92" s="38" t="s">
        <v>6</v>
      </c>
      <c r="T92" s="422">
        <f>T76</f>
        <v>1.34E-4</v>
      </c>
      <c r="U92" s="474">
        <f>ROUND(R92*T92,2)</f>
        <v>1345.37</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5.2499999999999997E-4</v>
      </c>
      <c r="I94" s="101">
        <f t="shared" si="14"/>
        <v>125473.78</v>
      </c>
      <c r="N94" s="564" t="s">
        <v>418</v>
      </c>
      <c r="O94" s="564"/>
      <c r="P94" s="564"/>
      <c r="Q94" s="44"/>
      <c r="R94" s="420">
        <f t="shared" si="15"/>
        <v>238997674</v>
      </c>
      <c r="S94" s="38" t="s">
        <v>6</v>
      </c>
      <c r="T94" s="422">
        <f>T73</f>
        <v>1.1E-4</v>
      </c>
      <c r="U94" s="474">
        <f>ROUND(R94*T94,2)</f>
        <v>26289.74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5.2499999999999997E-4</v>
      </c>
      <c r="I96" s="101">
        <f t="shared" si="14"/>
        <v>-840.02</v>
      </c>
      <c r="N96" s="566" t="s">
        <v>419</v>
      </c>
      <c r="O96" s="564"/>
      <c r="P96" s="564"/>
      <c r="Q96" s="44"/>
      <c r="R96" s="420">
        <f t="shared" si="15"/>
        <v>-1600047</v>
      </c>
      <c r="S96" s="38" t="s">
        <v>6</v>
      </c>
      <c r="T96" s="422">
        <f>T73</f>
        <v>1.1E-4</v>
      </c>
      <c r="U96" s="474">
        <f>ROUND(R96*T96,2)</f>
        <v>-176.01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36.19</v>
      </c>
      <c r="D101" s="557"/>
      <c r="E101" s="46">
        <f>H8</f>
        <v>1.0442</v>
      </c>
      <c r="F101" s="304">
        <f>'1461'!F101</f>
        <v>947.59</v>
      </c>
      <c r="G101" s="39" t="s">
        <v>12</v>
      </c>
      <c r="H101" s="101">
        <f>ROUND(C101*E101*F101,2)</f>
        <v>35809.050000000003</v>
      </c>
      <c r="I101" s="104"/>
      <c r="N101" s="28" t="s">
        <v>17</v>
      </c>
      <c r="O101" s="47">
        <f>T14+T15+T20+T23+T26</f>
        <v>9</v>
      </c>
      <c r="P101" s="587">
        <f>T8</f>
        <v>1.0442</v>
      </c>
      <c r="Q101" s="587"/>
      <c r="R101" s="48">
        <f>F101</f>
        <v>947.59</v>
      </c>
      <c r="S101" s="40" t="s">
        <v>12</v>
      </c>
      <c r="T101" s="480">
        <f>ROUND(O101*P101*R101,2)</f>
        <v>8905.26</v>
      </c>
      <c r="U101" s="102"/>
    </row>
    <row r="102" spans="1:21" x14ac:dyDescent="0.25">
      <c r="A102" s="49"/>
      <c r="B102" s="49" t="s">
        <v>104</v>
      </c>
      <c r="C102" s="557">
        <f>H16+H17+H21+H24+H27</f>
        <v>83.307999999999993</v>
      </c>
      <c r="D102" s="557"/>
      <c r="E102" s="46">
        <f>H8</f>
        <v>1.0442</v>
      </c>
      <c r="F102" s="304">
        <f>'1461'!F102</f>
        <v>904.74</v>
      </c>
      <c r="G102" s="39" t="s">
        <v>12</v>
      </c>
      <c r="H102" s="101">
        <f>ROUND(C102*E102*F102,2)</f>
        <v>78703.53</v>
      </c>
      <c r="N102" s="50" t="s">
        <v>13</v>
      </c>
      <c r="O102" s="47">
        <f>T16+T17+T21+T24+T27</f>
        <v>16</v>
      </c>
      <c r="P102" s="587">
        <f>T8</f>
        <v>1.0442</v>
      </c>
      <c r="Q102" s="587"/>
      <c r="R102" s="48">
        <f>F102</f>
        <v>904.74</v>
      </c>
      <c r="S102" s="40" t="s">
        <v>12</v>
      </c>
      <c r="T102" s="480">
        <f>ROUND(O102*P102*R102,2)</f>
        <v>15115.67</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119.49799999999999</v>
      </c>
      <c r="D104" s="547"/>
      <c r="E104" s="123"/>
      <c r="F104" s="123"/>
      <c r="G104" s="123"/>
      <c r="H104" s="124" t="s">
        <v>100</v>
      </c>
      <c r="I104" s="101">
        <f>IF(A1=75,0,H103+H102+H101)</f>
        <v>114512.58</v>
      </c>
      <c r="N104" s="56" t="s">
        <v>89</v>
      </c>
      <c r="O104" s="57">
        <f>SUM(O101:O103)</f>
        <v>25</v>
      </c>
      <c r="P104" s="588" t="s">
        <v>16</v>
      </c>
      <c r="Q104" s="589"/>
      <c r="R104" s="589"/>
      <c r="S104" s="589"/>
      <c r="T104" s="589"/>
      <c r="U104" s="474">
        <f>IF(N1=75,0,T103+T102+T101)</f>
        <v>24020.93</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8</v>
      </c>
      <c r="D110" s="143">
        <v>0</v>
      </c>
      <c r="E110" s="116">
        <f>C110</f>
        <v>8</v>
      </c>
      <c r="F110" s="126" t="s">
        <v>30</v>
      </c>
      <c r="G110" s="305">
        <f>'1461'!G110</f>
        <v>565</v>
      </c>
      <c r="I110" s="101">
        <f>ROUND(G110*E110,2)</f>
        <v>4520</v>
      </c>
      <c r="N110" s="585" t="s">
        <v>52</v>
      </c>
      <c r="O110" s="585"/>
      <c r="P110" s="586">
        <f>IF(H130=1,E110,0)</f>
        <v>8</v>
      </c>
      <c r="Q110" s="586"/>
      <c r="R110" s="586"/>
      <c r="S110" s="83" t="s">
        <v>30</v>
      </c>
      <c r="T110" s="58">
        <f>G110</f>
        <v>565</v>
      </c>
      <c r="U110" s="474">
        <f>ROUND(T110*P110,2)</f>
        <v>4520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907798.5</v>
      </c>
      <c r="N125" s="454"/>
      <c r="O125" s="453"/>
      <c r="P125" s="453"/>
      <c r="Q125" s="307"/>
      <c r="R125" s="307"/>
      <c r="S125" s="307"/>
      <c r="T125" s="307"/>
      <c r="U125" s="481">
        <f>SUM(U30,U85,U88,U90,U92,U94,U96,U104,U110,U111,U121,U123)</f>
        <v>197832.90999999995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869767.36</v>
      </c>
      <c r="N127" s="562" t="s">
        <v>33</v>
      </c>
      <c r="O127" s="562"/>
      <c r="P127" s="562"/>
      <c r="Q127" s="562"/>
      <c r="R127" s="562"/>
      <c r="S127" s="562"/>
      <c r="T127" s="562"/>
      <c r="U127" s="132">
        <f>U125-U53</f>
        <v>189876.47999999995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189876.47999999995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189876.47999999995</v>
      </c>
      <c r="I132" s="94">
        <f>ROUND(IF(E30=0,0,IF(E30&gt;250,-(((250/E30)*H132)*IF(G132="H",0.02,0.05)),IF(G132="H",-0.02*H132,-0.05*H132))),2)</f>
        <v>-9493.82</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898304.68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-160773.01-78877.49-78877.49-78877.49-78877.49-68288.51</f>
        <v>-544571.48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353733.20000000007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70746.64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9"/>
      <c r="O152" s="579"/>
      <c r="P152" s="579"/>
      <c r="Q152" s="579"/>
      <c r="R152" s="579"/>
      <c r="S152" s="579"/>
      <c r="T152" s="579"/>
      <c r="U152" s="579"/>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18"/>
  <sheetViews>
    <sheetView topLeftCell="A30" workbookViewId="0">
      <selection activeCell="F108" sqref="F10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258</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0</v>
      </c>
      <c r="D14" s="141">
        <v>0</v>
      </c>
      <c r="E14" s="187">
        <f>IF(D$30=0,C14*2,C14+D14)</f>
        <v>0</v>
      </c>
      <c r="F14" s="628">
        <f>'1461'!F14:G14</f>
        <v>1.1220000000000001</v>
      </c>
      <c r="G14" s="628"/>
      <c r="H14" s="145">
        <f>ROUND(E14*F14,4)</f>
        <v>0</v>
      </c>
      <c r="I14" s="111">
        <f>ROUND(ROUND(ROUND(H14*$C$8,4)*($H$8),2)*(MAX($H$9,1)),2)</f>
        <v>0</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0</v>
      </c>
      <c r="D15" s="143">
        <v>0</v>
      </c>
      <c r="E15" s="116">
        <f t="shared" ref="E15:E29" si="1">IF(D$30=0,C15*2,C15+D15)</f>
        <v>0</v>
      </c>
      <c r="F15" s="624">
        <f>'1461'!F15:G15</f>
        <v>1.1220000000000001</v>
      </c>
      <c r="G15" s="624"/>
      <c r="H15" s="80">
        <f t="shared" ref="H15:H29" si="2">ROUND(E15*F15,4)</f>
        <v>0</v>
      </c>
      <c r="I15" s="101">
        <f t="shared" ref="I15:I29" si="3">ROUND(ROUND(ROUND(H15*$C$8,4)*($H$8),2)*(MAX($H$9,1)),2)</f>
        <v>0</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0</v>
      </c>
      <c r="D16" s="143">
        <v>0</v>
      </c>
      <c r="E16" s="116">
        <f t="shared" si="1"/>
        <v>0</v>
      </c>
      <c r="F16" s="624">
        <f>'1461'!F16:G16</f>
        <v>1</v>
      </c>
      <c r="G16" s="624"/>
      <c r="H16" s="80">
        <f t="shared" si="2"/>
        <v>0</v>
      </c>
      <c r="I16" s="101">
        <f t="shared" si="3"/>
        <v>0</v>
      </c>
      <c r="N16" s="564" t="s">
        <v>22</v>
      </c>
      <c r="O16" s="564"/>
      <c r="P16" s="603">
        <f t="shared" si="0"/>
        <v>0</v>
      </c>
      <c r="Q16" s="603"/>
      <c r="R16" s="608">
        <v>1</v>
      </c>
      <c r="S16" s="608"/>
      <c r="T16" s="95">
        <f t="shared" si="4"/>
        <v>0</v>
      </c>
      <c r="U16" s="474">
        <f t="shared" si="5"/>
        <v>0</v>
      </c>
    </row>
    <row r="17" spans="1:21" x14ac:dyDescent="0.25">
      <c r="A17" s="539" t="s">
        <v>23</v>
      </c>
      <c r="B17" s="539"/>
      <c r="C17" s="143">
        <v>0</v>
      </c>
      <c r="D17" s="143">
        <v>0</v>
      </c>
      <c r="E17" s="116">
        <f t="shared" si="1"/>
        <v>0</v>
      </c>
      <c r="F17" s="624">
        <f>'1461'!F17:G17</f>
        <v>1</v>
      </c>
      <c r="G17" s="624"/>
      <c r="H17" s="80">
        <f t="shared" si="2"/>
        <v>0</v>
      </c>
      <c r="I17" s="101">
        <f t="shared" si="3"/>
        <v>0</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25.5</v>
      </c>
      <c r="D20" s="143">
        <v>0</v>
      </c>
      <c r="E20" s="116">
        <f t="shared" si="1"/>
        <v>51</v>
      </c>
      <c r="F20" s="624">
        <f>'1461'!F20:G20</f>
        <v>3.706</v>
      </c>
      <c r="G20" s="624"/>
      <c r="H20" s="80">
        <f t="shared" si="2"/>
        <v>189.006</v>
      </c>
      <c r="I20" s="101">
        <f t="shared" si="3"/>
        <v>1014377.45</v>
      </c>
      <c r="N20" s="564" t="s">
        <v>79</v>
      </c>
      <c r="O20" s="564"/>
      <c r="P20" s="603">
        <f t="shared" si="0"/>
        <v>51</v>
      </c>
      <c r="Q20" s="603"/>
      <c r="R20" s="608">
        <v>1</v>
      </c>
      <c r="S20" s="608"/>
      <c r="T20" s="95">
        <f t="shared" si="4"/>
        <v>51</v>
      </c>
      <c r="U20" s="474">
        <f t="shared" si="5"/>
        <v>273712.21000000002</v>
      </c>
    </row>
    <row r="21" spans="1:21" x14ac:dyDescent="0.25">
      <c r="A21" s="539" t="s">
        <v>80</v>
      </c>
      <c r="B21" s="539"/>
      <c r="C21" s="143">
        <v>22</v>
      </c>
      <c r="D21" s="143">
        <v>0</v>
      </c>
      <c r="E21" s="116">
        <f t="shared" si="1"/>
        <v>44</v>
      </c>
      <c r="F21" s="624">
        <f>'1461'!F21:G21</f>
        <v>3.706</v>
      </c>
      <c r="G21" s="624"/>
      <c r="H21" s="80">
        <f t="shared" si="2"/>
        <v>163.06399999999999</v>
      </c>
      <c r="I21" s="101">
        <f t="shared" si="3"/>
        <v>875149.17</v>
      </c>
      <c r="N21" s="564" t="s">
        <v>80</v>
      </c>
      <c r="O21" s="564"/>
      <c r="P21" s="603">
        <f t="shared" si="0"/>
        <v>44</v>
      </c>
      <c r="Q21" s="603"/>
      <c r="R21" s="608">
        <v>1</v>
      </c>
      <c r="S21" s="608"/>
      <c r="T21" s="95">
        <f t="shared" si="4"/>
        <v>44</v>
      </c>
      <c r="U21" s="474">
        <f t="shared" si="5"/>
        <v>236143.87</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6.5</v>
      </c>
      <c r="D23" s="143">
        <v>0</v>
      </c>
      <c r="E23" s="116">
        <f t="shared" si="1"/>
        <v>13</v>
      </c>
      <c r="F23" s="624">
        <f>'1461'!F23:G23</f>
        <v>5.7069999999999999</v>
      </c>
      <c r="G23" s="624"/>
      <c r="H23" s="80">
        <f t="shared" si="2"/>
        <v>74.191000000000003</v>
      </c>
      <c r="I23" s="101">
        <f t="shared" si="3"/>
        <v>398176.13</v>
      </c>
      <c r="N23" s="564" t="s">
        <v>82</v>
      </c>
      <c r="O23" s="564"/>
      <c r="P23" s="603">
        <f t="shared" si="0"/>
        <v>13</v>
      </c>
      <c r="Q23" s="603"/>
      <c r="R23" s="608">
        <v>1</v>
      </c>
      <c r="S23" s="608"/>
      <c r="T23" s="95">
        <f t="shared" si="4"/>
        <v>13</v>
      </c>
      <c r="U23" s="474">
        <f t="shared" si="5"/>
        <v>69769.78</v>
      </c>
    </row>
    <row r="24" spans="1:21" x14ac:dyDescent="0.25">
      <c r="A24" s="539" t="s">
        <v>83</v>
      </c>
      <c r="B24" s="539"/>
      <c r="C24" s="143">
        <v>9</v>
      </c>
      <c r="D24" s="143">
        <v>0</v>
      </c>
      <c r="E24" s="116">
        <f t="shared" si="1"/>
        <v>18</v>
      </c>
      <c r="F24" s="624">
        <f>'1461'!F24:G24</f>
        <v>5.7069999999999999</v>
      </c>
      <c r="G24" s="624"/>
      <c r="H24" s="80">
        <f t="shared" si="2"/>
        <v>102.726</v>
      </c>
      <c r="I24" s="101">
        <f t="shared" si="3"/>
        <v>551320.79</v>
      </c>
      <c r="N24" s="564" t="s">
        <v>83</v>
      </c>
      <c r="O24" s="564"/>
      <c r="P24" s="603">
        <f t="shared" si="0"/>
        <v>18</v>
      </c>
      <c r="Q24" s="603"/>
      <c r="R24" s="608">
        <v>1</v>
      </c>
      <c r="S24" s="608"/>
      <c r="T24" s="95">
        <f t="shared" si="4"/>
        <v>18</v>
      </c>
      <c r="U24" s="474">
        <f t="shared" si="5"/>
        <v>96604.31</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0</v>
      </c>
      <c r="D26" s="143">
        <v>0</v>
      </c>
      <c r="E26" s="116">
        <f t="shared" si="1"/>
        <v>0</v>
      </c>
      <c r="F26" s="624">
        <f>'1461'!F26:G26</f>
        <v>1.208</v>
      </c>
      <c r="G26" s="624"/>
      <c r="H26" s="80">
        <f t="shared" si="2"/>
        <v>0</v>
      </c>
      <c r="I26" s="101">
        <f t="shared" si="3"/>
        <v>0</v>
      </c>
      <c r="N26" s="564" t="s">
        <v>85</v>
      </c>
      <c r="O26" s="564"/>
      <c r="P26" s="603">
        <f t="shared" si="0"/>
        <v>0</v>
      </c>
      <c r="Q26" s="603"/>
      <c r="R26" s="608">
        <v>1</v>
      </c>
      <c r="S26" s="608"/>
      <c r="T26" s="95">
        <f t="shared" si="4"/>
        <v>0</v>
      </c>
      <c r="U26" s="474">
        <f t="shared" si="5"/>
        <v>0</v>
      </c>
    </row>
    <row r="27" spans="1:21" x14ac:dyDescent="0.25">
      <c r="A27" s="539" t="s">
        <v>86</v>
      </c>
      <c r="B27" s="539"/>
      <c r="C27" s="143">
        <v>0</v>
      </c>
      <c r="D27" s="143">
        <v>0</v>
      </c>
      <c r="E27" s="116">
        <f t="shared" si="1"/>
        <v>0</v>
      </c>
      <c r="F27" s="624">
        <f>'1461'!F27:G27</f>
        <v>1.208</v>
      </c>
      <c r="G27" s="624"/>
      <c r="H27" s="80">
        <f t="shared" si="2"/>
        <v>0</v>
      </c>
      <c r="I27" s="101">
        <f t="shared" si="3"/>
        <v>0</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63</v>
      </c>
      <c r="D30" s="94">
        <f>SUM(D14:D29)</f>
        <v>0</v>
      </c>
      <c r="E30" s="94">
        <f>SUM(E14:E29)</f>
        <v>126</v>
      </c>
      <c r="F30" s="543"/>
      <c r="G30" s="543"/>
      <c r="H30" s="99">
        <f>SUM(H14:H29)</f>
        <v>528.98699999999997</v>
      </c>
      <c r="I30" s="94">
        <f>SUM(I14:I29)</f>
        <v>2839023.54</v>
      </c>
      <c r="N30" s="605" t="s">
        <v>5</v>
      </c>
      <c r="O30" s="605"/>
      <c r="P30" s="606">
        <f>SUM(P14:P29)</f>
        <v>126</v>
      </c>
      <c r="Q30" s="606"/>
      <c r="R30" s="571"/>
      <c r="S30" s="571"/>
      <c r="T30" s="100">
        <f>SUM(T14:T29)</f>
        <v>126</v>
      </c>
      <c r="U30" s="474">
        <f>SUM(U14:U29)</f>
        <v>676230.16999999993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528.98699999999997</v>
      </c>
      <c r="F46" s="34"/>
      <c r="G46" s="106"/>
      <c r="H46" s="107" t="s">
        <v>98</v>
      </c>
      <c r="I46" s="94">
        <f>SUM(I44,I30)</f>
        <v>2839023.54</v>
      </c>
      <c r="N46" s="562" t="s">
        <v>44</v>
      </c>
      <c r="O46" s="562"/>
      <c r="P46" s="562"/>
      <c r="Q46" s="562"/>
      <c r="R46" s="35">
        <f>R44+T30</f>
        <v>126</v>
      </c>
      <c r="S46" s="571" t="s">
        <v>42</v>
      </c>
      <c r="T46" s="571"/>
      <c r="U46" s="108">
        <f>SUM(U44,U30)</f>
        <v>676230.16999999993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2839023.54</v>
      </c>
      <c r="G51" s="109" t="s">
        <v>6</v>
      </c>
      <c r="H51" s="402">
        <v>4.5199999999999997E-2</v>
      </c>
      <c r="I51" s="101">
        <f>ROUND(F51*H51,2)</f>
        <v>128323.86</v>
      </c>
      <c r="N51" s="407"/>
      <c r="O51" s="408" t="s">
        <v>395</v>
      </c>
      <c r="P51" s="28"/>
      <c r="Q51" s="44" t="s">
        <v>396</v>
      </c>
      <c r="R51" s="409">
        <f>U30</f>
        <v>676230.16999999993</v>
      </c>
      <c r="S51" s="410" t="s">
        <v>6</v>
      </c>
      <c r="T51" s="411">
        <v>4.5199999999999997E-2</v>
      </c>
      <c r="U51" s="403">
        <f>ROUND(R51*T51,2)</f>
        <v>30565.599999999999</v>
      </c>
    </row>
    <row r="52" spans="1:22" x14ac:dyDescent="0.25">
      <c r="A52" s="26"/>
      <c r="B52" s="81" t="s">
        <v>397</v>
      </c>
      <c r="C52" s="26"/>
      <c r="D52" s="26"/>
      <c r="E52" s="43" t="s">
        <v>396</v>
      </c>
      <c r="F52" s="401">
        <f>I46</f>
        <v>2839023.54</v>
      </c>
      <c r="G52" s="109" t="s">
        <v>6</v>
      </c>
      <c r="H52" s="402">
        <v>1.41E-2</v>
      </c>
      <c r="I52" s="101">
        <f>ROUND(F52*H52,2)</f>
        <v>40030.230000000003</v>
      </c>
      <c r="N52" s="28"/>
      <c r="O52" s="384" t="s">
        <v>397</v>
      </c>
      <c r="P52" s="28"/>
      <c r="Q52" s="44" t="s">
        <v>396</v>
      </c>
      <c r="R52" s="409">
        <f>U30</f>
        <v>676230.16999999993</v>
      </c>
      <c r="S52" s="410" t="s">
        <v>6</v>
      </c>
      <c r="T52" s="411">
        <v>1.41E-2</v>
      </c>
      <c r="U52" s="412">
        <f>ROUND(R52*T52,2)</f>
        <v>9534.85</v>
      </c>
    </row>
    <row r="53" spans="1:22" x14ac:dyDescent="0.25">
      <c r="A53" s="26"/>
      <c r="B53" s="81" t="s">
        <v>398</v>
      </c>
      <c r="C53" s="26"/>
      <c r="D53" s="26"/>
      <c r="E53" s="43"/>
      <c r="F53" s="401"/>
      <c r="G53" s="109"/>
      <c r="H53" s="402"/>
      <c r="I53" s="97">
        <f>SUM(I51:I52)</f>
        <v>168354.09</v>
      </c>
      <c r="N53" s="28"/>
      <c r="O53" s="384" t="s">
        <v>398</v>
      </c>
      <c r="P53" s="28"/>
      <c r="Q53" s="44"/>
      <c r="R53" s="409"/>
      <c r="S53" s="410"/>
      <c r="T53" s="411"/>
      <c r="U53" s="403">
        <f>SUM(U51:U52)</f>
        <v>40100.449999999997</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0</v>
      </c>
      <c r="D57" s="143">
        <v>0</v>
      </c>
      <c r="E57" s="116">
        <f t="shared" ref="E57:E65" si="10">IF(D$72=0,C57*2,C57+D57)</f>
        <v>0</v>
      </c>
      <c r="F57" s="444" t="s">
        <v>435</v>
      </c>
      <c r="G57" s="444">
        <v>251</v>
      </c>
      <c r="H57" s="458">
        <f>'1461'!H57</f>
        <v>1047</v>
      </c>
      <c r="I57" s="101">
        <f>ROUND(E57*H57,2)</f>
        <v>0</v>
      </c>
      <c r="N57" s="572" t="s">
        <v>443</v>
      </c>
      <c r="O57" s="572"/>
      <c r="P57" s="575"/>
      <c r="Q57" s="575"/>
      <c r="R57" s="450" t="s">
        <v>435</v>
      </c>
      <c r="S57" s="450">
        <v>251</v>
      </c>
      <c r="T57" s="461">
        <f>H57</f>
        <v>1047</v>
      </c>
      <c r="U57" s="475">
        <f>ROUND(P57*T57,2)</f>
        <v>0</v>
      </c>
      <c r="V57" s="425"/>
    </row>
    <row r="58" spans="1:22" x14ac:dyDescent="0.25">
      <c r="A58" s="550"/>
      <c r="B58" s="550"/>
      <c r="C58" s="143">
        <v>0</v>
      </c>
      <c r="D58" s="143">
        <v>0</v>
      </c>
      <c r="E58" s="116">
        <f t="shared" si="10"/>
        <v>0</v>
      </c>
      <c r="F58" s="444" t="s">
        <v>435</v>
      </c>
      <c r="G58" s="444">
        <v>252</v>
      </c>
      <c r="H58" s="458">
        <f>'1461'!H58</f>
        <v>3380</v>
      </c>
      <c r="I58" s="101">
        <f t="shared" ref="I58:I65" si="11">ROUND(E58*H58,2)</f>
        <v>0</v>
      </c>
      <c r="N58" s="573"/>
      <c r="O58" s="573"/>
      <c r="P58" s="576"/>
      <c r="Q58" s="576"/>
      <c r="R58" s="450" t="s">
        <v>435</v>
      </c>
      <c r="S58" s="450">
        <v>252</v>
      </c>
      <c r="T58" s="461">
        <f t="shared" ref="T58:T65" si="12">H58</f>
        <v>3380</v>
      </c>
      <c r="U58" s="475">
        <f t="shared" ref="U58:U65" si="13">ROUND(P58*T58,2)</f>
        <v>0</v>
      </c>
      <c r="V58" s="425"/>
    </row>
    <row r="59" spans="1:22" x14ac:dyDescent="0.25">
      <c r="A59" s="550"/>
      <c r="B59" s="550"/>
      <c r="C59" s="143">
        <v>0</v>
      </c>
      <c r="D59" s="143">
        <v>0</v>
      </c>
      <c r="E59" s="116">
        <f t="shared" si="10"/>
        <v>0</v>
      </c>
      <c r="F59" s="444" t="s">
        <v>435</v>
      </c>
      <c r="G59" s="444">
        <v>253</v>
      </c>
      <c r="H59" s="458">
        <f>'1461'!H59</f>
        <v>6896</v>
      </c>
      <c r="I59" s="101">
        <f t="shared" si="11"/>
        <v>0</v>
      </c>
      <c r="N59" s="573"/>
      <c r="O59" s="573"/>
      <c r="P59" s="576"/>
      <c r="Q59" s="576"/>
      <c r="R59" s="450" t="s">
        <v>435</v>
      </c>
      <c r="S59" s="450">
        <v>253</v>
      </c>
      <c r="T59" s="461">
        <f t="shared" si="12"/>
        <v>6896</v>
      </c>
      <c r="U59" s="475">
        <f t="shared" si="13"/>
        <v>0</v>
      </c>
      <c r="V59" s="425"/>
    </row>
    <row r="60" spans="1:22" x14ac:dyDescent="0.25">
      <c r="A60" s="550"/>
      <c r="B60" s="550"/>
      <c r="C60" s="143">
        <v>0</v>
      </c>
      <c r="D60" s="143">
        <v>0</v>
      </c>
      <c r="E60" s="116">
        <f t="shared" si="10"/>
        <v>0</v>
      </c>
      <c r="F60" s="445" t="s">
        <v>13</v>
      </c>
      <c r="G60" s="444">
        <v>251</v>
      </c>
      <c r="H60" s="458">
        <f>'1461'!H60</f>
        <v>1173</v>
      </c>
      <c r="I60" s="101">
        <f t="shared" si="11"/>
        <v>0</v>
      </c>
      <c r="N60" s="573"/>
      <c r="O60" s="573"/>
      <c r="P60" s="576"/>
      <c r="Q60" s="576"/>
      <c r="R60" s="40" t="s">
        <v>13</v>
      </c>
      <c r="S60" s="450">
        <v>251</v>
      </c>
      <c r="T60" s="461">
        <f t="shared" si="12"/>
        <v>1173</v>
      </c>
      <c r="U60" s="475">
        <f t="shared" si="13"/>
        <v>0</v>
      </c>
      <c r="V60" s="425"/>
    </row>
    <row r="61" spans="1:22" x14ac:dyDescent="0.25">
      <c r="A61" s="550"/>
      <c r="B61" s="550"/>
      <c r="C61" s="143">
        <v>0</v>
      </c>
      <c r="D61" s="143">
        <v>0</v>
      </c>
      <c r="E61" s="116">
        <f t="shared" si="10"/>
        <v>0</v>
      </c>
      <c r="F61" s="445" t="s">
        <v>13</v>
      </c>
      <c r="G61" s="444">
        <v>252</v>
      </c>
      <c r="H61" s="458">
        <f>'1461'!H61</f>
        <v>3506</v>
      </c>
      <c r="I61" s="101">
        <f t="shared" si="11"/>
        <v>0</v>
      </c>
      <c r="N61" s="573"/>
      <c r="O61" s="573"/>
      <c r="P61" s="576"/>
      <c r="Q61" s="576"/>
      <c r="R61" s="40" t="s">
        <v>13</v>
      </c>
      <c r="S61" s="450">
        <v>252</v>
      </c>
      <c r="T61" s="461">
        <f t="shared" si="12"/>
        <v>3506</v>
      </c>
      <c r="U61" s="475">
        <f t="shared" si="13"/>
        <v>0</v>
      </c>
      <c r="V61" s="425"/>
    </row>
    <row r="62" spans="1:22" x14ac:dyDescent="0.25">
      <c r="A62" s="550"/>
      <c r="B62" s="550"/>
      <c r="C62" s="143">
        <v>0</v>
      </c>
      <c r="D62" s="143">
        <v>0</v>
      </c>
      <c r="E62" s="116">
        <f t="shared" si="10"/>
        <v>0</v>
      </c>
      <c r="F62" s="445" t="s">
        <v>13</v>
      </c>
      <c r="G62" s="444">
        <v>253</v>
      </c>
      <c r="H62" s="458">
        <f>'1461'!H62</f>
        <v>7023</v>
      </c>
      <c r="I62" s="101">
        <f t="shared" si="11"/>
        <v>0</v>
      </c>
      <c r="N62" s="573"/>
      <c r="O62" s="573"/>
      <c r="P62" s="576"/>
      <c r="Q62" s="576"/>
      <c r="R62" s="40" t="s">
        <v>13</v>
      </c>
      <c r="S62" s="450">
        <v>253</v>
      </c>
      <c r="T62" s="461">
        <f t="shared" si="12"/>
        <v>7023</v>
      </c>
      <c r="U62" s="475">
        <f t="shared" si="13"/>
        <v>0</v>
      </c>
      <c r="V62" s="425"/>
    </row>
    <row r="63" spans="1:22" x14ac:dyDescent="0.25">
      <c r="A63" s="550"/>
      <c r="B63" s="550"/>
      <c r="C63" s="143">
        <v>0</v>
      </c>
      <c r="D63" s="143">
        <v>0</v>
      </c>
      <c r="E63" s="116">
        <f t="shared" si="10"/>
        <v>0</v>
      </c>
      <c r="F63" s="445" t="s">
        <v>14</v>
      </c>
      <c r="G63" s="444">
        <v>251</v>
      </c>
      <c r="H63" s="458">
        <f>'1461'!H63</f>
        <v>835</v>
      </c>
      <c r="I63" s="101">
        <f t="shared" si="11"/>
        <v>0</v>
      </c>
      <c r="N63" s="573"/>
      <c r="O63" s="573"/>
      <c r="P63" s="576"/>
      <c r="Q63" s="576"/>
      <c r="R63" s="40" t="s">
        <v>14</v>
      </c>
      <c r="S63" s="450">
        <v>251</v>
      </c>
      <c r="T63" s="461">
        <f t="shared" si="12"/>
        <v>835</v>
      </c>
      <c r="U63" s="475">
        <f t="shared" si="13"/>
        <v>0</v>
      </c>
      <c r="V63" s="425"/>
    </row>
    <row r="64" spans="1:22" x14ac:dyDescent="0.25">
      <c r="A64" s="550"/>
      <c r="B64" s="550"/>
      <c r="C64" s="143">
        <v>0</v>
      </c>
      <c r="D64" s="143">
        <v>0</v>
      </c>
      <c r="E64" s="116">
        <f t="shared" si="10"/>
        <v>0</v>
      </c>
      <c r="F64" s="445" t="s">
        <v>14</v>
      </c>
      <c r="G64" s="444">
        <v>252</v>
      </c>
      <c r="H64" s="458">
        <f>'1461'!H64</f>
        <v>3168</v>
      </c>
      <c r="I64" s="101">
        <f t="shared" si="11"/>
        <v>0</v>
      </c>
      <c r="N64" s="573"/>
      <c r="O64" s="573"/>
      <c r="P64" s="576"/>
      <c r="Q64" s="576"/>
      <c r="R64" s="40" t="s">
        <v>14</v>
      </c>
      <c r="S64" s="450">
        <v>252</v>
      </c>
      <c r="T64" s="461">
        <f t="shared" si="12"/>
        <v>3168</v>
      </c>
      <c r="U64" s="475">
        <f t="shared" si="13"/>
        <v>0</v>
      </c>
      <c r="V64" s="425"/>
    </row>
    <row r="65" spans="1:22" ht="16.5" thickBot="1" x14ac:dyDescent="0.3">
      <c r="A65" s="550"/>
      <c r="B65" s="550"/>
      <c r="C65" s="143">
        <v>0</v>
      </c>
      <c r="D65" s="143">
        <v>0</v>
      </c>
      <c r="E65" s="116">
        <f t="shared" si="10"/>
        <v>0</v>
      </c>
      <c r="F65" s="445" t="s">
        <v>14</v>
      </c>
      <c r="G65" s="444">
        <v>253</v>
      </c>
      <c r="H65" s="458">
        <f>'1461'!H65</f>
        <v>6685</v>
      </c>
      <c r="I65" s="101">
        <f t="shared" si="11"/>
        <v>0</v>
      </c>
      <c r="N65" s="573"/>
      <c r="O65" s="573"/>
      <c r="P65" s="577"/>
      <c r="Q65" s="577"/>
      <c r="R65" s="40" t="s">
        <v>14</v>
      </c>
      <c r="S65" s="450">
        <v>253</v>
      </c>
      <c r="T65" s="461">
        <f t="shared" si="12"/>
        <v>6685</v>
      </c>
      <c r="U65" s="476">
        <f t="shared" si="13"/>
        <v>0</v>
      </c>
      <c r="V65" s="425"/>
    </row>
    <row r="66" spans="1:22" ht="16.5" thickBot="1" x14ac:dyDescent="0.3">
      <c r="A66" s="441"/>
      <c r="C66" s="97">
        <f>SUM(C57:C65)</f>
        <v>0</v>
      </c>
      <c r="D66" s="97">
        <f>SUM(D57:D65)</f>
        <v>0</v>
      </c>
      <c r="E66" s="97">
        <f>SUM(E57:E65)</f>
        <v>0</v>
      </c>
      <c r="F66" s="551" t="s">
        <v>444</v>
      </c>
      <c r="G66" s="551"/>
      <c r="H66" s="551"/>
      <c r="I66" s="97">
        <f>SUM(I57:I65)</f>
        <v>0</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126</v>
      </c>
      <c r="D69" s="526" t="s">
        <v>410</v>
      </c>
      <c r="E69" s="526"/>
      <c r="F69" s="526"/>
      <c r="G69" s="526"/>
      <c r="H69" s="301">
        <f>'1461'!H69</f>
        <v>203305.63</v>
      </c>
      <c r="I69" s="113"/>
      <c r="N69" s="566" t="s">
        <v>403</v>
      </c>
      <c r="O69" s="564"/>
      <c r="P69" s="41">
        <f>P30</f>
        <v>126</v>
      </c>
      <c r="Q69" s="567" t="s">
        <v>405</v>
      </c>
      <c r="R69" s="568"/>
      <c r="S69" s="568"/>
      <c r="T69" s="563">
        <f>H69</f>
        <v>203305.63</v>
      </c>
      <c r="U69" s="563"/>
    </row>
    <row r="70" spans="1:22" x14ac:dyDescent="0.25">
      <c r="B70" s="69"/>
      <c r="G70" s="42" t="s">
        <v>12</v>
      </c>
      <c r="H70" s="114">
        <f>ROUND(C69/H69,6)</f>
        <v>6.2E-4</v>
      </c>
      <c r="I70" s="115"/>
      <c r="N70" s="564"/>
      <c r="O70" s="564"/>
      <c r="P70" s="564"/>
      <c r="Q70" s="564"/>
      <c r="R70" s="564"/>
      <c r="S70" s="564"/>
      <c r="T70" s="565">
        <f>ROUND(P69/T69,6)</f>
        <v>6.2E-4</v>
      </c>
      <c r="U70" s="565"/>
    </row>
    <row r="71" spans="1:22" x14ac:dyDescent="0.25">
      <c r="A71" s="443" t="s">
        <v>447</v>
      </c>
      <c r="N71" s="454" t="s">
        <v>455</v>
      </c>
      <c r="O71" s="51"/>
      <c r="P71" s="51"/>
      <c r="Q71" s="51"/>
      <c r="R71" s="51"/>
      <c r="S71" s="51"/>
      <c r="T71" s="51"/>
      <c r="U71" s="51"/>
    </row>
    <row r="72" spans="1:22" x14ac:dyDescent="0.25">
      <c r="A72" s="545" t="s">
        <v>400</v>
      </c>
      <c r="B72" s="539"/>
      <c r="C72" s="112">
        <f>H30</f>
        <v>528.98699999999997</v>
      </c>
      <c r="D72" s="526" t="s">
        <v>411</v>
      </c>
      <c r="E72" s="526"/>
      <c r="F72" s="526"/>
      <c r="G72" s="526"/>
      <c r="H72" s="302">
        <f>'1461'!H72</f>
        <v>227540.36</v>
      </c>
      <c r="I72" s="116"/>
      <c r="N72" s="566" t="s">
        <v>404</v>
      </c>
      <c r="O72" s="564"/>
      <c r="P72" s="41">
        <f>T30</f>
        <v>126</v>
      </c>
      <c r="Q72" s="567" t="s">
        <v>406</v>
      </c>
      <c r="R72" s="568"/>
      <c r="S72" s="568"/>
      <c r="T72" s="563">
        <f>H72</f>
        <v>227540.36</v>
      </c>
      <c r="U72" s="563"/>
    </row>
    <row r="73" spans="1:22" x14ac:dyDescent="0.25">
      <c r="G73" s="42" t="s">
        <v>12</v>
      </c>
      <c r="H73" s="114">
        <f>ROUND(C72/H72,6)</f>
        <v>2.3249999999999998E-3</v>
      </c>
      <c r="I73" s="114"/>
      <c r="N73" s="564"/>
      <c r="O73" s="564"/>
      <c r="P73" s="564"/>
      <c r="Q73" s="564"/>
      <c r="R73" s="564"/>
      <c r="S73" s="564"/>
      <c r="T73" s="565">
        <f>ROUND(P72/T72,6)</f>
        <v>5.5400000000000002E-4</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126</v>
      </c>
      <c r="D75" s="518" t="s">
        <v>412</v>
      </c>
      <c r="E75" s="518"/>
      <c r="F75" s="518"/>
      <c r="G75" s="518"/>
      <c r="H75" s="301">
        <f>'1461'!H75</f>
        <v>186907.73</v>
      </c>
      <c r="I75" s="113"/>
      <c r="N75" s="566" t="s">
        <v>402</v>
      </c>
      <c r="O75" s="564"/>
      <c r="P75" s="41">
        <f>P30</f>
        <v>126</v>
      </c>
      <c r="Q75" s="597" t="s">
        <v>407</v>
      </c>
      <c r="R75" s="598"/>
      <c r="S75" s="598"/>
      <c r="T75" s="563">
        <f>H75</f>
        <v>186907.73</v>
      </c>
      <c r="U75" s="563"/>
    </row>
    <row r="76" spans="1:22" x14ac:dyDescent="0.25">
      <c r="B76" s="69"/>
      <c r="G76" s="42" t="s">
        <v>12</v>
      </c>
      <c r="H76" s="114">
        <f>ROUND(C75/H75,6)</f>
        <v>6.7400000000000001E-4</v>
      </c>
      <c r="I76" s="115"/>
      <c r="N76" s="564"/>
      <c r="O76" s="564"/>
      <c r="P76" s="564"/>
      <c r="Q76" s="564"/>
      <c r="R76" s="564"/>
      <c r="S76" s="564"/>
      <c r="T76" s="565">
        <f>ROUND(P75/T75,6)</f>
        <v>6.7400000000000001E-4</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126</v>
      </c>
      <c r="D78" s="546" t="s">
        <v>413</v>
      </c>
      <c r="E78" s="546"/>
      <c r="F78" s="546"/>
      <c r="G78" s="546"/>
      <c r="H78" s="301">
        <f>'1461'!H78</f>
        <v>203080.55</v>
      </c>
      <c r="I78" s="113"/>
      <c r="N78" s="566" t="s">
        <v>402</v>
      </c>
      <c r="O78" s="564"/>
      <c r="P78" s="41">
        <f>P30</f>
        <v>126</v>
      </c>
      <c r="Q78" s="595" t="s">
        <v>408</v>
      </c>
      <c r="R78" s="596"/>
      <c r="S78" s="596"/>
      <c r="T78" s="563">
        <f>H78</f>
        <v>203080.55</v>
      </c>
      <c r="U78" s="563"/>
    </row>
    <row r="79" spans="1:22" x14ac:dyDescent="0.25">
      <c r="B79" s="69"/>
      <c r="G79" s="42" t="s">
        <v>12</v>
      </c>
      <c r="H79" s="114">
        <f>ROUND(C78/H78,6)</f>
        <v>6.2E-4</v>
      </c>
      <c r="I79" s="115"/>
      <c r="N79" s="564"/>
      <c r="O79" s="564"/>
      <c r="P79" s="564"/>
      <c r="Q79" s="564"/>
      <c r="R79" s="564"/>
      <c r="S79" s="564"/>
      <c r="T79" s="565">
        <f>ROUND(P78/T78,6)</f>
        <v>6.2E-4</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126</v>
      </c>
      <c r="D81" s="518" t="s">
        <v>414</v>
      </c>
      <c r="E81" s="518"/>
      <c r="F81" s="518"/>
      <c r="G81" s="518"/>
      <c r="H81" s="301">
        <f>'1461'!H81</f>
        <v>186682.65</v>
      </c>
      <c r="I81" s="113"/>
      <c r="N81" s="566" t="s">
        <v>415</v>
      </c>
      <c r="O81" s="564"/>
      <c r="P81" s="41">
        <f>P30</f>
        <v>126</v>
      </c>
      <c r="Q81" s="597" t="s">
        <v>416</v>
      </c>
      <c r="R81" s="598"/>
      <c r="S81" s="598"/>
      <c r="T81" s="563">
        <f>H81</f>
        <v>186682.65</v>
      </c>
      <c r="U81" s="563"/>
    </row>
    <row r="82" spans="1:21" x14ac:dyDescent="0.25">
      <c r="B82" s="69"/>
      <c r="G82" s="42" t="s">
        <v>12</v>
      </c>
      <c r="H82" s="114">
        <f>ROUND(C81/H81,6)</f>
        <v>6.7500000000000004E-4</v>
      </c>
      <c r="I82" s="115"/>
      <c r="N82" s="564"/>
      <c r="O82" s="564"/>
      <c r="P82" s="564"/>
      <c r="Q82" s="564"/>
      <c r="R82" s="564"/>
      <c r="S82" s="564"/>
      <c r="T82" s="565">
        <f>ROUND(P81/T81,6)</f>
        <v>6.7500000000000004E-4</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6.2E-4</v>
      </c>
      <c r="I85" s="101">
        <f>ROUND(F85*H85,2)</f>
        <v>27692.63</v>
      </c>
      <c r="N85" s="454" t="s">
        <v>451</v>
      </c>
      <c r="O85" s="51"/>
      <c r="P85" s="51"/>
      <c r="Q85" s="44"/>
      <c r="R85" s="420">
        <f>F85</f>
        <v>44665536</v>
      </c>
      <c r="S85" s="38" t="s">
        <v>6</v>
      </c>
      <c r="T85" s="422">
        <f>T79</f>
        <v>6.2E-4</v>
      </c>
      <c r="U85" s="474">
        <f>ROUND(R85*T85,2)</f>
        <v>27692.63</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6.2E-4</v>
      </c>
      <c r="I88" s="101">
        <f>ROUND(F88*H88,2)</f>
        <v>0</v>
      </c>
      <c r="N88" s="599" t="s">
        <v>99</v>
      </c>
      <c r="O88" s="564"/>
      <c r="P88" s="564"/>
      <c r="Q88" s="44"/>
      <c r="R88" s="420">
        <f>F88</f>
        <v>0</v>
      </c>
      <c r="S88" s="38" t="s">
        <v>6</v>
      </c>
      <c r="T88" s="422">
        <f>T70</f>
        <v>6.2E-4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6.7500000000000004E-4</v>
      </c>
      <c r="I90" s="101">
        <f>ROUND(F90*H90,2)</f>
        <v>10912.76</v>
      </c>
      <c r="N90" s="454" t="s">
        <v>452</v>
      </c>
      <c r="O90" s="51"/>
      <c r="P90" s="51"/>
      <c r="Q90" s="44"/>
      <c r="R90" s="420">
        <f>F90</f>
        <v>16167052</v>
      </c>
      <c r="S90" s="38" t="s">
        <v>6</v>
      </c>
      <c r="T90" s="422">
        <f>T82</f>
        <v>6.7500000000000004E-4</v>
      </c>
      <c r="U90" s="474">
        <f>ROUND(R90*T90,2)</f>
        <v>10912.76</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6.7400000000000001E-4</v>
      </c>
      <c r="I92" s="101">
        <f t="shared" ref="I92:I96" si="14">ROUND(F92*H92,2)</f>
        <v>6767.03</v>
      </c>
      <c r="N92" s="454" t="s">
        <v>453</v>
      </c>
      <c r="O92" s="51"/>
      <c r="P92" s="51"/>
      <c r="Q92" s="44"/>
      <c r="R92" s="420">
        <f t="shared" ref="R92:R96" si="15">F92</f>
        <v>10040099</v>
      </c>
      <c r="S92" s="38" t="s">
        <v>6</v>
      </c>
      <c r="T92" s="422">
        <f>T76</f>
        <v>6.7400000000000001E-4</v>
      </c>
      <c r="U92" s="474">
        <f>ROUND(R92*T92,2)</f>
        <v>6767.03</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2.3249999999999998E-3</v>
      </c>
      <c r="I94" s="101">
        <f t="shared" si="14"/>
        <v>555669.59</v>
      </c>
      <c r="N94" s="564" t="s">
        <v>418</v>
      </c>
      <c r="O94" s="564"/>
      <c r="P94" s="564"/>
      <c r="Q94" s="44"/>
      <c r="R94" s="420">
        <f t="shared" si="15"/>
        <v>238997674</v>
      </c>
      <c r="S94" s="38" t="s">
        <v>6</v>
      </c>
      <c r="T94" s="422">
        <f>T73</f>
        <v>5.5400000000000002E-4</v>
      </c>
      <c r="U94" s="474">
        <f>ROUND(R94*T94,2)</f>
        <v>132404.71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2.3249999999999998E-3</v>
      </c>
      <c r="I96" s="101">
        <f t="shared" si="14"/>
        <v>-3720.11</v>
      </c>
      <c r="N96" s="566" t="s">
        <v>419</v>
      </c>
      <c r="O96" s="564"/>
      <c r="P96" s="564"/>
      <c r="Q96" s="44"/>
      <c r="R96" s="420">
        <f t="shared" si="15"/>
        <v>-1600047</v>
      </c>
      <c r="S96" s="38" t="s">
        <v>6</v>
      </c>
      <c r="T96" s="422">
        <f>T73</f>
        <v>5.5400000000000002E-4</v>
      </c>
      <c r="U96" s="474">
        <f>ROUND(R96*T96,2)</f>
        <v>-886.43</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263.197</v>
      </c>
      <c r="D101" s="557"/>
      <c r="E101" s="46">
        <f>H8</f>
        <v>1.0442</v>
      </c>
      <c r="F101" s="304">
        <f>'1461'!F101</f>
        <v>947.59</v>
      </c>
      <c r="G101" s="39" t="s">
        <v>12</v>
      </c>
      <c r="H101" s="101">
        <f>ROUND(C101*E101*F101,2)</f>
        <v>260426.45</v>
      </c>
      <c r="I101" s="104"/>
      <c r="N101" s="28" t="s">
        <v>17</v>
      </c>
      <c r="O101" s="47">
        <f>T14+T15+T20+T23+T26</f>
        <v>64</v>
      </c>
      <c r="P101" s="587">
        <f>T8</f>
        <v>1.0442</v>
      </c>
      <c r="Q101" s="587"/>
      <c r="R101" s="48">
        <f>F101</f>
        <v>947.59</v>
      </c>
      <c r="S101" s="40" t="s">
        <v>12</v>
      </c>
      <c r="T101" s="480">
        <f>ROUND(O101*P101*R101,2)</f>
        <v>63326.3</v>
      </c>
      <c r="U101" s="102"/>
    </row>
    <row r="102" spans="1:21" x14ac:dyDescent="0.25">
      <c r="A102" s="49"/>
      <c r="B102" s="49" t="s">
        <v>104</v>
      </c>
      <c r="C102" s="557">
        <f>H16+H17+H21+H24+H27</f>
        <v>265.78999999999996</v>
      </c>
      <c r="D102" s="557"/>
      <c r="E102" s="46">
        <f>H8</f>
        <v>1.0442</v>
      </c>
      <c r="F102" s="304">
        <f>'1461'!F102</f>
        <v>904.74</v>
      </c>
      <c r="G102" s="39" t="s">
        <v>12</v>
      </c>
      <c r="H102" s="101">
        <f>ROUND(C102*E102*F102,2)</f>
        <v>251099.66</v>
      </c>
      <c r="N102" s="50" t="s">
        <v>13</v>
      </c>
      <c r="O102" s="47">
        <f>T16+T17+T21+T24+T27</f>
        <v>62</v>
      </c>
      <c r="P102" s="587">
        <f>T8</f>
        <v>1.0442</v>
      </c>
      <c r="Q102" s="587"/>
      <c r="R102" s="48">
        <f>F102</f>
        <v>904.74</v>
      </c>
      <c r="S102" s="40" t="s">
        <v>12</v>
      </c>
      <c r="T102" s="480">
        <f>ROUND(O102*P102*R102,2)</f>
        <v>58573.23</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528.98699999999997</v>
      </c>
      <c r="D104" s="547"/>
      <c r="E104" s="123"/>
      <c r="F104" s="123"/>
      <c r="G104" s="123"/>
      <c r="H104" s="124" t="s">
        <v>100</v>
      </c>
      <c r="I104" s="101">
        <f>IF(A1=75,0,H103+H102+H101)</f>
        <v>511526.11</v>
      </c>
      <c r="N104" s="56" t="s">
        <v>89</v>
      </c>
      <c r="O104" s="57">
        <f>SUM(O101:O103)</f>
        <v>126</v>
      </c>
      <c r="P104" s="588" t="s">
        <v>16</v>
      </c>
      <c r="Q104" s="589"/>
      <c r="R104" s="589"/>
      <c r="S104" s="589"/>
      <c r="T104" s="589"/>
      <c r="U104" s="474">
        <f>IF(N1=75,0,T103+T102+T101)</f>
        <v>121899.53</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0</v>
      </c>
      <c r="D110" s="143">
        <v>0</v>
      </c>
      <c r="E110" s="116">
        <f>C110</f>
        <v>0</v>
      </c>
      <c r="F110" s="126" t="s">
        <v>30</v>
      </c>
      <c r="G110" s="305">
        <f>'1461'!G110</f>
        <v>565</v>
      </c>
      <c r="I110" s="101">
        <f>ROUND(G110*E110,2)</f>
        <v>0</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(C111+D111)/2</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3947871.5499999993</v>
      </c>
      <c r="N125" s="454"/>
      <c r="O125" s="453"/>
      <c r="P125" s="453"/>
      <c r="Q125" s="307"/>
      <c r="R125" s="307"/>
      <c r="S125" s="307"/>
      <c r="T125" s="307"/>
      <c r="U125" s="481">
        <f>SUM(U30,U85,U88,U90,U92,U94,U96,U104,U110,U111,U121,U123)</f>
        <v>975020.39999999991</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3779517.4599999995</v>
      </c>
      <c r="N127" s="562" t="s">
        <v>33</v>
      </c>
      <c r="O127" s="562"/>
      <c r="P127" s="562"/>
      <c r="Q127" s="562"/>
      <c r="R127" s="562"/>
      <c r="S127" s="562"/>
      <c r="T127" s="562"/>
      <c r="U127" s="132">
        <f>U125-U53</f>
        <v>934919.95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f>IF(E30=0,"",IF((E15+E17+SUM(E19:E25))/E30&gt;0.75,1,""))</f>
        <v>1</v>
      </c>
      <c r="I130" s="116">
        <f>U127</f>
        <v>934919.95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934919.95</v>
      </c>
      <c r="I132" s="94">
        <f>ROUND(IF(E30=0,0,IF(E30&gt;250,-(((250/E30)*H132)*IF(G132="H",0.02,0.05)),IF(G132="H",-0.02*H132,-0.05*H132))),2)</f>
        <v>-46746</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3901125.5499999993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-807005.2-394662.79-394662.79-394662.79-394662.79-252578.2</f>
        <v>-2638234.56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1262890.9899999993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252578.2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9"/>
      <c r="O152" s="579"/>
      <c r="P152" s="579"/>
      <c r="Q152" s="579"/>
      <c r="R152" s="579"/>
      <c r="S152" s="579"/>
      <c r="T152" s="579"/>
      <c r="U152" s="579"/>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18"/>
  <sheetViews>
    <sheetView topLeftCell="A33" workbookViewId="0">
      <selection activeCell="C17" activeCellId="1" sqref="C15 C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7" t="s">
        <v>15</v>
      </c>
      <c r="C1" s="528"/>
      <c r="D1" s="528"/>
      <c r="E1" s="528"/>
      <c r="F1" s="528"/>
      <c r="G1" s="528"/>
      <c r="H1" s="528"/>
      <c r="I1" s="528"/>
      <c r="J1" s="135"/>
      <c r="K1" s="135"/>
      <c r="L1" s="135"/>
      <c r="N1" s="82">
        <f>A1</f>
        <v>0</v>
      </c>
      <c r="O1" s="619" t="s">
        <v>15</v>
      </c>
      <c r="P1" s="620"/>
      <c r="Q1" s="620"/>
      <c r="R1" s="620"/>
      <c r="S1" s="620"/>
      <c r="T1" s="620"/>
      <c r="U1" s="620"/>
    </row>
    <row r="2" spans="1:21" ht="21" x14ac:dyDescent="0.35">
      <c r="A2" s="1" t="s">
        <v>360</v>
      </c>
      <c r="B2" s="2"/>
      <c r="C2" s="2"/>
      <c r="D2" s="2"/>
      <c r="E2" s="2"/>
      <c r="F2" s="2"/>
      <c r="G2" s="2"/>
      <c r="H2" s="2"/>
      <c r="I2" s="2"/>
      <c r="N2" s="621" t="s">
        <v>18</v>
      </c>
      <c r="O2" s="621"/>
      <c r="P2" s="621"/>
      <c r="Q2" s="621"/>
      <c r="R2" s="621"/>
      <c r="S2" s="621"/>
      <c r="T2" s="621"/>
      <c r="U2" s="621"/>
    </row>
    <row r="3" spans="1:21" x14ac:dyDescent="0.25">
      <c r="A3" s="81" t="str">
        <f>'1461'!A3</f>
        <v>Based on the FLDOE 2023-24 FEFP Second Calculation</v>
      </c>
      <c r="N3" s="582" t="str">
        <f>A3</f>
        <v>Based on the FLDOE 2023-24 FEFP Second Calculation</v>
      </c>
      <c r="O3" s="582"/>
      <c r="P3" s="582"/>
      <c r="Q3" s="582"/>
      <c r="R3" s="582"/>
      <c r="S3" s="582"/>
      <c r="T3" s="582"/>
      <c r="U3" s="582"/>
    </row>
    <row r="4" spans="1:21" x14ac:dyDescent="0.25">
      <c r="A4" s="529" t="s">
        <v>0</v>
      </c>
      <c r="B4" s="529"/>
      <c r="C4" s="530" t="s">
        <v>9</v>
      </c>
      <c r="D4" s="530"/>
      <c r="E4" s="530"/>
      <c r="F4" s="4" t="str">
        <f>'1461'!F4</f>
        <v>Feb 2024</v>
      </c>
      <c r="G4" s="4"/>
      <c r="H4" s="4"/>
      <c r="I4" s="4"/>
      <c r="N4" s="622" t="s">
        <v>0</v>
      </c>
      <c r="O4" s="622"/>
      <c r="P4" s="623" t="str">
        <f>C4</f>
        <v>Palm Beach</v>
      </c>
      <c r="Q4" s="623"/>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31" t="s">
        <v>429</v>
      </c>
      <c r="B7" s="625"/>
      <c r="C7" s="625"/>
      <c r="D7" s="625"/>
      <c r="E7" s="625"/>
      <c r="F7" s="625"/>
      <c r="G7" s="625"/>
      <c r="H7" s="625"/>
      <c r="I7" s="625"/>
      <c r="N7" s="622" t="str">
        <f>A7</f>
        <v>1A.   2023-24 FEFP State and Local Funding</v>
      </c>
      <c r="O7" s="622"/>
      <c r="P7" s="622"/>
      <c r="Q7" s="622"/>
      <c r="R7" s="622"/>
      <c r="S7" s="622"/>
      <c r="T7" s="622"/>
      <c r="U7" s="622"/>
    </row>
    <row r="8" spans="1:21" x14ac:dyDescent="0.25">
      <c r="A8" s="84"/>
      <c r="B8" s="85" t="s">
        <v>92</v>
      </c>
      <c r="C8" s="300">
        <f>'1461'!C8</f>
        <v>5139.7299999999996</v>
      </c>
      <c r="D8" s="86"/>
      <c r="E8" s="87"/>
      <c r="F8" s="84"/>
      <c r="G8" s="85" t="s">
        <v>389</v>
      </c>
      <c r="H8" s="288">
        <f>'1461'!H8</f>
        <v>1.0442</v>
      </c>
      <c r="I8" s="75"/>
      <c r="N8" s="626" t="s">
        <v>10</v>
      </c>
      <c r="O8" s="626"/>
      <c r="P8" s="627">
        <f>C8</f>
        <v>5139.7299999999996</v>
      </c>
      <c r="Q8" s="627"/>
      <c r="R8" s="609" t="s">
        <v>390</v>
      </c>
      <c r="S8" s="610"/>
      <c r="T8" s="611">
        <f>H8</f>
        <v>1.0442</v>
      </c>
      <c r="U8" s="611"/>
    </row>
    <row r="9" spans="1:21" x14ac:dyDescent="0.25">
      <c r="A9" s="84"/>
      <c r="B9" s="85"/>
      <c r="C9" s="222"/>
      <c r="D9" s="86"/>
      <c r="E9" s="87"/>
      <c r="F9" s="84"/>
      <c r="G9" s="85" t="s">
        <v>387</v>
      </c>
      <c r="H9" s="288">
        <f>'1461'!H9</f>
        <v>1</v>
      </c>
      <c r="I9" s="75"/>
      <c r="N9" s="12"/>
      <c r="O9" s="12"/>
      <c r="P9" s="13"/>
      <c r="Q9" s="13"/>
      <c r="R9" s="388" t="s">
        <v>388</v>
      </c>
      <c r="S9" s="385"/>
      <c r="T9" s="611">
        <f>H9</f>
        <v>1</v>
      </c>
      <c r="U9" s="611"/>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2023</v>
      </c>
      <c r="D11" s="334" t="str">
        <f>'1461'!D11</f>
        <v>Feb 2024</v>
      </c>
      <c r="E11" s="89" t="s">
        <v>8</v>
      </c>
      <c r="F11" s="532" t="s">
        <v>1</v>
      </c>
      <c r="G11" s="532"/>
      <c r="H11" s="10" t="s">
        <v>60</v>
      </c>
      <c r="I11" s="11" t="s">
        <v>27</v>
      </c>
      <c r="N11" s="12"/>
      <c r="O11" s="12"/>
      <c r="P11" s="13"/>
      <c r="Q11" s="13"/>
      <c r="R11" s="612" t="s">
        <v>1</v>
      </c>
      <c r="S11" s="612"/>
      <c r="T11" s="15" t="s">
        <v>60</v>
      </c>
      <c r="U11" s="16" t="s">
        <v>27</v>
      </c>
    </row>
    <row r="12" spans="1:21" ht="15.75" customHeight="1" x14ac:dyDescent="0.25">
      <c r="A12" s="533" t="s">
        <v>1</v>
      </c>
      <c r="B12" s="533"/>
      <c r="C12" s="325" t="str">
        <f>'1461'!C12</f>
        <v>FTE</v>
      </c>
      <c r="D12" s="325" t="str">
        <f>'1461'!D12</f>
        <v>FTE</v>
      </c>
      <c r="E12" s="325" t="s">
        <v>2</v>
      </c>
      <c r="F12" s="534" t="s">
        <v>63</v>
      </c>
      <c r="G12" s="534"/>
      <c r="H12" s="17" t="s">
        <v>59</v>
      </c>
      <c r="I12" s="389" t="s">
        <v>391</v>
      </c>
      <c r="N12" s="600" t="s">
        <v>1</v>
      </c>
      <c r="O12" s="600"/>
      <c r="P12" s="613" t="s">
        <v>19</v>
      </c>
      <c r="Q12" s="613"/>
      <c r="R12" s="614" t="s">
        <v>63</v>
      </c>
      <c r="S12" s="614"/>
      <c r="T12" s="18" t="s">
        <v>59</v>
      </c>
      <c r="U12" s="19" t="str">
        <f>I12</f>
        <v>(WFTE x BSA x CWF x SDF)</v>
      </c>
    </row>
    <row r="13" spans="1:21" x14ac:dyDescent="0.25">
      <c r="A13" s="535" t="s">
        <v>36</v>
      </c>
      <c r="B13" s="535"/>
      <c r="C13" s="91"/>
      <c r="D13" s="91"/>
      <c r="E13" s="92" t="s">
        <v>37</v>
      </c>
      <c r="F13" s="536" t="s">
        <v>38</v>
      </c>
      <c r="G13" s="536"/>
      <c r="H13" s="20" t="s">
        <v>39</v>
      </c>
      <c r="I13" s="21" t="s">
        <v>40</v>
      </c>
      <c r="N13" s="615" t="s">
        <v>36</v>
      </c>
      <c r="O13" s="615"/>
      <c r="P13" s="616" t="s">
        <v>37</v>
      </c>
      <c r="Q13" s="616"/>
      <c r="R13" s="617" t="s">
        <v>38</v>
      </c>
      <c r="S13" s="617"/>
      <c r="T13" s="22" t="s">
        <v>39</v>
      </c>
      <c r="U13" s="23" t="s">
        <v>40</v>
      </c>
    </row>
    <row r="14" spans="1:21" x14ac:dyDescent="0.25">
      <c r="A14" s="537" t="s">
        <v>20</v>
      </c>
      <c r="B14" s="537"/>
      <c r="C14" s="143">
        <v>133.43</v>
      </c>
      <c r="D14" s="141">
        <v>0</v>
      </c>
      <c r="E14" s="187">
        <f>IF(D$30=0,C14*2,C14+D14)</f>
        <v>266.86</v>
      </c>
      <c r="F14" s="628">
        <f>'1461'!F14:G14</f>
        <v>1.1220000000000001</v>
      </c>
      <c r="G14" s="628"/>
      <c r="H14" s="145">
        <f>ROUND(E14*F14,4)</f>
        <v>299.4169</v>
      </c>
      <c r="I14" s="111">
        <f>ROUND(ROUND(ROUND(H14*$C$8,4)*($H$8),2)*(MAX($H$9,1)),2)</f>
        <v>1606942.38</v>
      </c>
      <c r="N14" s="602" t="s">
        <v>20</v>
      </c>
      <c r="O14" s="602"/>
      <c r="P14" s="603">
        <f t="shared" ref="P14:P29" si="0">IF($H$130=1,E14,0)</f>
        <v>0</v>
      </c>
      <c r="Q14" s="603"/>
      <c r="R14" s="618">
        <v>1</v>
      </c>
      <c r="S14" s="618"/>
      <c r="T14" s="95">
        <f>ROUND(P14*R14,4)</f>
        <v>0</v>
      </c>
      <c r="U14" s="474">
        <f>ROUND(ROUND(ROUND(T14*$C$8,4)*($H$8),2)*(MAX($H$9,1)),2)</f>
        <v>0</v>
      </c>
    </row>
    <row r="15" spans="1:21" x14ac:dyDescent="0.25">
      <c r="A15" s="539" t="s">
        <v>21</v>
      </c>
      <c r="B15" s="539"/>
      <c r="C15" s="143">
        <v>20.5</v>
      </c>
      <c r="D15" s="143">
        <v>0</v>
      </c>
      <c r="E15" s="116">
        <f t="shared" ref="E15:E29" si="1">IF(D$30=0,C15*2,C15+D15)</f>
        <v>41</v>
      </c>
      <c r="F15" s="624">
        <f>'1461'!F15:G15</f>
        <v>1.1220000000000001</v>
      </c>
      <c r="G15" s="624"/>
      <c r="H15" s="80">
        <f t="shared" ref="H15:H29" si="2">ROUND(E15*F15,4)</f>
        <v>46.002000000000002</v>
      </c>
      <c r="I15" s="101">
        <f t="shared" ref="I15:I29" si="3">ROUND(ROUND(ROUND(H15*$C$8,4)*($H$8),2)*(MAX($H$9,1)),2)</f>
        <v>246888.41</v>
      </c>
      <c r="J15" s="65" t="str">
        <f>IF(ROUND(E15,2)=ROUND(SUM(E57:E59),2)," ","CHECK PK-3 LINES BELOW")</f>
        <v xml:space="preserve"> </v>
      </c>
      <c r="N15" s="564" t="s">
        <v>21</v>
      </c>
      <c r="O15" s="564"/>
      <c r="P15" s="603">
        <f t="shared" si="0"/>
        <v>0</v>
      </c>
      <c r="Q15" s="603"/>
      <c r="R15" s="608">
        <v>1</v>
      </c>
      <c r="S15" s="608"/>
      <c r="T15" s="95">
        <f t="shared" ref="T15:T29" si="4">ROUND(P15*R15,4)</f>
        <v>0</v>
      </c>
      <c r="U15" s="474">
        <f t="shared" ref="U15:U29" si="5">ROUND(ROUND(ROUND(T15*$C$8,4)*($H$8),2)*(MAX($H$9,1)),2)</f>
        <v>0</v>
      </c>
    </row>
    <row r="16" spans="1:21" x14ac:dyDescent="0.25">
      <c r="A16" s="539" t="s">
        <v>22</v>
      </c>
      <c r="B16" s="539"/>
      <c r="C16" s="143">
        <v>58.46</v>
      </c>
      <c r="D16" s="143">
        <v>0</v>
      </c>
      <c r="E16" s="116">
        <f t="shared" si="1"/>
        <v>116.92</v>
      </c>
      <c r="F16" s="624">
        <f>'1461'!F16:G16</f>
        <v>1</v>
      </c>
      <c r="G16" s="624"/>
      <c r="H16" s="80">
        <f t="shared" si="2"/>
        <v>116.92</v>
      </c>
      <c r="I16" s="101">
        <f t="shared" si="3"/>
        <v>627498.66</v>
      </c>
      <c r="N16" s="564" t="s">
        <v>22</v>
      </c>
      <c r="O16" s="564"/>
      <c r="P16" s="603">
        <f t="shared" si="0"/>
        <v>0</v>
      </c>
      <c r="Q16" s="603"/>
      <c r="R16" s="608">
        <v>1</v>
      </c>
      <c r="S16" s="608"/>
      <c r="T16" s="95">
        <f t="shared" si="4"/>
        <v>0</v>
      </c>
      <c r="U16" s="474">
        <f t="shared" si="5"/>
        <v>0</v>
      </c>
    </row>
    <row r="17" spans="1:21" x14ac:dyDescent="0.25">
      <c r="A17" s="539" t="s">
        <v>23</v>
      </c>
      <c r="B17" s="539"/>
      <c r="C17" s="143">
        <v>20</v>
      </c>
      <c r="D17" s="143">
        <v>0</v>
      </c>
      <c r="E17" s="116">
        <f t="shared" si="1"/>
        <v>40</v>
      </c>
      <c r="F17" s="624">
        <f>'1461'!F17:G17</f>
        <v>1</v>
      </c>
      <c r="G17" s="624"/>
      <c r="H17" s="80">
        <f t="shared" si="2"/>
        <v>40</v>
      </c>
      <c r="I17" s="101">
        <f t="shared" si="3"/>
        <v>214676.24</v>
      </c>
      <c r="J17" s="65" t="str">
        <f>IF(ROUND(E17,2)=ROUND(SUM(E60:E62),2)," ","CHECK 4-8 LINES BELOW")</f>
        <v xml:space="preserve"> </v>
      </c>
      <c r="N17" s="564" t="s">
        <v>23</v>
      </c>
      <c r="O17" s="564"/>
      <c r="P17" s="603">
        <f t="shared" si="0"/>
        <v>0</v>
      </c>
      <c r="Q17" s="603"/>
      <c r="R17" s="608">
        <v>1</v>
      </c>
      <c r="S17" s="608"/>
      <c r="T17" s="95">
        <f t="shared" si="4"/>
        <v>0</v>
      </c>
      <c r="U17" s="474">
        <f t="shared" si="5"/>
        <v>0</v>
      </c>
    </row>
    <row r="18" spans="1:21" x14ac:dyDescent="0.25">
      <c r="A18" s="539" t="s">
        <v>24</v>
      </c>
      <c r="B18" s="539"/>
      <c r="C18" s="143">
        <v>0</v>
      </c>
      <c r="D18" s="143">
        <v>0</v>
      </c>
      <c r="E18" s="116">
        <f t="shared" si="1"/>
        <v>0</v>
      </c>
      <c r="F18" s="624">
        <f>'1461'!F18:G18</f>
        <v>0.98799999999999999</v>
      </c>
      <c r="G18" s="624"/>
      <c r="H18" s="80">
        <f t="shared" si="2"/>
        <v>0</v>
      </c>
      <c r="I18" s="101">
        <f t="shared" si="3"/>
        <v>0</v>
      </c>
      <c r="N18" s="564" t="s">
        <v>24</v>
      </c>
      <c r="O18" s="564"/>
      <c r="P18" s="603">
        <f t="shared" si="0"/>
        <v>0</v>
      </c>
      <c r="Q18" s="603"/>
      <c r="R18" s="608">
        <v>1</v>
      </c>
      <c r="S18" s="608"/>
      <c r="T18" s="95">
        <f t="shared" si="4"/>
        <v>0</v>
      </c>
      <c r="U18" s="474">
        <f t="shared" si="5"/>
        <v>0</v>
      </c>
    </row>
    <row r="19" spans="1:21" x14ac:dyDescent="0.25">
      <c r="A19" s="539" t="s">
        <v>25</v>
      </c>
      <c r="B19" s="539"/>
      <c r="C19" s="143">
        <v>0</v>
      </c>
      <c r="D19" s="143">
        <v>0</v>
      </c>
      <c r="E19" s="116">
        <f t="shared" si="1"/>
        <v>0</v>
      </c>
      <c r="F19" s="624">
        <f>'1461'!F19:G19</f>
        <v>0.98799999999999999</v>
      </c>
      <c r="G19" s="624"/>
      <c r="H19" s="80">
        <f t="shared" si="2"/>
        <v>0</v>
      </c>
      <c r="I19" s="101">
        <f t="shared" si="3"/>
        <v>0</v>
      </c>
      <c r="J19" s="65" t="str">
        <f>IF(ROUND(E19,2)=ROUND(SUM(E63:E65),2)," ","CHECK 4-8 LINES BELOW")</f>
        <v xml:space="preserve"> </v>
      </c>
      <c r="N19" s="564" t="s">
        <v>25</v>
      </c>
      <c r="O19" s="564"/>
      <c r="P19" s="603">
        <f t="shared" si="0"/>
        <v>0</v>
      </c>
      <c r="Q19" s="603"/>
      <c r="R19" s="608">
        <v>1</v>
      </c>
      <c r="S19" s="608"/>
      <c r="T19" s="95">
        <f t="shared" si="4"/>
        <v>0</v>
      </c>
      <c r="U19" s="473">
        <f t="shared" si="5"/>
        <v>0</v>
      </c>
    </row>
    <row r="20" spans="1:21" x14ac:dyDescent="0.25">
      <c r="A20" s="539" t="s">
        <v>79</v>
      </c>
      <c r="B20" s="539"/>
      <c r="C20" s="143">
        <v>0</v>
      </c>
      <c r="D20" s="143">
        <v>0</v>
      </c>
      <c r="E20" s="116">
        <f t="shared" si="1"/>
        <v>0</v>
      </c>
      <c r="F20" s="624">
        <f>'1461'!F20:G20</f>
        <v>3.706</v>
      </c>
      <c r="G20" s="624"/>
      <c r="H20" s="80">
        <f t="shared" si="2"/>
        <v>0</v>
      </c>
      <c r="I20" s="101">
        <f t="shared" si="3"/>
        <v>0</v>
      </c>
      <c r="N20" s="564" t="s">
        <v>79</v>
      </c>
      <c r="O20" s="564"/>
      <c r="P20" s="603">
        <f t="shared" si="0"/>
        <v>0</v>
      </c>
      <c r="Q20" s="603"/>
      <c r="R20" s="608">
        <v>1</v>
      </c>
      <c r="S20" s="608"/>
      <c r="T20" s="95">
        <f t="shared" si="4"/>
        <v>0</v>
      </c>
      <c r="U20" s="474">
        <f t="shared" si="5"/>
        <v>0</v>
      </c>
    </row>
    <row r="21" spans="1:21" x14ac:dyDescent="0.25">
      <c r="A21" s="539" t="s">
        <v>80</v>
      </c>
      <c r="B21" s="539"/>
      <c r="C21" s="143">
        <v>0</v>
      </c>
      <c r="D21" s="143">
        <v>0</v>
      </c>
      <c r="E21" s="116">
        <f t="shared" si="1"/>
        <v>0</v>
      </c>
      <c r="F21" s="624">
        <f>'1461'!F21:G21</f>
        <v>3.706</v>
      </c>
      <c r="G21" s="624"/>
      <c r="H21" s="80">
        <f t="shared" si="2"/>
        <v>0</v>
      </c>
      <c r="I21" s="101">
        <f t="shared" si="3"/>
        <v>0</v>
      </c>
      <c r="N21" s="564" t="s">
        <v>80</v>
      </c>
      <c r="O21" s="564"/>
      <c r="P21" s="603">
        <f t="shared" si="0"/>
        <v>0</v>
      </c>
      <c r="Q21" s="603"/>
      <c r="R21" s="608">
        <v>1</v>
      </c>
      <c r="S21" s="608"/>
      <c r="T21" s="95">
        <f t="shared" si="4"/>
        <v>0</v>
      </c>
      <c r="U21" s="474">
        <f t="shared" si="5"/>
        <v>0</v>
      </c>
    </row>
    <row r="22" spans="1:21" x14ac:dyDescent="0.25">
      <c r="A22" s="539" t="s">
        <v>81</v>
      </c>
      <c r="B22" s="539"/>
      <c r="C22" s="143">
        <v>0</v>
      </c>
      <c r="D22" s="143">
        <v>0</v>
      </c>
      <c r="E22" s="116">
        <f t="shared" si="1"/>
        <v>0</v>
      </c>
      <c r="F22" s="624">
        <f>'1461'!F22:G22</f>
        <v>3.706</v>
      </c>
      <c r="G22" s="624"/>
      <c r="H22" s="80">
        <f t="shared" si="2"/>
        <v>0</v>
      </c>
      <c r="I22" s="101">
        <f t="shared" si="3"/>
        <v>0</v>
      </c>
      <c r="N22" s="564" t="s">
        <v>81</v>
      </c>
      <c r="O22" s="564"/>
      <c r="P22" s="603">
        <f t="shared" si="0"/>
        <v>0</v>
      </c>
      <c r="Q22" s="603"/>
      <c r="R22" s="608">
        <v>1</v>
      </c>
      <c r="S22" s="608"/>
      <c r="T22" s="95">
        <f t="shared" si="4"/>
        <v>0</v>
      </c>
      <c r="U22" s="474">
        <f t="shared" si="5"/>
        <v>0</v>
      </c>
    </row>
    <row r="23" spans="1:21" x14ac:dyDescent="0.25">
      <c r="A23" s="539" t="s">
        <v>82</v>
      </c>
      <c r="B23" s="539"/>
      <c r="C23" s="143">
        <v>0</v>
      </c>
      <c r="D23" s="143">
        <v>0</v>
      </c>
      <c r="E23" s="116">
        <f t="shared" si="1"/>
        <v>0</v>
      </c>
      <c r="F23" s="624">
        <f>'1461'!F23:G23</f>
        <v>5.7069999999999999</v>
      </c>
      <c r="G23" s="624"/>
      <c r="H23" s="80">
        <f t="shared" si="2"/>
        <v>0</v>
      </c>
      <c r="I23" s="101">
        <f t="shared" si="3"/>
        <v>0</v>
      </c>
      <c r="N23" s="564" t="s">
        <v>82</v>
      </c>
      <c r="O23" s="564"/>
      <c r="P23" s="603">
        <f t="shared" si="0"/>
        <v>0</v>
      </c>
      <c r="Q23" s="603"/>
      <c r="R23" s="608">
        <v>1</v>
      </c>
      <c r="S23" s="608"/>
      <c r="T23" s="95">
        <f t="shared" si="4"/>
        <v>0</v>
      </c>
      <c r="U23" s="474">
        <f t="shared" si="5"/>
        <v>0</v>
      </c>
    </row>
    <row r="24" spans="1:21" x14ac:dyDescent="0.25">
      <c r="A24" s="539" t="s">
        <v>83</v>
      </c>
      <c r="B24" s="539"/>
      <c r="C24" s="143">
        <v>0</v>
      </c>
      <c r="D24" s="143">
        <v>0</v>
      </c>
      <c r="E24" s="116">
        <f t="shared" si="1"/>
        <v>0</v>
      </c>
      <c r="F24" s="624">
        <f>'1461'!F24:G24</f>
        <v>5.7069999999999999</v>
      </c>
      <c r="G24" s="624"/>
      <c r="H24" s="80">
        <f t="shared" si="2"/>
        <v>0</v>
      </c>
      <c r="I24" s="101">
        <f t="shared" si="3"/>
        <v>0</v>
      </c>
      <c r="N24" s="564" t="s">
        <v>83</v>
      </c>
      <c r="O24" s="564"/>
      <c r="P24" s="603">
        <f t="shared" si="0"/>
        <v>0</v>
      </c>
      <c r="Q24" s="603"/>
      <c r="R24" s="608">
        <v>1</v>
      </c>
      <c r="S24" s="608"/>
      <c r="T24" s="95">
        <f t="shared" si="4"/>
        <v>0</v>
      </c>
      <c r="U24" s="474">
        <f t="shared" si="5"/>
        <v>0</v>
      </c>
    </row>
    <row r="25" spans="1:21" x14ac:dyDescent="0.25">
      <c r="A25" s="539" t="s">
        <v>84</v>
      </c>
      <c r="B25" s="539"/>
      <c r="C25" s="143">
        <v>0</v>
      </c>
      <c r="D25" s="143">
        <v>0</v>
      </c>
      <c r="E25" s="116">
        <f t="shared" si="1"/>
        <v>0</v>
      </c>
      <c r="F25" s="624">
        <f>'1461'!F25:G25</f>
        <v>5.7069999999999999</v>
      </c>
      <c r="G25" s="624"/>
      <c r="H25" s="80">
        <f t="shared" si="2"/>
        <v>0</v>
      </c>
      <c r="I25" s="101">
        <f t="shared" si="3"/>
        <v>0</v>
      </c>
      <c r="N25" s="564" t="s">
        <v>84</v>
      </c>
      <c r="O25" s="564"/>
      <c r="P25" s="603">
        <f t="shared" si="0"/>
        <v>0</v>
      </c>
      <c r="Q25" s="603"/>
      <c r="R25" s="608">
        <v>1</v>
      </c>
      <c r="S25" s="608"/>
      <c r="T25" s="95">
        <f t="shared" si="4"/>
        <v>0</v>
      </c>
      <c r="U25" s="474">
        <f t="shared" si="5"/>
        <v>0</v>
      </c>
    </row>
    <row r="26" spans="1:21" x14ac:dyDescent="0.25">
      <c r="A26" s="539" t="s">
        <v>85</v>
      </c>
      <c r="B26" s="539"/>
      <c r="C26" s="143">
        <v>50.57</v>
      </c>
      <c r="D26" s="143">
        <v>0</v>
      </c>
      <c r="E26" s="116">
        <f t="shared" si="1"/>
        <v>101.14</v>
      </c>
      <c r="F26" s="624">
        <f>'1461'!F26:G26</f>
        <v>1.208</v>
      </c>
      <c r="G26" s="624"/>
      <c r="H26" s="80">
        <f t="shared" si="2"/>
        <v>122.1771</v>
      </c>
      <c r="I26" s="101">
        <f t="shared" si="3"/>
        <v>655713.02</v>
      </c>
      <c r="N26" s="564" t="s">
        <v>85</v>
      </c>
      <c r="O26" s="564"/>
      <c r="P26" s="603">
        <f t="shared" si="0"/>
        <v>0</v>
      </c>
      <c r="Q26" s="603"/>
      <c r="R26" s="608">
        <v>1</v>
      </c>
      <c r="S26" s="608"/>
      <c r="T26" s="95">
        <f t="shared" si="4"/>
        <v>0</v>
      </c>
      <c r="U26" s="474">
        <f t="shared" si="5"/>
        <v>0</v>
      </c>
    </row>
    <row r="27" spans="1:21" x14ac:dyDescent="0.25">
      <c r="A27" s="539" t="s">
        <v>86</v>
      </c>
      <c r="B27" s="539"/>
      <c r="C27" s="143">
        <v>12.54</v>
      </c>
      <c r="D27" s="143">
        <v>0</v>
      </c>
      <c r="E27" s="116">
        <f t="shared" si="1"/>
        <v>25.08</v>
      </c>
      <c r="F27" s="624">
        <f>'1461'!F27:G27</f>
        <v>1.208</v>
      </c>
      <c r="G27" s="624"/>
      <c r="H27" s="80">
        <f t="shared" si="2"/>
        <v>30.296600000000002</v>
      </c>
      <c r="I27" s="101">
        <f t="shared" si="3"/>
        <v>162599.01</v>
      </c>
      <c r="N27" s="564" t="s">
        <v>86</v>
      </c>
      <c r="O27" s="564"/>
      <c r="P27" s="603">
        <f t="shared" si="0"/>
        <v>0</v>
      </c>
      <c r="Q27" s="603"/>
      <c r="R27" s="608">
        <v>1</v>
      </c>
      <c r="S27" s="608"/>
      <c r="T27" s="95">
        <f t="shared" si="4"/>
        <v>0</v>
      </c>
      <c r="U27" s="474">
        <f t="shared" si="5"/>
        <v>0</v>
      </c>
    </row>
    <row r="28" spans="1:21" x14ac:dyDescent="0.25">
      <c r="A28" s="539" t="s">
        <v>87</v>
      </c>
      <c r="B28" s="539"/>
      <c r="C28" s="143">
        <v>0</v>
      </c>
      <c r="D28" s="143">
        <v>0</v>
      </c>
      <c r="E28" s="116">
        <f t="shared" si="1"/>
        <v>0</v>
      </c>
      <c r="F28" s="624">
        <f>'1461'!F28:G28</f>
        <v>1.208</v>
      </c>
      <c r="G28" s="624"/>
      <c r="H28" s="80">
        <f t="shared" si="2"/>
        <v>0</v>
      </c>
      <c r="I28" s="101">
        <f t="shared" si="3"/>
        <v>0</v>
      </c>
      <c r="N28" s="564" t="s">
        <v>87</v>
      </c>
      <c r="O28" s="564"/>
      <c r="P28" s="603">
        <f t="shared" si="0"/>
        <v>0</v>
      </c>
      <c r="Q28" s="603"/>
      <c r="R28" s="608">
        <v>1</v>
      </c>
      <c r="S28" s="608"/>
      <c r="T28" s="95">
        <f t="shared" si="4"/>
        <v>0</v>
      </c>
      <c r="U28" s="474">
        <f t="shared" si="5"/>
        <v>0</v>
      </c>
    </row>
    <row r="29" spans="1:21" x14ac:dyDescent="0.25">
      <c r="A29" s="539" t="s">
        <v>88</v>
      </c>
      <c r="B29" s="539"/>
      <c r="C29" s="110">
        <v>0</v>
      </c>
      <c r="D29" s="110">
        <v>0</v>
      </c>
      <c r="E29" s="154">
        <f t="shared" si="1"/>
        <v>0</v>
      </c>
      <c r="F29" s="624">
        <f>'1461'!F29:G29</f>
        <v>1.0720000000000001</v>
      </c>
      <c r="G29" s="624"/>
      <c r="H29" s="93">
        <f t="shared" si="2"/>
        <v>0</v>
      </c>
      <c r="I29" s="94">
        <f t="shared" si="3"/>
        <v>0</v>
      </c>
      <c r="N29" s="569" t="s">
        <v>88</v>
      </c>
      <c r="O29" s="569"/>
      <c r="P29" s="603">
        <f t="shared" si="0"/>
        <v>0</v>
      </c>
      <c r="Q29" s="603"/>
      <c r="R29" s="604">
        <v>1</v>
      </c>
      <c r="S29" s="604"/>
      <c r="T29" s="95">
        <f t="shared" si="4"/>
        <v>0</v>
      </c>
      <c r="U29" s="474">
        <f t="shared" si="5"/>
        <v>0</v>
      </c>
    </row>
    <row r="30" spans="1:21" x14ac:dyDescent="0.25">
      <c r="A30" s="551" t="s">
        <v>5</v>
      </c>
      <c r="B30" s="551"/>
      <c r="C30" s="94">
        <f>SUM(C14:C29)</f>
        <v>295.50000000000006</v>
      </c>
      <c r="D30" s="94">
        <f>SUM(D14:D29)</f>
        <v>0</v>
      </c>
      <c r="E30" s="94">
        <f>SUM(E14:E29)</f>
        <v>591.00000000000011</v>
      </c>
      <c r="F30" s="543"/>
      <c r="G30" s="543"/>
      <c r="H30" s="99">
        <f>SUM(H14:H29)</f>
        <v>654.81260000000009</v>
      </c>
      <c r="I30" s="94">
        <f>SUM(I14:I29)</f>
        <v>3514317.7199999997</v>
      </c>
      <c r="N30" s="605" t="s">
        <v>5</v>
      </c>
      <c r="O30" s="605"/>
      <c r="P30" s="606">
        <f>SUM(P14:P29)</f>
        <v>0</v>
      </c>
      <c r="Q30" s="606"/>
      <c r="R30" s="571"/>
      <c r="S30" s="571"/>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31" t="s">
        <v>233</v>
      </c>
      <c r="G34" s="631"/>
      <c r="H34" s="631"/>
      <c r="I34" s="101"/>
      <c r="N34" s="28"/>
      <c r="O34" s="28"/>
      <c r="P34" s="29"/>
      <c r="Q34" s="29"/>
      <c r="R34" s="30"/>
      <c r="S34" s="30"/>
      <c r="T34" s="102"/>
      <c r="U34" s="103"/>
    </row>
    <row r="35" spans="1:21" hidden="1" x14ac:dyDescent="0.25">
      <c r="A35" s="3"/>
      <c r="B35" s="69"/>
      <c r="C35" s="69"/>
      <c r="D35" s="69"/>
      <c r="E35" s="69"/>
      <c r="F35" s="631"/>
      <c r="G35" s="631"/>
      <c r="H35" s="631"/>
      <c r="I35" s="24" t="s">
        <v>61</v>
      </c>
      <c r="N35" s="582" t="s">
        <v>26</v>
      </c>
      <c r="O35" s="582"/>
      <c r="P35" s="582"/>
      <c r="Q35" s="582"/>
      <c r="R35" s="582"/>
      <c r="S35" s="582"/>
      <c r="T35" s="582"/>
      <c r="U35" s="25" t="str">
        <f>I35</f>
        <v>2015-16</v>
      </c>
    </row>
    <row r="36" spans="1:21" hidden="1" x14ac:dyDescent="0.25">
      <c r="A36" s="26"/>
      <c r="B36" s="26"/>
      <c r="C36" s="88" t="s">
        <v>93</v>
      </c>
      <c r="D36" s="88" t="s">
        <v>94</v>
      </c>
      <c r="E36" s="89" t="s">
        <v>8</v>
      </c>
      <c r="F36" s="631"/>
      <c r="G36" s="631"/>
      <c r="H36" s="631"/>
      <c r="I36" s="24" t="s">
        <v>27</v>
      </c>
      <c r="N36" s="28"/>
      <c r="O36" s="28"/>
      <c r="P36" s="29"/>
      <c r="Q36" s="29"/>
      <c r="R36" s="30"/>
      <c r="S36" s="30"/>
      <c r="T36" s="102"/>
      <c r="U36" s="25" t="s">
        <v>27</v>
      </c>
    </row>
    <row r="37" spans="1:21" ht="26.25" hidden="1" x14ac:dyDescent="0.25">
      <c r="A37" s="533" t="s">
        <v>50</v>
      </c>
      <c r="B37" s="533"/>
      <c r="C37" s="90" t="s">
        <v>2</v>
      </c>
      <c r="D37" s="90" t="s">
        <v>2</v>
      </c>
      <c r="E37" s="90" t="s">
        <v>2</v>
      </c>
      <c r="F37" s="632"/>
      <c r="G37" s="632"/>
      <c r="H37" s="632"/>
      <c r="I37" s="31" t="s">
        <v>391</v>
      </c>
      <c r="N37" s="600" t="s">
        <v>50</v>
      </c>
      <c r="O37" s="600"/>
      <c r="P37" s="601" t="s">
        <v>19</v>
      </c>
      <c r="Q37" s="601"/>
      <c r="R37" s="601"/>
      <c r="S37" s="601"/>
      <c r="T37" s="601"/>
      <c r="U37" s="19" t="str">
        <f>I37</f>
        <v>(WFTE x BSA x CWF x SDF)</v>
      </c>
    </row>
    <row r="38" spans="1:21" hidden="1" x14ac:dyDescent="0.25">
      <c r="A38" s="537" t="s">
        <v>45</v>
      </c>
      <c r="B38" s="537"/>
      <c r="C38" s="147">
        <v>0</v>
      </c>
      <c r="D38" s="147">
        <v>0</v>
      </c>
      <c r="E38" s="187">
        <f t="shared" ref="E38:E43" si="6">IF(D$44=0,C38*2,C38+D38)</f>
        <v>0</v>
      </c>
      <c r="F38" s="148"/>
      <c r="G38" s="148"/>
      <c r="H38" s="148"/>
      <c r="I38" s="111">
        <f>ROUND(ROUND(ROUND(E38*$C$8,4)*($H$8),2)*(MAX($H$9,1)),2)</f>
        <v>0</v>
      </c>
      <c r="N38" s="602" t="s">
        <v>45</v>
      </c>
      <c r="O38" s="602"/>
      <c r="P38" s="570">
        <f t="shared" ref="P38:P43" si="7">IF($H$130=1,E38,0)</f>
        <v>0</v>
      </c>
      <c r="Q38" s="570"/>
      <c r="R38" s="570"/>
      <c r="S38" s="570"/>
      <c r="T38" s="570"/>
      <c r="U38" s="98">
        <f>ROUND(ROUND(ROUND(P38*$C$8,4)*($H$8),2)*(MAX($H$9,1)),2)</f>
        <v>0</v>
      </c>
    </row>
    <row r="39" spans="1:21" hidden="1" x14ac:dyDescent="0.25">
      <c r="A39" s="539" t="s">
        <v>46</v>
      </c>
      <c r="B39" s="539"/>
      <c r="C39" s="150">
        <v>0</v>
      </c>
      <c r="D39" s="150">
        <v>0</v>
      </c>
      <c r="E39" s="116">
        <f t="shared" si="6"/>
        <v>0</v>
      </c>
      <c r="F39" s="151"/>
      <c r="G39" s="151"/>
      <c r="H39" s="151"/>
      <c r="I39" s="101">
        <f t="shared" ref="I39:I43" si="8">ROUND(ROUND(ROUND(E39*$C$8,4)*($H$8),2)*(MAX($H$9,1)),2)</f>
        <v>0</v>
      </c>
      <c r="N39" s="564" t="s">
        <v>46</v>
      </c>
      <c r="O39" s="564"/>
      <c r="P39" s="570">
        <f t="shared" si="7"/>
        <v>0</v>
      </c>
      <c r="Q39" s="570"/>
      <c r="R39" s="570"/>
      <c r="S39" s="570"/>
      <c r="T39" s="570"/>
      <c r="U39" s="98">
        <f t="shared" ref="U39:U43" si="9">ROUND(ROUND(ROUND(P39*$C$8,4)*($H$8),2)*(MAX($H$9,1)),2)</f>
        <v>0</v>
      </c>
    </row>
    <row r="40" spans="1:21" hidden="1" x14ac:dyDescent="0.25">
      <c r="A40" s="544" t="s">
        <v>47</v>
      </c>
      <c r="B40" s="544"/>
      <c r="C40" s="150">
        <v>0</v>
      </c>
      <c r="D40" s="150">
        <v>0</v>
      </c>
      <c r="E40" s="116">
        <f t="shared" si="6"/>
        <v>0</v>
      </c>
      <c r="F40" s="151"/>
      <c r="G40" s="151"/>
      <c r="H40" s="151"/>
      <c r="I40" s="101">
        <f t="shared" si="8"/>
        <v>0</v>
      </c>
      <c r="N40" s="607" t="s">
        <v>47</v>
      </c>
      <c r="O40" s="607"/>
      <c r="P40" s="570">
        <f t="shared" si="7"/>
        <v>0</v>
      </c>
      <c r="Q40" s="570"/>
      <c r="R40" s="570"/>
      <c r="S40" s="570"/>
      <c r="T40" s="570"/>
      <c r="U40" s="98">
        <f t="shared" si="9"/>
        <v>0</v>
      </c>
    </row>
    <row r="41" spans="1:21" hidden="1" x14ac:dyDescent="0.25">
      <c r="A41" s="539" t="s">
        <v>48</v>
      </c>
      <c r="B41" s="539"/>
      <c r="C41" s="150">
        <v>0</v>
      </c>
      <c r="D41" s="150">
        <v>0</v>
      </c>
      <c r="E41" s="116">
        <f t="shared" si="6"/>
        <v>0</v>
      </c>
      <c r="F41" s="151"/>
      <c r="G41" s="151"/>
      <c r="H41" s="151"/>
      <c r="I41" s="101">
        <f t="shared" si="8"/>
        <v>0</v>
      </c>
      <c r="N41" s="564" t="s">
        <v>48</v>
      </c>
      <c r="O41" s="564"/>
      <c r="P41" s="570">
        <f t="shared" si="7"/>
        <v>0</v>
      </c>
      <c r="Q41" s="570"/>
      <c r="R41" s="570"/>
      <c r="S41" s="570"/>
      <c r="T41" s="570"/>
      <c r="U41" s="98">
        <f t="shared" si="9"/>
        <v>0</v>
      </c>
    </row>
    <row r="42" spans="1:21" hidden="1" x14ac:dyDescent="0.25">
      <c r="A42" s="539" t="s">
        <v>49</v>
      </c>
      <c r="B42" s="539"/>
      <c r="C42" s="150">
        <v>0</v>
      </c>
      <c r="D42" s="150">
        <v>0</v>
      </c>
      <c r="E42" s="116">
        <f t="shared" si="6"/>
        <v>0</v>
      </c>
      <c r="F42" s="151"/>
      <c r="G42" s="151"/>
      <c r="H42" s="151"/>
      <c r="I42" s="101">
        <f t="shared" si="8"/>
        <v>0</v>
      </c>
      <c r="N42" s="564" t="s">
        <v>49</v>
      </c>
      <c r="O42" s="564"/>
      <c r="P42" s="570">
        <f t="shared" si="7"/>
        <v>0</v>
      </c>
      <c r="Q42" s="570"/>
      <c r="R42" s="570"/>
      <c r="S42" s="570"/>
      <c r="T42" s="570"/>
      <c r="U42" s="98">
        <f t="shared" si="9"/>
        <v>0</v>
      </c>
    </row>
    <row r="43" spans="1:21" hidden="1" x14ac:dyDescent="0.25">
      <c r="A43" s="539" t="s">
        <v>41</v>
      </c>
      <c r="B43" s="539"/>
      <c r="C43" s="149">
        <v>0</v>
      </c>
      <c r="D43" s="149">
        <v>0</v>
      </c>
      <c r="E43" s="154">
        <f t="shared" si="6"/>
        <v>0</v>
      </c>
      <c r="F43" s="151"/>
      <c r="G43" s="151"/>
      <c r="H43" s="151"/>
      <c r="I43" s="94">
        <f t="shared" si="8"/>
        <v>0</v>
      </c>
      <c r="N43" s="569" t="s">
        <v>41</v>
      </c>
      <c r="O43" s="569"/>
      <c r="P43" s="570">
        <f t="shared" si="7"/>
        <v>0</v>
      </c>
      <c r="Q43" s="570"/>
      <c r="R43" s="570"/>
      <c r="S43" s="570"/>
      <c r="T43" s="5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2" t="s">
        <v>43</v>
      </c>
      <c r="O44" s="562"/>
      <c r="P44" s="562"/>
      <c r="Q44" s="562"/>
      <c r="R44" s="33">
        <f>SUM(P38:R43)</f>
        <v>0</v>
      </c>
      <c r="S44" s="571" t="s">
        <v>51</v>
      </c>
      <c r="T44" s="57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654.81260000000009</v>
      </c>
      <c r="F46" s="34"/>
      <c r="G46" s="106"/>
      <c r="H46" s="107" t="s">
        <v>98</v>
      </c>
      <c r="I46" s="94">
        <f>SUM(I44,I30)</f>
        <v>3514317.7199999997</v>
      </c>
      <c r="N46" s="562" t="s">
        <v>44</v>
      </c>
      <c r="O46" s="562"/>
      <c r="P46" s="562"/>
      <c r="Q46" s="562"/>
      <c r="R46" s="35">
        <f>R44+T30</f>
        <v>0</v>
      </c>
      <c r="S46" s="571" t="s">
        <v>42</v>
      </c>
      <c r="T46" s="57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3514317.7199999997</v>
      </c>
      <c r="G51" s="109" t="s">
        <v>6</v>
      </c>
      <c r="H51" s="402">
        <v>4.5199999999999997E-2</v>
      </c>
      <c r="I51" s="101">
        <f>ROUND(F51*H51,2)</f>
        <v>158847.16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3514317.7199999997</v>
      </c>
      <c r="G52" s="109" t="s">
        <v>6</v>
      </c>
      <c r="H52" s="402">
        <v>1.41E-2</v>
      </c>
      <c r="I52" s="101">
        <f>ROUND(F52*H52,2)</f>
        <v>49551.88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208399.04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2023</v>
      </c>
      <c r="D55" s="334" t="str">
        <f>'1461'!D55</f>
        <v>Feb 2024</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4" t="s">
        <v>2</v>
      </c>
      <c r="Q56" s="574"/>
      <c r="R56" s="460" t="s">
        <v>445</v>
      </c>
      <c r="S56" s="451" t="s">
        <v>440</v>
      </c>
      <c r="T56" s="471" t="s">
        <v>441</v>
      </c>
      <c r="U56" s="460"/>
      <c r="V56" s="459"/>
    </row>
    <row r="57" spans="1:22" x14ac:dyDescent="0.25">
      <c r="A57" s="549" t="s">
        <v>443</v>
      </c>
      <c r="B57" s="549"/>
      <c r="C57" s="143">
        <v>18.5</v>
      </c>
      <c r="D57" s="143">
        <v>0</v>
      </c>
      <c r="E57" s="116">
        <f>IF(D$66=0,C57*2,C57+D57)</f>
        <v>37</v>
      </c>
      <c r="F57" s="444" t="s">
        <v>435</v>
      </c>
      <c r="G57" s="444">
        <v>251</v>
      </c>
      <c r="H57" s="458">
        <f>'1461'!H57</f>
        <v>1047</v>
      </c>
      <c r="I57" s="101">
        <f>ROUND(E57*H57,2)</f>
        <v>38739</v>
      </c>
      <c r="N57" s="572" t="s">
        <v>443</v>
      </c>
      <c r="O57" s="572"/>
      <c r="P57" s="575"/>
      <c r="Q57" s="575"/>
      <c r="R57" s="450" t="s">
        <v>435</v>
      </c>
      <c r="S57" s="450">
        <v>251</v>
      </c>
      <c r="T57" s="461">
        <f>H57</f>
        <v>1047</v>
      </c>
      <c r="U57" s="475">
        <f>ROUND(P57*T57,2)</f>
        <v>0</v>
      </c>
      <c r="V57" s="425"/>
    </row>
    <row r="58" spans="1:22" x14ac:dyDescent="0.25">
      <c r="A58" s="550"/>
      <c r="B58" s="550"/>
      <c r="C58" s="143">
        <v>2</v>
      </c>
      <c r="D58" s="143">
        <v>0</v>
      </c>
      <c r="E58" s="116">
        <f>IF(D$66=0,C58*2,C58+D58)</f>
        <v>4</v>
      </c>
      <c r="F58" s="444" t="s">
        <v>435</v>
      </c>
      <c r="G58" s="444">
        <v>252</v>
      </c>
      <c r="H58" s="458">
        <f>'1461'!H58</f>
        <v>3380</v>
      </c>
      <c r="I58" s="101">
        <f t="shared" ref="I58:I65" si="10">ROUND(E58*H58,2)</f>
        <v>13520</v>
      </c>
      <c r="N58" s="573"/>
      <c r="O58" s="573"/>
      <c r="P58" s="576"/>
      <c r="Q58" s="576"/>
      <c r="R58" s="450" t="s">
        <v>435</v>
      </c>
      <c r="S58" s="450">
        <v>252</v>
      </c>
      <c r="T58" s="461">
        <f t="shared" ref="T58:T65" si="11">H58</f>
        <v>3380</v>
      </c>
      <c r="U58" s="475">
        <f t="shared" ref="U58:U65" si="12">ROUND(P58*T58,2)</f>
        <v>0</v>
      </c>
      <c r="V58" s="425"/>
    </row>
    <row r="59" spans="1:22" x14ac:dyDescent="0.25">
      <c r="A59" s="550"/>
      <c r="B59" s="550"/>
      <c r="C59" s="143">
        <v>0</v>
      </c>
      <c r="D59" s="143">
        <v>0</v>
      </c>
      <c r="E59" s="116">
        <f>IF(D$66=0,C59*2,C59+D59)</f>
        <v>0</v>
      </c>
      <c r="F59" s="444" t="s">
        <v>435</v>
      </c>
      <c r="G59" s="444">
        <v>253</v>
      </c>
      <c r="H59" s="458">
        <f>'1461'!H59</f>
        <v>6896</v>
      </c>
      <c r="I59" s="101">
        <f t="shared" si="10"/>
        <v>0</v>
      </c>
      <c r="N59" s="573"/>
      <c r="O59" s="573"/>
      <c r="P59" s="576"/>
      <c r="Q59" s="576"/>
      <c r="R59" s="450" t="s">
        <v>435</v>
      </c>
      <c r="S59" s="450">
        <v>253</v>
      </c>
      <c r="T59" s="461">
        <f t="shared" si="11"/>
        <v>6896</v>
      </c>
      <c r="U59" s="475">
        <f t="shared" si="12"/>
        <v>0</v>
      </c>
      <c r="V59" s="425"/>
    </row>
    <row r="60" spans="1:22" x14ac:dyDescent="0.25">
      <c r="A60" s="550"/>
      <c r="B60" s="550"/>
      <c r="C60" s="143">
        <v>19</v>
      </c>
      <c r="D60" s="143">
        <v>0</v>
      </c>
      <c r="E60" s="116">
        <f>IF(D$66=0,C60*2,C60+D60)</f>
        <v>38</v>
      </c>
      <c r="F60" s="445" t="s">
        <v>13</v>
      </c>
      <c r="G60" s="444">
        <v>251</v>
      </c>
      <c r="H60" s="458">
        <f>'1461'!H60</f>
        <v>1173</v>
      </c>
      <c r="I60" s="101">
        <f t="shared" si="10"/>
        <v>44574</v>
      </c>
      <c r="N60" s="573"/>
      <c r="O60" s="573"/>
      <c r="P60" s="576"/>
      <c r="Q60" s="576"/>
      <c r="R60" s="40" t="s">
        <v>13</v>
      </c>
      <c r="S60" s="450">
        <v>251</v>
      </c>
      <c r="T60" s="461">
        <f t="shared" si="11"/>
        <v>1173</v>
      </c>
      <c r="U60" s="475">
        <f t="shared" si="12"/>
        <v>0</v>
      </c>
      <c r="V60" s="425"/>
    </row>
    <row r="61" spans="1:22" x14ac:dyDescent="0.25">
      <c r="A61" s="550"/>
      <c r="B61" s="550"/>
      <c r="C61" s="143">
        <v>1</v>
      </c>
      <c r="D61" s="143">
        <v>0</v>
      </c>
      <c r="E61" s="116">
        <f>IF(D$66=0,C61*2,C61+D61)</f>
        <v>2</v>
      </c>
      <c r="F61" s="445" t="s">
        <v>13</v>
      </c>
      <c r="G61" s="444">
        <v>252</v>
      </c>
      <c r="H61" s="458">
        <f>'1461'!H61</f>
        <v>3506</v>
      </c>
      <c r="I61" s="101">
        <f t="shared" si="10"/>
        <v>7012</v>
      </c>
      <c r="N61" s="573"/>
      <c r="O61" s="573"/>
      <c r="P61" s="576"/>
      <c r="Q61" s="576"/>
      <c r="R61" s="40" t="s">
        <v>13</v>
      </c>
      <c r="S61" s="450">
        <v>252</v>
      </c>
      <c r="T61" s="461">
        <f t="shared" si="11"/>
        <v>3506</v>
      </c>
      <c r="U61" s="475">
        <f t="shared" si="12"/>
        <v>0</v>
      </c>
      <c r="V61" s="425"/>
    </row>
    <row r="62" spans="1:22" x14ac:dyDescent="0.25">
      <c r="A62" s="550"/>
      <c r="B62" s="550"/>
      <c r="C62" s="143">
        <v>0</v>
      </c>
      <c r="D62" s="143">
        <v>0</v>
      </c>
      <c r="E62" s="116">
        <f t="shared" ref="E62:E65" si="13">IF(D$72=0,C62*2,C62+D62)</f>
        <v>0</v>
      </c>
      <c r="F62" s="445" t="s">
        <v>13</v>
      </c>
      <c r="G62" s="444">
        <v>253</v>
      </c>
      <c r="H62" s="458">
        <f>'1461'!H62</f>
        <v>7023</v>
      </c>
      <c r="I62" s="101">
        <f t="shared" si="10"/>
        <v>0</v>
      </c>
      <c r="N62" s="573"/>
      <c r="O62" s="573"/>
      <c r="P62" s="576"/>
      <c r="Q62" s="576"/>
      <c r="R62" s="40" t="s">
        <v>13</v>
      </c>
      <c r="S62" s="450">
        <v>253</v>
      </c>
      <c r="T62" s="461">
        <f t="shared" si="11"/>
        <v>7023</v>
      </c>
      <c r="U62" s="475">
        <f t="shared" si="12"/>
        <v>0</v>
      </c>
      <c r="V62" s="425"/>
    </row>
    <row r="63" spans="1:22" x14ac:dyDescent="0.25">
      <c r="A63" s="550"/>
      <c r="B63" s="550"/>
      <c r="C63" s="143">
        <v>0</v>
      </c>
      <c r="D63" s="143">
        <v>0</v>
      </c>
      <c r="E63" s="116">
        <f t="shared" si="13"/>
        <v>0</v>
      </c>
      <c r="F63" s="445" t="s">
        <v>14</v>
      </c>
      <c r="G63" s="444">
        <v>251</v>
      </c>
      <c r="H63" s="458">
        <f>'1461'!H63</f>
        <v>835</v>
      </c>
      <c r="I63" s="101">
        <f t="shared" si="10"/>
        <v>0</v>
      </c>
      <c r="N63" s="573"/>
      <c r="O63" s="573"/>
      <c r="P63" s="576"/>
      <c r="Q63" s="576"/>
      <c r="R63" s="40" t="s">
        <v>14</v>
      </c>
      <c r="S63" s="450">
        <v>251</v>
      </c>
      <c r="T63" s="461">
        <f t="shared" si="11"/>
        <v>835</v>
      </c>
      <c r="U63" s="475">
        <f t="shared" si="12"/>
        <v>0</v>
      </c>
      <c r="V63" s="425"/>
    </row>
    <row r="64" spans="1:22" x14ac:dyDescent="0.25">
      <c r="A64" s="550"/>
      <c r="B64" s="550"/>
      <c r="C64" s="143">
        <v>0</v>
      </c>
      <c r="D64" s="143">
        <v>0</v>
      </c>
      <c r="E64" s="116">
        <f t="shared" si="13"/>
        <v>0</v>
      </c>
      <c r="F64" s="445" t="s">
        <v>14</v>
      </c>
      <c r="G64" s="444">
        <v>252</v>
      </c>
      <c r="H64" s="458">
        <f>'1461'!H64</f>
        <v>3168</v>
      </c>
      <c r="I64" s="101">
        <f t="shared" si="10"/>
        <v>0</v>
      </c>
      <c r="N64" s="573"/>
      <c r="O64" s="573"/>
      <c r="P64" s="576"/>
      <c r="Q64" s="576"/>
      <c r="R64" s="40" t="s">
        <v>14</v>
      </c>
      <c r="S64" s="450">
        <v>252</v>
      </c>
      <c r="T64" s="461">
        <f t="shared" si="11"/>
        <v>3168</v>
      </c>
      <c r="U64" s="475">
        <f t="shared" si="12"/>
        <v>0</v>
      </c>
      <c r="V64" s="425"/>
    </row>
    <row r="65" spans="1:22" ht="16.5" thickBot="1" x14ac:dyDescent="0.3">
      <c r="A65" s="550"/>
      <c r="B65" s="550"/>
      <c r="C65" s="143">
        <v>0</v>
      </c>
      <c r="D65" s="143">
        <v>0</v>
      </c>
      <c r="E65" s="116">
        <f t="shared" si="13"/>
        <v>0</v>
      </c>
      <c r="F65" s="445" t="s">
        <v>14</v>
      </c>
      <c r="G65" s="444">
        <v>253</v>
      </c>
      <c r="H65" s="458">
        <f>'1461'!H65</f>
        <v>6685</v>
      </c>
      <c r="I65" s="101">
        <f t="shared" si="10"/>
        <v>0</v>
      </c>
      <c r="N65" s="573"/>
      <c r="O65" s="573"/>
      <c r="P65" s="577"/>
      <c r="Q65" s="577"/>
      <c r="R65" s="40" t="s">
        <v>14</v>
      </c>
      <c r="S65" s="450">
        <v>253</v>
      </c>
      <c r="T65" s="461">
        <f t="shared" si="11"/>
        <v>6685</v>
      </c>
      <c r="U65" s="476">
        <f t="shared" si="12"/>
        <v>0</v>
      </c>
      <c r="V65" s="425"/>
    </row>
    <row r="66" spans="1:22" ht="16.5" thickBot="1" x14ac:dyDescent="0.3">
      <c r="A66" s="441"/>
      <c r="C66" s="97">
        <f>SUM(C57:C65)</f>
        <v>40.5</v>
      </c>
      <c r="D66" s="97">
        <f>SUM(D57:D65)</f>
        <v>0</v>
      </c>
      <c r="E66" s="97">
        <f>SUM(E57:E65)</f>
        <v>81</v>
      </c>
      <c r="F66" s="551" t="s">
        <v>444</v>
      </c>
      <c r="G66" s="551"/>
      <c r="H66" s="551"/>
      <c r="I66" s="97">
        <f>SUM(I57:I65)</f>
        <v>103845</v>
      </c>
      <c r="N66" s="447"/>
      <c r="O66" s="51"/>
      <c r="P66" s="561">
        <f>SUM(P57:P65)</f>
        <v>0</v>
      </c>
      <c r="Q66" s="561"/>
      <c r="R66" s="562" t="s">
        <v>444</v>
      </c>
      <c r="S66" s="562"/>
      <c r="T66" s="562"/>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5" t="s">
        <v>399</v>
      </c>
      <c r="B69" s="539"/>
      <c r="C69" s="112">
        <f>E30</f>
        <v>591.00000000000011</v>
      </c>
      <c r="D69" s="526" t="s">
        <v>410</v>
      </c>
      <c r="E69" s="526"/>
      <c r="F69" s="526"/>
      <c r="G69" s="526"/>
      <c r="H69" s="301">
        <f>'1461'!H69</f>
        <v>203305.63</v>
      </c>
      <c r="I69" s="113"/>
      <c r="N69" s="566" t="s">
        <v>403</v>
      </c>
      <c r="O69" s="564"/>
      <c r="P69" s="41">
        <f>P30</f>
        <v>0</v>
      </c>
      <c r="Q69" s="567" t="s">
        <v>405</v>
      </c>
      <c r="R69" s="568"/>
      <c r="S69" s="568"/>
      <c r="T69" s="563">
        <f>H69</f>
        <v>203305.63</v>
      </c>
      <c r="U69" s="563"/>
    </row>
    <row r="70" spans="1:22" x14ac:dyDescent="0.25">
      <c r="B70" s="69"/>
      <c r="G70" s="42" t="s">
        <v>12</v>
      </c>
      <c r="H70" s="114">
        <f>ROUND(C69/H69,6)</f>
        <v>2.9069999999999999E-3</v>
      </c>
      <c r="I70" s="115"/>
      <c r="N70" s="564"/>
      <c r="O70" s="564"/>
      <c r="P70" s="564"/>
      <c r="Q70" s="564"/>
      <c r="R70" s="564"/>
      <c r="S70" s="564"/>
      <c r="T70" s="565">
        <f>ROUND(P69/T69,6)</f>
        <v>0</v>
      </c>
      <c r="U70" s="565"/>
    </row>
    <row r="71" spans="1:22" x14ac:dyDescent="0.25">
      <c r="A71" s="443" t="s">
        <v>447</v>
      </c>
      <c r="N71" s="454" t="s">
        <v>455</v>
      </c>
      <c r="O71" s="51"/>
      <c r="P71" s="51"/>
      <c r="Q71" s="51"/>
      <c r="R71" s="51"/>
      <c r="S71" s="51"/>
      <c r="T71" s="51"/>
      <c r="U71" s="51"/>
    </row>
    <row r="72" spans="1:22" x14ac:dyDescent="0.25">
      <c r="A72" s="545" t="s">
        <v>400</v>
      </c>
      <c r="B72" s="539"/>
      <c r="C72" s="112">
        <f>H30</f>
        <v>654.81260000000009</v>
      </c>
      <c r="D72" s="526" t="s">
        <v>411</v>
      </c>
      <c r="E72" s="526"/>
      <c r="F72" s="526"/>
      <c r="G72" s="526"/>
      <c r="H72" s="302">
        <f>'1461'!H72</f>
        <v>227540.36</v>
      </c>
      <c r="I72" s="116"/>
      <c r="N72" s="566" t="s">
        <v>404</v>
      </c>
      <c r="O72" s="564"/>
      <c r="P72" s="41">
        <f>T30</f>
        <v>0</v>
      </c>
      <c r="Q72" s="567" t="s">
        <v>406</v>
      </c>
      <c r="R72" s="568"/>
      <c r="S72" s="568"/>
      <c r="T72" s="563">
        <f>H72</f>
        <v>227540.36</v>
      </c>
      <c r="U72" s="563"/>
    </row>
    <row r="73" spans="1:22" x14ac:dyDescent="0.25">
      <c r="G73" s="42" t="s">
        <v>12</v>
      </c>
      <c r="H73" s="114">
        <f>ROUND(C72/H72,6)</f>
        <v>2.8779999999999999E-3</v>
      </c>
      <c r="I73" s="114"/>
      <c r="N73" s="564"/>
      <c r="O73" s="564"/>
      <c r="P73" s="564"/>
      <c r="Q73" s="564"/>
      <c r="R73" s="564"/>
      <c r="S73" s="564"/>
      <c r="T73" s="565">
        <f>ROUND(P72/T72,6)</f>
        <v>0</v>
      </c>
      <c r="U73" s="565"/>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5" t="s">
        <v>401</v>
      </c>
      <c r="B75" s="539"/>
      <c r="C75" s="112">
        <f>E30</f>
        <v>591.00000000000011</v>
      </c>
      <c r="D75" s="518" t="s">
        <v>412</v>
      </c>
      <c r="E75" s="518"/>
      <c r="F75" s="518"/>
      <c r="G75" s="518"/>
      <c r="H75" s="301">
        <f>'1461'!H75</f>
        <v>186907.73</v>
      </c>
      <c r="I75" s="113"/>
      <c r="N75" s="566" t="s">
        <v>402</v>
      </c>
      <c r="O75" s="564"/>
      <c r="P75" s="41">
        <f>P30</f>
        <v>0</v>
      </c>
      <c r="Q75" s="597" t="s">
        <v>407</v>
      </c>
      <c r="R75" s="598"/>
      <c r="S75" s="598"/>
      <c r="T75" s="563">
        <f>H75</f>
        <v>186907.73</v>
      </c>
      <c r="U75" s="563"/>
    </row>
    <row r="76" spans="1:22" x14ac:dyDescent="0.25">
      <c r="B76" s="69"/>
      <c r="G76" s="42" t="s">
        <v>12</v>
      </c>
      <c r="H76" s="114">
        <f>ROUND(C75/H75,6)</f>
        <v>3.1619999999999999E-3</v>
      </c>
      <c r="I76" s="115"/>
      <c r="N76" s="564"/>
      <c r="O76" s="564"/>
      <c r="P76" s="564"/>
      <c r="Q76" s="564"/>
      <c r="R76" s="564"/>
      <c r="S76" s="564"/>
      <c r="T76" s="565">
        <f>ROUND(P75/T75,6)</f>
        <v>0</v>
      </c>
      <c r="U76" s="565"/>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5" t="s">
        <v>401</v>
      </c>
      <c r="B78" s="539"/>
      <c r="C78" s="112">
        <f>E30</f>
        <v>591.00000000000011</v>
      </c>
      <c r="D78" s="546" t="s">
        <v>413</v>
      </c>
      <c r="E78" s="546"/>
      <c r="F78" s="546"/>
      <c r="G78" s="546"/>
      <c r="H78" s="301">
        <f>'1461'!H78</f>
        <v>203080.55</v>
      </c>
      <c r="I78" s="113"/>
      <c r="N78" s="566" t="s">
        <v>402</v>
      </c>
      <c r="O78" s="564"/>
      <c r="P78" s="41">
        <f>P30</f>
        <v>0</v>
      </c>
      <c r="Q78" s="595" t="s">
        <v>408</v>
      </c>
      <c r="R78" s="596"/>
      <c r="S78" s="596"/>
      <c r="T78" s="563">
        <f>H78</f>
        <v>203080.55</v>
      </c>
      <c r="U78" s="563"/>
    </row>
    <row r="79" spans="1:22" x14ac:dyDescent="0.25">
      <c r="B79" s="69"/>
      <c r="G79" s="42" t="s">
        <v>12</v>
      </c>
      <c r="H79" s="114">
        <f>ROUND(C78/H78,6)</f>
        <v>2.9099999999999998E-3</v>
      </c>
      <c r="I79" s="115"/>
      <c r="N79" s="564"/>
      <c r="O79" s="564"/>
      <c r="P79" s="564"/>
      <c r="Q79" s="564"/>
      <c r="R79" s="564"/>
      <c r="S79" s="564"/>
      <c r="T79" s="565">
        <f>ROUND(P78/T78,6)</f>
        <v>0</v>
      </c>
      <c r="U79" s="565"/>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5" t="s">
        <v>409</v>
      </c>
      <c r="B81" s="539"/>
      <c r="C81" s="112">
        <f>E30</f>
        <v>591.00000000000011</v>
      </c>
      <c r="D81" s="518" t="s">
        <v>414</v>
      </c>
      <c r="E81" s="518"/>
      <c r="F81" s="518"/>
      <c r="G81" s="518"/>
      <c r="H81" s="301">
        <f>'1461'!H81</f>
        <v>186682.65</v>
      </c>
      <c r="I81" s="113"/>
      <c r="N81" s="566" t="s">
        <v>415</v>
      </c>
      <c r="O81" s="564"/>
      <c r="P81" s="41">
        <f>P30</f>
        <v>0</v>
      </c>
      <c r="Q81" s="597" t="s">
        <v>416</v>
      </c>
      <c r="R81" s="598"/>
      <c r="S81" s="598"/>
      <c r="T81" s="563">
        <f>H81</f>
        <v>186682.65</v>
      </c>
      <c r="U81" s="563"/>
    </row>
    <row r="82" spans="1:21" x14ac:dyDescent="0.25">
      <c r="B82" s="69"/>
      <c r="G82" s="42" t="s">
        <v>12</v>
      </c>
      <c r="H82" s="114">
        <f>ROUND(C81/H81,6)</f>
        <v>3.166E-3</v>
      </c>
      <c r="I82" s="115"/>
      <c r="N82" s="564"/>
      <c r="O82" s="564"/>
      <c r="P82" s="564"/>
      <c r="Q82" s="564"/>
      <c r="R82" s="564"/>
      <c r="S82" s="564"/>
      <c r="T82" s="565">
        <f>ROUND(P81/T81,6)</f>
        <v>0</v>
      </c>
      <c r="U82" s="565"/>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2.9099999999999998E-3</v>
      </c>
      <c r="I85" s="101">
        <f>ROUND(F85*H85,2)</f>
        <v>129976.71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8" t="s">
        <v>71</v>
      </c>
      <c r="B87" s="539"/>
      <c r="C87" s="539"/>
      <c r="D87" s="69"/>
      <c r="E87" s="43"/>
      <c r="F87" s="117"/>
      <c r="G87" s="37"/>
      <c r="H87" s="423"/>
      <c r="I87" s="101"/>
      <c r="N87" s="566" t="s">
        <v>459</v>
      </c>
      <c r="O87" s="564"/>
      <c r="P87" s="564"/>
      <c r="Q87" s="51"/>
      <c r="R87" s="421"/>
      <c r="S87" s="51"/>
      <c r="T87" s="38"/>
      <c r="U87" s="479"/>
    </row>
    <row r="88" spans="1:21" x14ac:dyDescent="0.25">
      <c r="A88" s="548" t="s">
        <v>99</v>
      </c>
      <c r="B88" s="539"/>
      <c r="C88" s="539"/>
      <c r="D88" s="69"/>
      <c r="E88" s="43" t="s">
        <v>3</v>
      </c>
      <c r="F88" s="303">
        <f>'1461'!F88</f>
        <v>0</v>
      </c>
      <c r="G88" s="37" t="s">
        <v>6</v>
      </c>
      <c r="H88" s="423">
        <f>H70</f>
        <v>2.9069999999999999E-3</v>
      </c>
      <c r="I88" s="101">
        <f>ROUND(F88*H88,2)</f>
        <v>0</v>
      </c>
      <c r="N88" s="599" t="s">
        <v>99</v>
      </c>
      <c r="O88" s="564"/>
      <c r="P88" s="564"/>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3.166E-3</v>
      </c>
      <c r="I90" s="101">
        <f>ROUND(F90*H90,2)</f>
        <v>51184.89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3.1619999999999999E-3</v>
      </c>
      <c r="I92" s="101">
        <f t="shared" ref="I92:I96" si="14">ROUND(F92*H92,2)</f>
        <v>31746.79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5" t="s">
        <v>418</v>
      </c>
      <c r="B94" s="539"/>
      <c r="C94" s="539"/>
      <c r="D94" s="69"/>
      <c r="E94" s="43" t="s">
        <v>4</v>
      </c>
      <c r="F94" s="303">
        <f>'1461'!F94</f>
        <v>238997674</v>
      </c>
      <c r="G94" s="37" t="s">
        <v>6</v>
      </c>
      <c r="H94" s="423">
        <f>H73</f>
        <v>2.8779999999999999E-3</v>
      </c>
      <c r="I94" s="101">
        <f t="shared" si="14"/>
        <v>687835.31</v>
      </c>
      <c r="N94" s="564" t="s">
        <v>418</v>
      </c>
      <c r="O94" s="564"/>
      <c r="P94" s="564"/>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5" t="s">
        <v>419</v>
      </c>
      <c r="B96" s="539"/>
      <c r="C96" s="539"/>
      <c r="D96" s="69"/>
      <c r="E96" s="43" t="s">
        <v>4</v>
      </c>
      <c r="F96" s="303">
        <f>'1461'!F96</f>
        <v>-1600047</v>
      </c>
      <c r="G96" s="37" t="s">
        <v>6</v>
      </c>
      <c r="H96" s="423">
        <f>H73</f>
        <v>2.8779999999999999E-3</v>
      </c>
      <c r="I96" s="101">
        <f t="shared" si="14"/>
        <v>-4604.9399999999996</v>
      </c>
      <c r="N96" s="566" t="s">
        <v>419</v>
      </c>
      <c r="O96" s="564"/>
      <c r="P96" s="564"/>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4" t="s">
        <v>60</v>
      </c>
      <c r="D99" s="524"/>
      <c r="E99" s="69"/>
      <c r="F99" s="39" t="s">
        <v>28</v>
      </c>
      <c r="G99" s="69"/>
      <c r="H99" s="69"/>
      <c r="I99" s="69"/>
      <c r="N99" s="45"/>
      <c r="O99" s="45"/>
      <c r="P99" s="45"/>
      <c r="Q99" s="45"/>
      <c r="R99" s="45"/>
      <c r="S99" s="45"/>
      <c r="T99" s="45"/>
      <c r="U99" s="45"/>
    </row>
    <row r="100" spans="1:21" x14ac:dyDescent="0.25">
      <c r="A100" s="3"/>
      <c r="B100" s="118"/>
      <c r="C100" s="525" t="s">
        <v>101</v>
      </c>
      <c r="D100" s="525"/>
      <c r="E100" s="424" t="s">
        <v>422</v>
      </c>
      <c r="F100" s="120" t="s">
        <v>106</v>
      </c>
      <c r="G100" s="121"/>
      <c r="H100" s="121"/>
      <c r="I100" s="121"/>
      <c r="N100" s="592" t="s">
        <v>35</v>
      </c>
      <c r="O100" s="592"/>
      <c r="P100" s="633" t="s">
        <v>424</v>
      </c>
      <c r="Q100" s="594"/>
      <c r="R100" s="563" t="s">
        <v>31</v>
      </c>
      <c r="S100" s="563"/>
      <c r="T100" s="563"/>
      <c r="U100" s="563"/>
    </row>
    <row r="101" spans="1:21" x14ac:dyDescent="0.25">
      <c r="A101" s="26"/>
      <c r="B101" s="52" t="s">
        <v>105</v>
      </c>
      <c r="C101" s="557">
        <f>H14+H15+H20+H23+H26</f>
        <v>467.596</v>
      </c>
      <c r="D101" s="557"/>
      <c r="E101" s="46">
        <f>H8</f>
        <v>1.0442</v>
      </c>
      <c r="F101" s="304">
        <f>'1461'!F101</f>
        <v>947.59</v>
      </c>
      <c r="G101" s="39" t="s">
        <v>12</v>
      </c>
      <c r="H101" s="101">
        <f>ROUND(C101*E101*F101,2)</f>
        <v>462673.84</v>
      </c>
      <c r="I101" s="104"/>
      <c r="N101" s="28" t="s">
        <v>17</v>
      </c>
      <c r="O101" s="47">
        <f>T14+T15+T20+T23+T26</f>
        <v>0</v>
      </c>
      <c r="P101" s="587">
        <f>T8</f>
        <v>1.0442</v>
      </c>
      <c r="Q101" s="587"/>
      <c r="R101" s="48">
        <f>F101</f>
        <v>947.59</v>
      </c>
      <c r="S101" s="40" t="s">
        <v>12</v>
      </c>
      <c r="T101" s="480">
        <f>ROUND(O101*P101*R101,2)</f>
        <v>0</v>
      </c>
      <c r="U101" s="102"/>
    </row>
    <row r="102" spans="1:21" x14ac:dyDescent="0.25">
      <c r="A102" s="49"/>
      <c r="B102" s="49" t="s">
        <v>104</v>
      </c>
      <c r="C102" s="557">
        <f>H16+H17+H21+H24+H27</f>
        <v>187.21660000000003</v>
      </c>
      <c r="D102" s="557"/>
      <c r="E102" s="46">
        <f>H8</f>
        <v>1.0442</v>
      </c>
      <c r="F102" s="304">
        <f>'1461'!F102</f>
        <v>904.74</v>
      </c>
      <c r="G102" s="39" t="s">
        <v>12</v>
      </c>
      <c r="H102" s="101">
        <f>ROUND(C102*E102*F102,2)</f>
        <v>176869.05</v>
      </c>
      <c r="N102" s="50" t="s">
        <v>13</v>
      </c>
      <c r="O102" s="47">
        <f>T16+T17+T21+T24+T27</f>
        <v>0</v>
      </c>
      <c r="P102" s="587">
        <f>T8</f>
        <v>1.0442</v>
      </c>
      <c r="Q102" s="587"/>
      <c r="R102" s="48">
        <f>F102</f>
        <v>904.74</v>
      </c>
      <c r="S102" s="40" t="s">
        <v>12</v>
      </c>
      <c r="T102" s="480">
        <f>ROUND(O102*P102*R102,2)</f>
        <v>0</v>
      </c>
      <c r="U102" s="51"/>
    </row>
    <row r="103" spans="1:21" ht="16.5" thickBot="1" x14ac:dyDescent="0.3">
      <c r="A103" s="52"/>
      <c r="B103" s="52" t="s">
        <v>103</v>
      </c>
      <c r="C103" s="557">
        <f>H18+H19+H22+H25+H28+H29</f>
        <v>0</v>
      </c>
      <c r="D103" s="557"/>
      <c r="E103" s="46">
        <f>H8</f>
        <v>1.0442</v>
      </c>
      <c r="F103" s="304">
        <f>'1461'!F103</f>
        <v>906.93</v>
      </c>
      <c r="G103" s="39" t="s">
        <v>12</v>
      </c>
      <c r="H103" s="94">
        <f>ROUND(C103*E103*F103,2)</f>
        <v>0</v>
      </c>
      <c r="N103" s="53" t="s">
        <v>14</v>
      </c>
      <c r="O103" s="54">
        <f>T18+T19+T22+T25+T28+T29</f>
        <v>0</v>
      </c>
      <c r="P103" s="587">
        <f>T8</f>
        <v>1.0442</v>
      </c>
      <c r="Q103" s="587"/>
      <c r="R103" s="48">
        <f>F103</f>
        <v>906.93</v>
      </c>
      <c r="S103" s="40" t="s">
        <v>12</v>
      </c>
      <c r="T103" s="480">
        <f>ROUND(O103*P103*R103,2)</f>
        <v>0</v>
      </c>
      <c r="U103" s="51"/>
    </row>
    <row r="104" spans="1:21" ht="16.5" thickBot="1" x14ac:dyDescent="0.3">
      <c r="A104" s="55"/>
      <c r="B104" s="122" t="s">
        <v>102</v>
      </c>
      <c r="C104" s="547">
        <f>SUM(C101:C103)</f>
        <v>654.81259999999997</v>
      </c>
      <c r="D104" s="547"/>
      <c r="E104" s="123"/>
      <c r="F104" s="123"/>
      <c r="G104" s="123"/>
      <c r="H104" s="124" t="s">
        <v>100</v>
      </c>
      <c r="I104" s="101">
        <f>IF(A1=75,0,H103+H102+H101)</f>
        <v>639542.89</v>
      </c>
      <c r="N104" s="56" t="s">
        <v>89</v>
      </c>
      <c r="O104" s="57">
        <f>SUM(O101:O103)</f>
        <v>0</v>
      </c>
      <c r="P104" s="588" t="s">
        <v>16</v>
      </c>
      <c r="Q104" s="589"/>
      <c r="R104" s="589"/>
      <c r="S104" s="589"/>
      <c r="T104" s="589"/>
      <c r="U104" s="474">
        <f>IF(N1=75,0,T103+T102+T101)</f>
        <v>0</v>
      </c>
    </row>
    <row r="105" spans="1:21" ht="16.5" thickTop="1" x14ac:dyDescent="0.25">
      <c r="A105" s="516" t="s">
        <v>65</v>
      </c>
      <c r="B105" s="516"/>
      <c r="C105" s="516"/>
      <c r="D105" s="516"/>
      <c r="E105" s="516"/>
      <c r="F105" s="516"/>
      <c r="G105" s="516"/>
      <c r="H105" s="516"/>
      <c r="I105" s="516"/>
      <c r="N105" s="590" t="s">
        <v>65</v>
      </c>
      <c r="O105" s="590"/>
      <c r="P105" s="590"/>
      <c r="Q105" s="590"/>
      <c r="R105" s="590"/>
      <c r="S105" s="590"/>
      <c r="T105" s="590"/>
      <c r="U105" s="590"/>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7"/>
      <c r="G107" s="517"/>
      <c r="H107" s="517"/>
      <c r="I107" s="517"/>
      <c r="N107" s="566" t="s">
        <v>425</v>
      </c>
      <c r="O107" s="564"/>
      <c r="P107" s="564"/>
      <c r="Q107" s="591"/>
      <c r="R107" s="591"/>
      <c r="S107" s="591"/>
      <c r="T107" s="591"/>
      <c r="U107" s="103"/>
    </row>
    <row r="108" spans="1:21" x14ac:dyDescent="0.25">
      <c r="B108" s="69"/>
      <c r="C108" s="88" t="s">
        <v>478</v>
      </c>
      <c r="D108" s="334" t="s">
        <v>479</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8" t="s">
        <v>376</v>
      </c>
      <c r="B110" s="519"/>
      <c r="C110" s="143">
        <v>203</v>
      </c>
      <c r="D110" s="143">
        <v>0</v>
      </c>
      <c r="E110" s="116">
        <f>C110</f>
        <v>203</v>
      </c>
      <c r="F110" s="126" t="s">
        <v>30</v>
      </c>
      <c r="G110" s="305">
        <f>'1461'!G110</f>
        <v>565</v>
      </c>
      <c r="I110" s="101">
        <f>ROUND(G110*E110,2)</f>
        <v>114695</v>
      </c>
      <c r="N110" s="585" t="s">
        <v>52</v>
      </c>
      <c r="O110" s="585"/>
      <c r="P110" s="586">
        <f>IF(H130=1,E110,0)</f>
        <v>0</v>
      </c>
      <c r="Q110" s="586"/>
      <c r="R110" s="586"/>
      <c r="S110" s="83" t="s">
        <v>30</v>
      </c>
      <c r="T110" s="58">
        <f>G110</f>
        <v>565</v>
      </c>
      <c r="U110" s="474">
        <f>ROUND(T110*P110,2)</f>
        <v>0</v>
      </c>
    </row>
    <row r="111" spans="1:21" x14ac:dyDescent="0.25">
      <c r="A111" s="518" t="s">
        <v>377</v>
      </c>
      <c r="B111" s="519"/>
      <c r="C111" s="143">
        <v>0</v>
      </c>
      <c r="D111" s="143">
        <v>0</v>
      </c>
      <c r="E111" s="116">
        <f>C111</f>
        <v>0</v>
      </c>
      <c r="F111" s="126" t="s">
        <v>30</v>
      </c>
      <c r="G111" s="305">
        <f>'1461'!G111</f>
        <v>1762</v>
      </c>
      <c r="I111" s="101">
        <f>ROUND(G111*E111,2)</f>
        <v>0</v>
      </c>
      <c r="N111" s="585" t="s">
        <v>64</v>
      </c>
      <c r="O111" s="585"/>
      <c r="P111" s="570"/>
      <c r="Q111" s="570"/>
      <c r="R111" s="570"/>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5" t="s">
        <v>426</v>
      </c>
      <c r="B114" s="539"/>
      <c r="C114" s="539"/>
      <c r="D114" s="69"/>
      <c r="E114" s="39" t="s">
        <v>295</v>
      </c>
      <c r="F114" s="524"/>
      <c r="G114" s="524"/>
      <c r="H114" s="524"/>
      <c r="I114" s="524"/>
      <c r="N114" s="566" t="s">
        <v>427</v>
      </c>
      <c r="O114" s="564"/>
      <c r="P114" s="564"/>
      <c r="Q114" s="564"/>
      <c r="R114" s="564"/>
      <c r="S114" s="564"/>
      <c r="T114" s="564"/>
      <c r="U114" s="564"/>
    </row>
    <row r="115" spans="1:21" hidden="1" x14ac:dyDescent="0.25">
      <c r="B115" s="69"/>
      <c r="C115" s="525" t="s">
        <v>66</v>
      </c>
      <c r="D115" s="525"/>
      <c r="E115" s="525"/>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6" t="s">
        <v>109</v>
      </c>
      <c r="G116" s="524"/>
      <c r="H116" s="37" t="s">
        <v>29</v>
      </c>
      <c r="I116" s="37"/>
      <c r="N116" s="45"/>
      <c r="O116" s="45"/>
      <c r="P116" s="45"/>
      <c r="Q116" s="45"/>
      <c r="R116" s="45"/>
      <c r="S116" s="45"/>
      <c r="T116" s="45"/>
      <c r="U116" s="45"/>
    </row>
    <row r="117" spans="1:21" hidden="1" x14ac:dyDescent="0.25">
      <c r="A117" s="525" t="s">
        <v>69</v>
      </c>
      <c r="B117" s="525"/>
      <c r="C117" s="90" t="s">
        <v>2</v>
      </c>
      <c r="D117" s="90" t="s">
        <v>2</v>
      </c>
      <c r="E117" s="59" t="s">
        <v>2</v>
      </c>
      <c r="F117" s="525" t="s">
        <v>28</v>
      </c>
      <c r="G117" s="525"/>
      <c r="H117" s="59" t="s">
        <v>28</v>
      </c>
      <c r="I117" s="59" t="s">
        <v>8</v>
      </c>
      <c r="N117" s="581" t="s">
        <v>53</v>
      </c>
      <c r="O117" s="581"/>
      <c r="P117" s="586" t="s">
        <v>66</v>
      </c>
      <c r="Q117" s="586"/>
      <c r="R117" s="581" t="s">
        <v>54</v>
      </c>
      <c r="S117" s="581"/>
      <c r="T117" s="60" t="s">
        <v>55</v>
      </c>
      <c r="U117" s="60" t="s">
        <v>8</v>
      </c>
    </row>
    <row r="118" spans="1:21" hidden="1" x14ac:dyDescent="0.25">
      <c r="A118" s="522" t="s">
        <v>56</v>
      </c>
      <c r="B118" s="522"/>
      <c r="C118" s="141">
        <v>0</v>
      </c>
      <c r="D118" s="141">
        <v>0</v>
      </c>
      <c r="E118" s="187">
        <f>IF(D30=0,C118*2,C118+D118)</f>
        <v>0</v>
      </c>
      <c r="F118" s="523">
        <v>0</v>
      </c>
      <c r="G118" s="523"/>
      <c r="H118" s="224">
        <f>IF(C118=0,0,125)</f>
        <v>0</v>
      </c>
      <c r="I118" s="101">
        <f>ROUND((H118+F118)*E118,2)</f>
        <v>0</v>
      </c>
      <c r="N118" s="564" t="s">
        <v>56</v>
      </c>
      <c r="O118" s="564"/>
      <c r="P118" s="570">
        <f>IF(H$130=1,C118,0)</f>
        <v>0</v>
      </c>
      <c r="Q118" s="570"/>
      <c r="R118" s="583">
        <f>F118</f>
        <v>0</v>
      </c>
      <c r="S118" s="583"/>
      <c r="T118" s="62">
        <f>H118</f>
        <v>0</v>
      </c>
      <c r="U118" s="96">
        <f>ROUND((T118+R118)*P118,0)</f>
        <v>0</v>
      </c>
    </row>
    <row r="119" spans="1:21" hidden="1" x14ac:dyDescent="0.25">
      <c r="A119" s="542" t="s">
        <v>57</v>
      </c>
      <c r="B119" s="542"/>
      <c r="C119" s="143">
        <v>0</v>
      </c>
      <c r="D119" s="143">
        <v>0</v>
      </c>
      <c r="E119" s="116">
        <f>IF(D31=0,C119*2,C119+D119)</f>
        <v>0</v>
      </c>
      <c r="F119" s="559">
        <f>ROUND(F118/2,2)</f>
        <v>0</v>
      </c>
      <c r="G119" s="559"/>
      <c r="H119" s="224">
        <f>IF(C119=0,0,62.5)</f>
        <v>0</v>
      </c>
      <c r="I119" s="101">
        <f>ROUND((H119+F119)*E119,2)</f>
        <v>0</v>
      </c>
      <c r="N119" s="564" t="s">
        <v>57</v>
      </c>
      <c r="O119" s="564"/>
      <c r="P119" s="570">
        <f>IF(H$130=1,C119,0)</f>
        <v>0</v>
      </c>
      <c r="Q119" s="570"/>
      <c r="R119" s="584">
        <f>ROUND(R118/2,2)</f>
        <v>0</v>
      </c>
      <c r="S119" s="584"/>
      <c r="T119" s="62">
        <f>H119</f>
        <v>0</v>
      </c>
      <c r="U119" s="96">
        <f>ROUND((T119+R119)*P119,0)</f>
        <v>0</v>
      </c>
    </row>
    <row r="120" spans="1:21" ht="16.5" hidden="1" thickBot="1" x14ac:dyDescent="0.3">
      <c r="A120" s="542" t="s">
        <v>58</v>
      </c>
      <c r="B120" s="542"/>
      <c r="C120" s="143">
        <v>0</v>
      </c>
      <c r="D120" s="143">
        <v>0</v>
      </c>
      <c r="E120" s="116">
        <f>IF(D32=0,C120*2,C120+D120)</f>
        <v>0</v>
      </c>
      <c r="F120" s="560"/>
      <c r="G120" s="560"/>
      <c r="H120" s="225">
        <f>IF(H118&gt;0,436,0)</f>
        <v>0</v>
      </c>
      <c r="I120" s="101">
        <f>ROUND(H120*E120,2)</f>
        <v>0</v>
      </c>
      <c r="N120" s="569" t="s">
        <v>58</v>
      </c>
      <c r="O120" s="569"/>
      <c r="P120" s="570">
        <f>IF(H$130=1,C120,0)</f>
        <v>0</v>
      </c>
      <c r="Q120" s="570"/>
      <c r="R120" s="581"/>
      <c r="S120" s="581"/>
      <c r="T120" s="64">
        <f>H120</f>
        <v>0</v>
      </c>
      <c r="U120" s="103">
        <f>ROUND(T120*P120,0)</f>
        <v>0</v>
      </c>
    </row>
    <row r="121" spans="1:21" ht="16.5" hidden="1" thickBot="1" x14ac:dyDescent="0.3">
      <c r="A121" s="524" t="s">
        <v>8</v>
      </c>
      <c r="B121" s="524"/>
      <c r="C121" s="65"/>
      <c r="D121" s="65"/>
      <c r="E121" s="65"/>
      <c r="F121" s="65"/>
      <c r="G121" s="65"/>
      <c r="H121" s="65"/>
      <c r="I121" s="97">
        <f>SUM(I118:I120)</f>
        <v>0</v>
      </c>
      <c r="N121" s="582" t="s">
        <v>8</v>
      </c>
      <c r="O121" s="582"/>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5" t="s">
        <v>428</v>
      </c>
      <c r="B123" s="539"/>
      <c r="C123" s="539"/>
      <c r="D123" s="69"/>
      <c r="E123" s="68" t="s">
        <v>34</v>
      </c>
      <c r="F123" s="558"/>
      <c r="G123" s="558"/>
      <c r="H123" s="558"/>
      <c r="I123" s="154">
        <v>0</v>
      </c>
      <c r="N123" s="566" t="s">
        <v>428</v>
      </c>
      <c r="O123" s="564"/>
      <c r="P123" s="564"/>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51" t="s">
        <v>8</v>
      </c>
      <c r="B125" s="551"/>
      <c r="C125" s="551"/>
      <c r="D125" s="551"/>
      <c r="E125" s="551"/>
      <c r="F125" s="551"/>
      <c r="G125" s="551"/>
      <c r="H125" s="551"/>
      <c r="I125" s="94">
        <f>SUM(I46,I66,I85,I88,I90,I92,I94,I96,I104,I110,I111,I121,I123)</f>
        <v>5268539.3699999992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5060140.3299999991</v>
      </c>
      <c r="N127" s="562" t="s">
        <v>33</v>
      </c>
      <c r="O127" s="562"/>
      <c r="P127" s="562"/>
      <c r="Q127" s="562"/>
      <c r="R127" s="562"/>
      <c r="S127" s="562"/>
      <c r="T127" s="562"/>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5" t="s">
        <v>431</v>
      </c>
      <c r="B129" s="539"/>
      <c r="C129" s="539"/>
      <c r="D129" s="539"/>
      <c r="E129" s="539"/>
      <c r="F129" s="539"/>
      <c r="G129" s="539"/>
      <c r="H129" s="81" t="s">
        <v>326</v>
      </c>
      <c r="I129" s="134"/>
      <c r="N129" s="28"/>
      <c r="O129" s="28"/>
      <c r="P129" s="28"/>
      <c r="Q129" s="28"/>
      <c r="R129" s="28"/>
      <c r="S129" s="28"/>
      <c r="T129" s="28"/>
      <c r="U129" s="138"/>
    </row>
    <row r="130" spans="1:21" x14ac:dyDescent="0.25">
      <c r="A130" s="539" t="s">
        <v>70</v>
      </c>
      <c r="B130" s="539"/>
      <c r="C130" s="539"/>
      <c r="D130" s="539"/>
      <c r="E130" s="539"/>
      <c r="F130" s="539"/>
      <c r="G130" s="539"/>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5060140.3299999991</v>
      </c>
      <c r="I132" s="94">
        <f>ROUND(IF(E30=0,0,IF(E30&gt;250,-(((250/E30)*H132)*IF(G132="H",0.02,0.05)),IF(G132="H",-0.02*H132,-0.05*H132))),2)</f>
        <v>-107024.96000000001</v>
      </c>
      <c r="N132" s="580"/>
      <c r="O132" s="580"/>
      <c r="P132" s="580"/>
      <c r="Q132" s="580"/>
      <c r="R132" s="580"/>
      <c r="S132" s="580"/>
      <c r="T132" s="580"/>
      <c r="U132" s="580"/>
    </row>
    <row r="133" spans="1:21" x14ac:dyDescent="0.25">
      <c r="B133" s="69"/>
      <c r="C133" s="69"/>
      <c r="D133" s="69"/>
      <c r="E133" s="69"/>
      <c r="F133" s="69"/>
      <c r="G133" s="69"/>
      <c r="H133" s="65"/>
      <c r="I133" s="101"/>
      <c r="N133" s="578" t="s">
        <v>7</v>
      </c>
      <c r="O133" s="578"/>
      <c r="P133" s="578"/>
      <c r="Q133" s="578"/>
      <c r="R133" s="578"/>
      <c r="S133" s="578"/>
      <c r="T133" s="578"/>
      <c r="U133" s="578"/>
    </row>
    <row r="134" spans="1:21" x14ac:dyDescent="0.25">
      <c r="A134" s="310" t="s">
        <v>74</v>
      </c>
      <c r="B134" s="311"/>
      <c r="C134" s="311"/>
      <c r="D134" s="311"/>
      <c r="E134" s="311"/>
      <c r="F134" s="311"/>
      <c r="G134" s="311"/>
      <c r="H134" s="312"/>
      <c r="I134" s="313">
        <f>I125+I132</f>
        <v>5161514.4099999992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-881958.48-430423.13-430423.13-430423.13-430423.13-427648.38</f>
        <v>-3031299.3799999994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2130215.0299999998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5</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426043.01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145982.05649999995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9"/>
      <c r="O152" s="579"/>
      <c r="P152" s="579"/>
      <c r="Q152" s="579"/>
      <c r="R152" s="579"/>
      <c r="S152" s="579"/>
      <c r="T152" s="579"/>
      <c r="U152" s="579"/>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2024-02-07T14:58:40Z</cp:lastPrinted>
  <dcterms:created xsi:type="dcterms:W3CDTF">1998-02-12T20:21:54Z</dcterms:created>
  <dcterms:modified xsi:type="dcterms:W3CDTF">2024-02-13T19:03:25Z</dcterms:modified>
</cp:coreProperties>
</file>