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harter Schools\!!FEFP\FY 24 - FEFP Funding\!Payments 2023-24\2023-08 Pmt\"/>
    </mc:Choice>
  </mc:AlternateContent>
  <bookViews>
    <workbookView xWindow="28680" yWindow="-120" windowWidth="29040" windowHeight="15840" tabRatio="759"/>
  </bookViews>
  <sheets>
    <sheet name="Net Payment" sheetId="64" r:id="rId1"/>
    <sheet name="Charter Schools" sheetId="65" r:id="rId2"/>
    <sheet name="Consolidated" sheetId="60" r:id="rId3"/>
    <sheet name="1461" sheetId="7" r:id="rId4"/>
    <sheet name="1571" sheetId="16" r:id="rId5"/>
    <sheet name="2521" sheetId="17" r:id="rId6"/>
    <sheet name="2531" sheetId="18" r:id="rId7"/>
    <sheet name="2791" sheetId="20" r:id="rId8"/>
    <sheet name="2801" sheetId="21" r:id="rId9"/>
    <sheet name="2911" sheetId="25" r:id="rId10"/>
    <sheet name="2941" sheetId="24" r:id="rId11"/>
    <sheet name="3083" sheetId="22" r:id="rId12"/>
    <sheet name="3345" sheetId="26" r:id="rId13"/>
    <sheet name="3381" sheetId="27" r:id="rId14"/>
    <sheet name="3382" sheetId="28" r:id="rId15"/>
    <sheet name="3391" sheetId="31" r:id="rId16"/>
    <sheet name="3394" sheetId="32" r:id="rId17"/>
    <sheet name="3395" sheetId="33" r:id="rId18"/>
    <sheet name="3396" sheetId="34" r:id="rId19"/>
    <sheet name="3398" sheetId="35" r:id="rId20"/>
    <sheet name="3400" sheetId="23" r:id="rId21"/>
    <sheet name="3401" sheetId="36" r:id="rId22"/>
    <sheet name="3413" sheetId="37" r:id="rId23"/>
    <sheet name="3421" sheetId="38" r:id="rId24"/>
    <sheet name="3431" sheetId="39" r:id="rId25"/>
    <sheet name="3441" sheetId="40" r:id="rId26"/>
    <sheet name="3924" sheetId="42" r:id="rId27"/>
    <sheet name="3941" sheetId="43" r:id="rId28"/>
    <sheet name="3961" sheetId="44" r:id="rId29"/>
    <sheet name="3971" sheetId="45" r:id="rId30"/>
    <sheet name="4001" sheetId="47" r:id="rId31"/>
    <sheet name="4002" sheetId="48" r:id="rId32"/>
    <sheet name="4012" sheetId="50" r:id="rId33"/>
    <sheet name="4013" sheetId="51" r:id="rId34"/>
    <sheet name="4020" sheetId="52" r:id="rId35"/>
    <sheet name="4030" sheetId="75" r:id="rId36"/>
    <sheet name="4031" sheetId="76" r:id="rId37"/>
    <sheet name="4041" sheetId="55" r:id="rId38"/>
    <sheet name="4050" sheetId="56" r:id="rId39"/>
    <sheet name="4051" sheetId="57" r:id="rId40"/>
    <sheet name="4061" sheetId="58" r:id="rId41"/>
    <sheet name="4080" sheetId="66" r:id="rId42"/>
    <sheet name="4081" sheetId="67" r:id="rId43"/>
    <sheet name="4090" sheetId="69" r:id="rId44"/>
    <sheet name="4091" sheetId="70" r:id="rId45"/>
    <sheet name="4100" sheetId="71" r:id="rId46"/>
    <sheet name="4102" sheetId="68" r:id="rId47"/>
    <sheet name="4103" sheetId="77" r:id="rId48"/>
    <sheet name="4111" sheetId="78" r:id="rId49"/>
    <sheet name="4131" sheetId="30" r:id="rId50"/>
    <sheet name="Virtual" sheetId="62" state="hidden" r:id="rId51"/>
  </sheets>
  <definedNames>
    <definedName name="_xlnm._FilterDatabase" localSheetId="0" hidden="1">'Net Payment'!$A$4:$G$440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'1461'!$A$6:$I$142</definedName>
    <definedName name="_xlnm.Print_Area" localSheetId="2">Consolidated!$A$2:$I$144</definedName>
    <definedName name="_xlnm.Print_Area" localSheetId="0">'Net Payment'!$A$5:$G$518</definedName>
    <definedName name="_xlnm.Print_Area" localSheetId="50">Virtual!$B$2:$G$38</definedName>
    <definedName name="_xlnm.Print_Titles" localSheetId="3">'1461'!$2:$5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E110" i="7" l="1"/>
  <c r="D27" i="64" l="1"/>
  <c r="U123" i="31" l="1"/>
  <c r="U123"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5" i="16"/>
  <c r="E64" i="16"/>
  <c r="E63" i="16"/>
  <c r="E62" i="16"/>
  <c r="E61" i="16"/>
  <c r="E60" i="16"/>
  <c r="E59" i="16"/>
  <c r="I59" i="16" s="1"/>
  <c r="E58" i="16"/>
  <c r="I58" i="16" s="1"/>
  <c r="E57" i="16"/>
  <c r="D66" i="17"/>
  <c r="C66" i="17"/>
  <c r="E65" i="17"/>
  <c r="E64" i="17"/>
  <c r="E63" i="17"/>
  <c r="E62" i="17"/>
  <c r="E61" i="17"/>
  <c r="E60" i="17"/>
  <c r="E59" i="17"/>
  <c r="I59" i="17" s="1"/>
  <c r="E58" i="17"/>
  <c r="I58" i="17" s="1"/>
  <c r="E57" i="17"/>
  <c r="D66" i="18"/>
  <c r="C66" i="18"/>
  <c r="E65" i="18"/>
  <c r="I65" i="18" s="1"/>
  <c r="E64" i="18"/>
  <c r="I64" i="18" s="1"/>
  <c r="E63" i="18"/>
  <c r="E62" i="18"/>
  <c r="E61" i="18"/>
  <c r="E60" i="18"/>
  <c r="E59" i="18"/>
  <c r="E58" i="18"/>
  <c r="E57" i="18"/>
  <c r="D66" i="20"/>
  <c r="C66" i="20"/>
  <c r="E65" i="20"/>
  <c r="I65" i="20" s="1"/>
  <c r="E64" i="20"/>
  <c r="E63" i="20"/>
  <c r="E62" i="20"/>
  <c r="E61" i="20"/>
  <c r="I61" i="20" s="1"/>
  <c r="E60" i="20"/>
  <c r="E59" i="20"/>
  <c r="E58" i="20"/>
  <c r="I58" i="20" s="1"/>
  <c r="E57" i="20"/>
  <c r="I57" i="20" s="1"/>
  <c r="D66" i="21"/>
  <c r="C66" i="21"/>
  <c r="E65" i="21"/>
  <c r="E64" i="21"/>
  <c r="E63" i="21"/>
  <c r="E62" i="21"/>
  <c r="E61" i="21"/>
  <c r="E60" i="21"/>
  <c r="E59" i="21"/>
  <c r="E58" i="21"/>
  <c r="E57" i="21"/>
  <c r="D66" i="25"/>
  <c r="C66" i="25"/>
  <c r="E65" i="25"/>
  <c r="I65" i="25" s="1"/>
  <c r="E64" i="25"/>
  <c r="E63" i="25"/>
  <c r="E62" i="25"/>
  <c r="E61" i="25"/>
  <c r="E60" i="25"/>
  <c r="E59" i="25"/>
  <c r="E58" i="25"/>
  <c r="E57" i="25"/>
  <c r="D66" i="24"/>
  <c r="C66" i="24"/>
  <c r="E65" i="24"/>
  <c r="E64" i="24"/>
  <c r="E63" i="24"/>
  <c r="I63" i="24" s="1"/>
  <c r="E62" i="24"/>
  <c r="E61" i="24"/>
  <c r="I61" i="24" s="1"/>
  <c r="E60" i="24"/>
  <c r="I60" i="24" s="1"/>
  <c r="E59" i="24"/>
  <c r="E58" i="24"/>
  <c r="I58" i="24" s="1"/>
  <c r="E57" i="24"/>
  <c r="D66" i="22"/>
  <c r="C66" i="22"/>
  <c r="E65" i="22"/>
  <c r="E64" i="22"/>
  <c r="E63" i="22"/>
  <c r="E62" i="22"/>
  <c r="E61" i="22"/>
  <c r="I61" i="22" s="1"/>
  <c r="E60" i="22"/>
  <c r="E59" i="22"/>
  <c r="E58" i="22"/>
  <c r="E57" i="22"/>
  <c r="D66" i="26"/>
  <c r="C66" i="26"/>
  <c r="E65" i="26"/>
  <c r="I65" i="26" s="1"/>
  <c r="E64" i="26"/>
  <c r="E63" i="26"/>
  <c r="I63" i="26" s="1"/>
  <c r="E62" i="26"/>
  <c r="E61" i="26"/>
  <c r="E60" i="26"/>
  <c r="E59" i="26"/>
  <c r="E58" i="26"/>
  <c r="E57" i="26"/>
  <c r="D66" i="27"/>
  <c r="C66" i="27"/>
  <c r="E65" i="27"/>
  <c r="E64" i="27"/>
  <c r="E63" i="27"/>
  <c r="E62" i="27"/>
  <c r="I62" i="27" s="1"/>
  <c r="E61" i="27"/>
  <c r="I61" i="27" s="1"/>
  <c r="E60" i="27"/>
  <c r="I60" i="27" s="1"/>
  <c r="E59" i="27"/>
  <c r="E58" i="27"/>
  <c r="E57" i="27"/>
  <c r="D66" i="28"/>
  <c r="C66" i="28"/>
  <c r="E65" i="28"/>
  <c r="E64" i="28"/>
  <c r="E63" i="28"/>
  <c r="E62" i="28"/>
  <c r="E61" i="28"/>
  <c r="I61" i="28" s="1"/>
  <c r="E60" i="28"/>
  <c r="E59" i="28"/>
  <c r="I59" i="28" s="1"/>
  <c r="E58" i="28"/>
  <c r="E57" i="28"/>
  <c r="D66" i="31"/>
  <c r="C66" i="31"/>
  <c r="E65" i="31"/>
  <c r="E64" i="31"/>
  <c r="E63" i="31"/>
  <c r="E62" i="31"/>
  <c r="I62" i="31" s="1"/>
  <c r="E61" i="31"/>
  <c r="E60" i="31"/>
  <c r="E59" i="31"/>
  <c r="E58" i="31"/>
  <c r="E57" i="31"/>
  <c r="D66" i="32"/>
  <c r="C66" i="32"/>
  <c r="E65" i="32"/>
  <c r="I65" i="32" s="1"/>
  <c r="E64" i="32"/>
  <c r="E63" i="32"/>
  <c r="I63" i="32" s="1"/>
  <c r="E62" i="32"/>
  <c r="E61" i="32"/>
  <c r="E60" i="32"/>
  <c r="I60" i="32" s="1"/>
  <c r="E59" i="32"/>
  <c r="I59" i="32" s="1"/>
  <c r="E58" i="32"/>
  <c r="I58" i="32" s="1"/>
  <c r="E57" i="32"/>
  <c r="D66" i="33"/>
  <c r="C66" i="33"/>
  <c r="E65" i="33"/>
  <c r="E64" i="33"/>
  <c r="E63" i="33"/>
  <c r="E62" i="33"/>
  <c r="E61" i="33"/>
  <c r="I61" i="33" s="1"/>
  <c r="E60" i="33"/>
  <c r="E59" i="33"/>
  <c r="E58" i="33"/>
  <c r="I58" i="33" s="1"/>
  <c r="E57" i="33"/>
  <c r="D66" i="34"/>
  <c r="C66" i="34"/>
  <c r="E65" i="34"/>
  <c r="E64" i="34"/>
  <c r="E63" i="34"/>
  <c r="E62" i="34"/>
  <c r="I62" i="34" s="1"/>
  <c r="E61" i="34"/>
  <c r="E60" i="34"/>
  <c r="E59" i="34"/>
  <c r="E58" i="34"/>
  <c r="E57" i="34"/>
  <c r="D66" i="35"/>
  <c r="C66" i="35"/>
  <c r="E65" i="35"/>
  <c r="I65" i="35" s="1"/>
  <c r="E64" i="35"/>
  <c r="E63" i="35"/>
  <c r="I63" i="35" s="1"/>
  <c r="E62" i="35"/>
  <c r="E61" i="35"/>
  <c r="E60" i="35"/>
  <c r="I60" i="35" s="1"/>
  <c r="E59" i="35"/>
  <c r="E58" i="35"/>
  <c r="I58" i="35" s="1"/>
  <c r="E57" i="35"/>
  <c r="I57" i="35" s="1"/>
  <c r="D66" i="23"/>
  <c r="C66" i="23"/>
  <c r="E65" i="23"/>
  <c r="E64" i="23"/>
  <c r="E63" i="23"/>
  <c r="E62" i="23"/>
  <c r="E61" i="23"/>
  <c r="I61" i="23" s="1"/>
  <c r="E60" i="23"/>
  <c r="E59" i="23"/>
  <c r="I59" i="23" s="1"/>
  <c r="E58" i="23"/>
  <c r="E57" i="23"/>
  <c r="I57" i="23" s="1"/>
  <c r="D66" i="36"/>
  <c r="C66" i="36"/>
  <c r="E65" i="36"/>
  <c r="E64" i="36"/>
  <c r="I64" i="36" s="1"/>
  <c r="E63" i="36"/>
  <c r="I63" i="36" s="1"/>
  <c r="E62" i="36"/>
  <c r="I62" i="36" s="1"/>
  <c r="E61" i="36"/>
  <c r="E60" i="36"/>
  <c r="E59" i="36"/>
  <c r="E58" i="36"/>
  <c r="E57" i="36"/>
  <c r="D66" i="37"/>
  <c r="C66" i="37"/>
  <c r="E65" i="37"/>
  <c r="I65" i="37" s="1"/>
  <c r="E64" i="37"/>
  <c r="E63" i="37"/>
  <c r="E62" i="37"/>
  <c r="E61" i="37"/>
  <c r="E60" i="37"/>
  <c r="I60" i="37" s="1"/>
  <c r="E59" i="37"/>
  <c r="E58" i="37"/>
  <c r="E57" i="37"/>
  <c r="D66" i="38"/>
  <c r="C66" i="38"/>
  <c r="E65" i="38"/>
  <c r="E64" i="38"/>
  <c r="I64" i="38" s="1"/>
  <c r="E63" i="38"/>
  <c r="E62" i="38"/>
  <c r="E61" i="38"/>
  <c r="I61" i="38" s="1"/>
  <c r="E60" i="38"/>
  <c r="E59" i="38"/>
  <c r="E58" i="38"/>
  <c r="E57" i="38"/>
  <c r="D66" i="39"/>
  <c r="C66" i="39"/>
  <c r="E65" i="39"/>
  <c r="E64" i="39"/>
  <c r="I64" i="39" s="1"/>
  <c r="E63" i="39"/>
  <c r="E62" i="39"/>
  <c r="I62" i="39" s="1"/>
  <c r="E61" i="39"/>
  <c r="E60" i="39"/>
  <c r="E59" i="39"/>
  <c r="E58" i="39"/>
  <c r="E57" i="39"/>
  <c r="D66" i="40"/>
  <c r="C66" i="40"/>
  <c r="E65" i="40"/>
  <c r="I65" i="40" s="1"/>
  <c r="E64" i="40"/>
  <c r="E63" i="40"/>
  <c r="I63" i="40" s="1"/>
  <c r="E62" i="40"/>
  <c r="E61" i="40"/>
  <c r="E60" i="40"/>
  <c r="I60" i="40" s="1"/>
  <c r="E59" i="40"/>
  <c r="E58" i="40"/>
  <c r="E57" i="40"/>
  <c r="D66" i="42"/>
  <c r="C66" i="42"/>
  <c r="E65" i="42"/>
  <c r="E64" i="42"/>
  <c r="E63" i="42"/>
  <c r="E62" i="42"/>
  <c r="E61" i="42"/>
  <c r="E60" i="42"/>
  <c r="E59" i="42"/>
  <c r="E58" i="42"/>
  <c r="E57" i="42"/>
  <c r="I57" i="42" s="1"/>
  <c r="D66" i="43"/>
  <c r="C66" i="43"/>
  <c r="E65" i="43"/>
  <c r="E64" i="43"/>
  <c r="I64" i="43" s="1"/>
  <c r="E63" i="43"/>
  <c r="E62" i="43"/>
  <c r="E61" i="43"/>
  <c r="E60" i="43"/>
  <c r="E59" i="43"/>
  <c r="E58" i="43"/>
  <c r="E57" i="43"/>
  <c r="D66" i="44"/>
  <c r="C66" i="44"/>
  <c r="E65" i="44"/>
  <c r="I65" i="44" s="1"/>
  <c r="E64" i="44"/>
  <c r="I64" i="44" s="1"/>
  <c r="E63" i="44"/>
  <c r="E62" i="44"/>
  <c r="E61" i="44"/>
  <c r="E60" i="44"/>
  <c r="I60" i="44" s="1"/>
  <c r="E59" i="44"/>
  <c r="I59" i="44" s="1"/>
  <c r="E58" i="44"/>
  <c r="I58" i="44" s="1"/>
  <c r="E57" i="44"/>
  <c r="D66" i="45"/>
  <c r="C66" i="45"/>
  <c r="E65" i="45"/>
  <c r="I65" i="45" s="1"/>
  <c r="E64" i="45"/>
  <c r="E63" i="45"/>
  <c r="E62" i="45"/>
  <c r="E61" i="45"/>
  <c r="I61" i="45" s="1"/>
  <c r="E60" i="45"/>
  <c r="I60" i="45" s="1"/>
  <c r="E59" i="45"/>
  <c r="I59" i="45" s="1"/>
  <c r="E58" i="45"/>
  <c r="E57" i="45"/>
  <c r="I57" i="45" s="1"/>
  <c r="D66" i="47"/>
  <c r="C66" i="47"/>
  <c r="E65" i="47"/>
  <c r="E64" i="47"/>
  <c r="I64" i="47" s="1"/>
  <c r="E63" i="47"/>
  <c r="E62" i="47"/>
  <c r="E61" i="47"/>
  <c r="I61" i="47" s="1"/>
  <c r="E60" i="47"/>
  <c r="E59" i="47"/>
  <c r="E58" i="47"/>
  <c r="E57" i="47"/>
  <c r="I57" i="47" s="1"/>
  <c r="D66" i="48"/>
  <c r="C66" i="48"/>
  <c r="E65" i="48"/>
  <c r="I65" i="48" s="1"/>
  <c r="E64" i="48"/>
  <c r="E63" i="48"/>
  <c r="E62" i="48"/>
  <c r="E61" i="48"/>
  <c r="E60" i="48"/>
  <c r="I60" i="48" s="1"/>
  <c r="E59" i="48"/>
  <c r="E58" i="48"/>
  <c r="E57" i="48"/>
  <c r="I57" i="48" s="1"/>
  <c r="D66" i="50"/>
  <c r="C66" i="50"/>
  <c r="E65" i="50"/>
  <c r="E64" i="50"/>
  <c r="E63" i="50"/>
  <c r="E62" i="50"/>
  <c r="E61" i="50"/>
  <c r="I61" i="50" s="1"/>
  <c r="E60" i="50"/>
  <c r="I60" i="50" s="1"/>
  <c r="E59" i="50"/>
  <c r="I59" i="50" s="1"/>
  <c r="E58" i="50"/>
  <c r="E57" i="50"/>
  <c r="D66" i="51"/>
  <c r="C66" i="51"/>
  <c r="E65" i="51"/>
  <c r="E64" i="51"/>
  <c r="E63" i="51"/>
  <c r="I63" i="51" s="1"/>
  <c r="E62" i="51"/>
  <c r="I62" i="51" s="1"/>
  <c r="E61" i="51"/>
  <c r="I61" i="51" s="1"/>
  <c r="E60" i="51"/>
  <c r="E59" i="51"/>
  <c r="E58" i="51"/>
  <c r="E57" i="51"/>
  <c r="D66" i="52"/>
  <c r="C66" i="52"/>
  <c r="E65" i="52"/>
  <c r="I65" i="52" s="1"/>
  <c r="E64" i="52"/>
  <c r="E63" i="52"/>
  <c r="E62" i="52"/>
  <c r="E61" i="52"/>
  <c r="E60" i="52"/>
  <c r="E59" i="52"/>
  <c r="E58" i="52"/>
  <c r="E57" i="52"/>
  <c r="D66" i="75"/>
  <c r="C66" i="75"/>
  <c r="E65" i="75"/>
  <c r="E64" i="75"/>
  <c r="I64" i="75" s="1"/>
  <c r="E63" i="75"/>
  <c r="E62" i="75"/>
  <c r="E61" i="75"/>
  <c r="I61" i="75" s="1"/>
  <c r="E60" i="75"/>
  <c r="E59" i="75"/>
  <c r="I59" i="75" s="1"/>
  <c r="E58" i="75"/>
  <c r="E57" i="75"/>
  <c r="D66" i="76"/>
  <c r="C66" i="76"/>
  <c r="E65" i="76"/>
  <c r="E64" i="76"/>
  <c r="I64" i="76" s="1"/>
  <c r="E63" i="76"/>
  <c r="I63" i="76" s="1"/>
  <c r="E62" i="76"/>
  <c r="I62" i="76" s="1"/>
  <c r="E61" i="76"/>
  <c r="E60" i="76"/>
  <c r="E59" i="76"/>
  <c r="E58" i="76"/>
  <c r="E57" i="76"/>
  <c r="D66" i="55"/>
  <c r="C66" i="55"/>
  <c r="E65" i="55"/>
  <c r="I65" i="55" s="1"/>
  <c r="E64" i="55"/>
  <c r="E63" i="55"/>
  <c r="I63" i="55" s="1"/>
  <c r="E62" i="55"/>
  <c r="E61" i="55"/>
  <c r="E60" i="55"/>
  <c r="E59" i="55"/>
  <c r="I59" i="55" s="1"/>
  <c r="E58" i="55"/>
  <c r="I58" i="55" s="1"/>
  <c r="E57" i="55"/>
  <c r="D66" i="56"/>
  <c r="C66" i="56"/>
  <c r="E65" i="56"/>
  <c r="I65" i="56" s="1"/>
  <c r="E64" i="56"/>
  <c r="E63" i="56"/>
  <c r="E62" i="56"/>
  <c r="E61" i="56"/>
  <c r="I61" i="56" s="1"/>
  <c r="E60" i="56"/>
  <c r="E59" i="56"/>
  <c r="E58" i="56"/>
  <c r="E57" i="56"/>
  <c r="I57" i="56" s="1"/>
  <c r="D66" i="57"/>
  <c r="C66" i="57"/>
  <c r="E65" i="57"/>
  <c r="E64" i="57"/>
  <c r="I64" i="57" s="1"/>
  <c r="E63" i="57"/>
  <c r="E62" i="57"/>
  <c r="E61" i="57"/>
  <c r="E60" i="57"/>
  <c r="E59" i="57"/>
  <c r="E58" i="57"/>
  <c r="E57" i="57"/>
  <c r="D66" i="58"/>
  <c r="C66" i="58"/>
  <c r="E65" i="58"/>
  <c r="I65" i="58" s="1"/>
  <c r="E64" i="58"/>
  <c r="I64" i="58" s="1"/>
  <c r="E63" i="58"/>
  <c r="I63" i="58" s="1"/>
  <c r="E62" i="58"/>
  <c r="E61" i="58"/>
  <c r="E60" i="58"/>
  <c r="I60" i="58" s="1"/>
  <c r="E59" i="58"/>
  <c r="I59" i="58" s="1"/>
  <c r="E58" i="58"/>
  <c r="E57" i="58"/>
  <c r="D66" i="66"/>
  <c r="C66" i="66"/>
  <c r="E65" i="66"/>
  <c r="I65" i="66" s="1"/>
  <c r="E64" i="66"/>
  <c r="E63" i="66"/>
  <c r="E62" i="66"/>
  <c r="E61" i="66"/>
  <c r="I61" i="66" s="1"/>
  <c r="E60" i="66"/>
  <c r="I60" i="66" s="1"/>
  <c r="E59" i="66"/>
  <c r="I59" i="66" s="1"/>
  <c r="E58" i="66"/>
  <c r="E57" i="66"/>
  <c r="D66" i="67"/>
  <c r="C66" i="67"/>
  <c r="E65" i="67"/>
  <c r="E64" i="67"/>
  <c r="I64" i="67" s="1"/>
  <c r="E63" i="67"/>
  <c r="E62" i="67"/>
  <c r="E61" i="67"/>
  <c r="I61" i="67" s="1"/>
  <c r="E60" i="67"/>
  <c r="E59" i="67"/>
  <c r="E58" i="67"/>
  <c r="E57" i="67"/>
  <c r="D66" i="69"/>
  <c r="C66" i="69"/>
  <c r="E65" i="69"/>
  <c r="I65" i="69" s="1"/>
  <c r="E64" i="69"/>
  <c r="E63" i="69"/>
  <c r="E62" i="69"/>
  <c r="E61" i="69"/>
  <c r="E60" i="69"/>
  <c r="I60" i="69" s="1"/>
  <c r="E59" i="69"/>
  <c r="E58" i="69"/>
  <c r="E57" i="69"/>
  <c r="I57" i="69" s="1"/>
  <c r="D66" i="70"/>
  <c r="C66" i="70"/>
  <c r="E65" i="70"/>
  <c r="E64" i="70"/>
  <c r="E63" i="70"/>
  <c r="E62" i="70"/>
  <c r="E61" i="70"/>
  <c r="I61" i="70" s="1"/>
  <c r="E60" i="70"/>
  <c r="E59" i="70"/>
  <c r="E58" i="70"/>
  <c r="E57" i="70"/>
  <c r="D66" i="71"/>
  <c r="C66" i="71"/>
  <c r="E65" i="71"/>
  <c r="E64" i="71"/>
  <c r="I64" i="71" s="1"/>
  <c r="E63" i="71"/>
  <c r="I63" i="71" s="1"/>
  <c r="E62" i="71"/>
  <c r="I62" i="71" s="1"/>
  <c r="E61" i="71"/>
  <c r="E60" i="71"/>
  <c r="E59" i="71"/>
  <c r="E58" i="71"/>
  <c r="E57" i="71"/>
  <c r="D66" i="68"/>
  <c r="C66" i="68"/>
  <c r="E65" i="68"/>
  <c r="I65" i="68" s="1"/>
  <c r="E64" i="68"/>
  <c r="E63" i="68"/>
  <c r="I63" i="68" s="1"/>
  <c r="E62" i="68"/>
  <c r="E61" i="68"/>
  <c r="E60" i="68"/>
  <c r="I60" i="68" s="1"/>
  <c r="E59" i="68"/>
  <c r="E58" i="68"/>
  <c r="I58" i="68" s="1"/>
  <c r="E57" i="68"/>
  <c r="D66" i="77"/>
  <c r="C66" i="77"/>
  <c r="E65" i="77"/>
  <c r="E64" i="77"/>
  <c r="I64" i="77" s="1"/>
  <c r="E63" i="77"/>
  <c r="E62" i="77"/>
  <c r="E61" i="77"/>
  <c r="I61" i="77" s="1"/>
  <c r="E60" i="77"/>
  <c r="E59" i="77"/>
  <c r="E58" i="77"/>
  <c r="E57" i="77"/>
  <c r="D66" i="78"/>
  <c r="C66" i="78"/>
  <c r="E65" i="78"/>
  <c r="E64" i="78"/>
  <c r="E63" i="78"/>
  <c r="I63" i="78" s="1"/>
  <c r="E62" i="78"/>
  <c r="I62" i="78" s="1"/>
  <c r="E61" i="78"/>
  <c r="E60" i="78"/>
  <c r="E59" i="78"/>
  <c r="E58" i="78"/>
  <c r="E57" i="78"/>
  <c r="D66" i="30"/>
  <c r="C66" i="30"/>
  <c r="E65" i="30"/>
  <c r="I65" i="30" s="1"/>
  <c r="E64" i="30"/>
  <c r="I64" i="30" s="1"/>
  <c r="E63" i="30"/>
  <c r="I63" i="30" s="1"/>
  <c r="E62" i="30"/>
  <c r="E61" i="30"/>
  <c r="E60" i="30"/>
  <c r="I60" i="30" s="1"/>
  <c r="E59" i="30"/>
  <c r="I59" i="30" s="1"/>
  <c r="E58" i="30"/>
  <c r="I58" i="30" s="1"/>
  <c r="E57" i="30"/>
  <c r="I57" i="30" s="1"/>
  <c r="D66" i="7"/>
  <c r="C66" i="7"/>
  <c r="E65" i="7"/>
  <c r="E64" i="7"/>
  <c r="E63"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1"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1"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60" i="7" l="1"/>
  <c r="E62" i="60"/>
  <c r="I60" i="56"/>
  <c r="I64" i="52"/>
  <c r="I60" i="42"/>
  <c r="I64" i="37"/>
  <c r="I59" i="31"/>
  <c r="I63" i="22"/>
  <c r="U57" i="38"/>
  <c r="U66" i="38" s="1"/>
  <c r="U66" i="22"/>
  <c r="U57" i="22"/>
  <c r="I62" i="7"/>
  <c r="E64" i="60"/>
  <c r="I65" i="77"/>
  <c r="I61" i="57"/>
  <c r="I61" i="43"/>
  <c r="I65" i="38"/>
  <c r="I63" i="7"/>
  <c r="E65" i="60"/>
  <c r="I64" i="7"/>
  <c r="E66" i="60"/>
  <c r="I59" i="69"/>
  <c r="I59" i="48"/>
  <c r="I58" i="23"/>
  <c r="I59" i="35"/>
  <c r="I65" i="7"/>
  <c r="E67" i="60"/>
  <c r="I61" i="7"/>
  <c r="E63" i="60"/>
  <c r="I59" i="68"/>
  <c r="I63" i="67"/>
  <c r="I59" i="52"/>
  <c r="I63" i="47"/>
  <c r="I62" i="35"/>
  <c r="I63" i="34"/>
  <c r="I63" i="18"/>
  <c r="I57" i="7"/>
  <c r="E59" i="60"/>
  <c r="I60" i="77"/>
  <c r="I64" i="69"/>
  <c r="I60" i="38"/>
  <c r="I58" i="7"/>
  <c r="E60" i="60"/>
  <c r="U57" i="27"/>
  <c r="U66" i="27" s="1"/>
  <c r="I59" i="7"/>
  <c r="E61" i="60"/>
  <c r="I65" i="70"/>
  <c r="I61" i="76"/>
  <c r="I65" i="50"/>
  <c r="I64" i="22"/>
  <c r="U66" i="37"/>
  <c r="U66" i="24"/>
  <c r="I57" i="71"/>
  <c r="I60" i="67"/>
  <c r="I64" i="56"/>
  <c r="I57" i="51"/>
  <c r="I64" i="42"/>
  <c r="I60" i="33"/>
  <c r="I64" i="27"/>
  <c r="I62" i="32"/>
  <c r="I64" i="28"/>
  <c r="I58" i="21"/>
  <c r="I60" i="18"/>
  <c r="I59" i="21"/>
  <c r="I63" i="16"/>
  <c r="I64" i="66"/>
  <c r="I64" i="45"/>
  <c r="I57" i="39"/>
  <c r="I64" i="33"/>
  <c r="I57" i="26"/>
  <c r="I58" i="22"/>
  <c r="I61" i="21"/>
  <c r="I64" i="17"/>
  <c r="I65" i="16"/>
  <c r="I60" i="78"/>
  <c r="I64" i="70"/>
  <c r="I60" i="76"/>
  <c r="I60" i="39"/>
  <c r="I64" i="23"/>
  <c r="I60" i="26"/>
  <c r="I64" i="21"/>
  <c r="I57" i="70"/>
  <c r="I59" i="67"/>
  <c r="I63" i="56"/>
  <c r="I57" i="50"/>
  <c r="I59" i="47"/>
  <c r="I63" i="42"/>
  <c r="I59" i="34"/>
  <c r="I63" i="28"/>
  <c r="I59" i="18"/>
  <c r="I57" i="68"/>
  <c r="I57" i="37"/>
  <c r="U66" i="35"/>
  <c r="U66" i="20"/>
  <c r="I59" i="71"/>
  <c r="I63" i="66"/>
  <c r="I59" i="51"/>
  <c r="I63" i="45"/>
  <c r="I59" i="36"/>
  <c r="I61" i="34"/>
  <c r="I63" i="33"/>
  <c r="I59" i="25"/>
  <c r="I60" i="21"/>
  <c r="I63" i="17"/>
  <c r="I64" i="16"/>
  <c r="I57" i="55"/>
  <c r="I57" i="40"/>
  <c r="U66" i="32"/>
  <c r="U66" i="16"/>
  <c r="I59" i="78"/>
  <c r="I63" i="70"/>
  <c r="I59" i="76"/>
  <c r="I63" i="50"/>
  <c r="I59" i="39"/>
  <c r="I65" i="33"/>
  <c r="I61" i="25"/>
  <c r="I63" i="23"/>
  <c r="I64" i="35"/>
  <c r="I59" i="26"/>
  <c r="I60" i="22"/>
  <c r="I63" i="21"/>
  <c r="I64" i="20"/>
  <c r="I63" i="77"/>
  <c r="I59" i="57"/>
  <c r="I63" i="75"/>
  <c r="I59" i="43"/>
  <c r="I63" i="38"/>
  <c r="I61" i="26"/>
  <c r="I65" i="21"/>
  <c r="I62" i="56"/>
  <c r="I58" i="47"/>
  <c r="I58" i="34"/>
  <c r="I62" i="28"/>
  <c r="I58" i="18"/>
  <c r="U66" i="71"/>
  <c r="U66" i="51"/>
  <c r="U66" i="36"/>
  <c r="U66" i="25"/>
  <c r="U66" i="23"/>
  <c r="U66" i="21"/>
  <c r="I58" i="51"/>
  <c r="I57" i="38"/>
  <c r="I62" i="33"/>
  <c r="U66" i="47"/>
  <c r="U66" i="34"/>
  <c r="U66" i="18"/>
  <c r="I57" i="22"/>
  <c r="U66" i="33"/>
  <c r="U66" i="17"/>
  <c r="I58" i="78"/>
  <c r="I62" i="70"/>
  <c r="I58" i="26"/>
  <c r="I62" i="21"/>
  <c r="U66" i="57"/>
  <c r="U66" i="43"/>
  <c r="U66" i="31"/>
  <c r="U66" i="28"/>
  <c r="I62" i="77"/>
  <c r="I58" i="57"/>
  <c r="I62" i="75"/>
  <c r="I58" i="43"/>
  <c r="I62" i="38"/>
  <c r="I58" i="31"/>
  <c r="U66" i="39"/>
  <c r="U66" i="26"/>
  <c r="I62" i="55"/>
  <c r="I58" i="45"/>
  <c r="U66" i="77"/>
  <c r="U66" i="75"/>
  <c r="U66" i="68"/>
  <c r="U66" i="52"/>
  <c r="I58" i="70"/>
  <c r="U66" i="70"/>
  <c r="U66" i="50"/>
  <c r="U66" i="69"/>
  <c r="U66" i="48"/>
  <c r="U66" i="67"/>
  <c r="I58" i="77"/>
  <c r="I62" i="69"/>
  <c r="I62" i="48"/>
  <c r="U66" i="66"/>
  <c r="U66" i="45"/>
  <c r="U66" i="58"/>
  <c r="U66" i="44"/>
  <c r="I62" i="68"/>
  <c r="I57" i="57"/>
  <c r="I58" i="56"/>
  <c r="I62" i="52"/>
  <c r="I57" i="43"/>
  <c r="I58" i="42"/>
  <c r="U66" i="56"/>
  <c r="U66" i="42"/>
  <c r="U66" i="30"/>
  <c r="U66" i="55"/>
  <c r="U66" i="40"/>
  <c r="U66" i="78"/>
  <c r="U66" i="76"/>
  <c r="I57" i="24"/>
  <c r="I65" i="36"/>
  <c r="I65" i="78"/>
  <c r="I61" i="58"/>
  <c r="I65" i="76"/>
  <c r="I61" i="44"/>
  <c r="I65" i="39"/>
  <c r="I61" i="32"/>
  <c r="I61" i="69"/>
  <c r="I65" i="57"/>
  <c r="I61" i="48"/>
  <c r="I65" i="43"/>
  <c r="I61" i="35"/>
  <c r="I65" i="31"/>
  <c r="I61" i="68"/>
  <c r="I65" i="67"/>
  <c r="I61" i="52"/>
  <c r="I65" i="47"/>
  <c r="I61" i="37"/>
  <c r="I65" i="34"/>
  <c r="I57" i="58"/>
  <c r="I57" i="44"/>
  <c r="I61" i="30"/>
  <c r="I65" i="71"/>
  <c r="I61" i="55"/>
  <c r="I65" i="51"/>
  <c r="I61" i="40"/>
  <c r="I60" i="47"/>
  <c r="I59" i="20"/>
  <c r="I63" i="43"/>
  <c r="I65" i="42"/>
  <c r="I59" i="40"/>
  <c r="I63" i="25"/>
  <c r="I64" i="50"/>
  <c r="I60" i="34"/>
  <c r="I62" i="58"/>
  <c r="I58" i="50"/>
  <c r="I62" i="44"/>
  <c r="E66" i="71"/>
  <c r="E66" i="70"/>
  <c r="E66" i="57"/>
  <c r="I63" i="57"/>
  <c r="E66" i="51"/>
  <c r="E66" i="43"/>
  <c r="I62" i="37"/>
  <c r="I57" i="36"/>
  <c r="E66" i="36"/>
  <c r="I57" i="31"/>
  <c r="I63" i="31"/>
  <c r="E66" i="31"/>
  <c r="E66" i="28"/>
  <c r="I58" i="28"/>
  <c r="I59" i="27"/>
  <c r="I65" i="27"/>
  <c r="I62" i="24"/>
  <c r="I57" i="25"/>
  <c r="E66" i="25"/>
  <c r="E66" i="21"/>
  <c r="I61" i="17"/>
  <c r="E66" i="16"/>
  <c r="I62" i="16"/>
  <c r="I59" i="70"/>
  <c r="I58" i="69"/>
  <c r="I65" i="75"/>
  <c r="I64" i="51"/>
  <c r="I63" i="48"/>
  <c r="I62" i="47"/>
  <c r="I62" i="45"/>
  <c r="I62" i="43"/>
  <c r="I61" i="42"/>
  <c r="I58" i="39"/>
  <c r="I58" i="38"/>
  <c r="I58" i="37"/>
  <c r="I65" i="28"/>
  <c r="I64" i="26"/>
  <c r="I64" i="24"/>
  <c r="I62" i="20"/>
  <c r="I61" i="18"/>
  <c r="I62" i="30"/>
  <c r="I61" i="78"/>
  <c r="I61" i="71"/>
  <c r="I60" i="70"/>
  <c r="I58" i="67"/>
  <c r="I58" i="66"/>
  <c r="I58" i="58"/>
  <c r="I64" i="48"/>
  <c r="I63" i="44"/>
  <c r="I62" i="42"/>
  <c r="I59" i="38"/>
  <c r="I59" i="37"/>
  <c r="I58" i="36"/>
  <c r="I65" i="22"/>
  <c r="I65" i="24"/>
  <c r="I64" i="25"/>
  <c r="I63" i="20"/>
  <c r="I62" i="18"/>
  <c r="I62" i="17"/>
  <c r="I64" i="78"/>
  <c r="I64" i="68"/>
  <c r="I59" i="56"/>
  <c r="I58" i="76"/>
  <c r="I58" i="75"/>
  <c r="I58" i="52"/>
  <c r="I62" i="40"/>
  <c r="I61" i="39"/>
  <c r="I61" i="36"/>
  <c r="I60" i="23"/>
  <c r="I59" i="33"/>
  <c r="I58" i="27"/>
  <c r="I65" i="17"/>
  <c r="I63" i="69"/>
  <c r="I62" i="67"/>
  <c r="I62" i="66"/>
  <c r="I62" i="57"/>
  <c r="I60" i="55"/>
  <c r="I60" i="75"/>
  <c r="I60" i="52"/>
  <c r="I58" i="48"/>
  <c r="I64" i="40"/>
  <c r="I63" i="39"/>
  <c r="I63" i="37"/>
  <c r="I62" i="23"/>
  <c r="I61" i="31"/>
  <c r="I60" i="28"/>
  <c r="I59" i="22"/>
  <c r="I59" i="24"/>
  <c r="I58" i="25"/>
  <c r="I59" i="77"/>
  <c r="I58" i="71"/>
  <c r="I64" i="55"/>
  <c r="I63" i="52"/>
  <c r="I62" i="50"/>
  <c r="I59" i="42"/>
  <c r="I58" i="40"/>
  <c r="I65" i="23"/>
  <c r="I64" i="34"/>
  <c r="I64" i="32"/>
  <c r="I64" i="31"/>
  <c r="I63" i="27"/>
  <c r="I62" i="26"/>
  <c r="I62" i="22"/>
  <c r="I62" i="25"/>
  <c r="I60" i="20"/>
  <c r="I60" i="17"/>
  <c r="I60" i="16"/>
  <c r="I57" i="18"/>
  <c r="I57" i="16"/>
  <c r="I57" i="78"/>
  <c r="I57" i="77"/>
  <c r="I57" i="17"/>
  <c r="I57" i="34"/>
  <c r="I57" i="33"/>
  <c r="I57" i="32"/>
  <c r="I57" i="67"/>
  <c r="I57" i="76"/>
  <c r="I57" i="75"/>
  <c r="I57" i="52"/>
  <c r="I57" i="66"/>
  <c r="I57" i="27"/>
  <c r="E66" i="7"/>
  <c r="E66" i="58"/>
  <c r="E66" i="44"/>
  <c r="E66" i="37"/>
  <c r="E66" i="24"/>
  <c r="I57" i="28"/>
  <c r="I57" i="21"/>
  <c r="I61" i="16"/>
  <c r="E66" i="68"/>
  <c r="E66" i="52"/>
  <c r="E66" i="32"/>
  <c r="E66" i="77"/>
  <c r="E66" i="66"/>
  <c r="E66" i="75"/>
  <c r="E66" i="45"/>
  <c r="E66" i="38"/>
  <c r="E66" i="33"/>
  <c r="E66" i="22"/>
  <c r="E66" i="17"/>
  <c r="E66" i="67"/>
  <c r="E66" i="76"/>
  <c r="E66" i="47"/>
  <c r="E66" i="39"/>
  <c r="E66" i="34"/>
  <c r="E66" i="26"/>
  <c r="E66" i="18"/>
  <c r="E66" i="78"/>
  <c r="E66" i="69"/>
  <c r="E66" i="55"/>
  <c r="E66" i="48"/>
  <c r="E66" i="40"/>
  <c r="E66" i="35"/>
  <c r="E66" i="27"/>
  <c r="E66" i="20"/>
  <c r="E66" i="30"/>
  <c r="E66" i="56"/>
  <c r="E66" i="50"/>
  <c r="E66" i="42"/>
  <c r="E66" i="23"/>
  <c r="I60" i="71"/>
  <c r="I60" i="57"/>
  <c r="I60" i="51"/>
  <c r="I60" i="43"/>
  <c r="I60" i="36"/>
  <c r="I60" i="31"/>
  <c r="I60" i="25"/>
  <c r="I66" i="7" l="1"/>
  <c r="I64" i="60"/>
  <c r="I62" i="60"/>
  <c r="I61" i="60"/>
  <c r="I66" i="60"/>
  <c r="I65" i="60"/>
  <c r="I60" i="60"/>
  <c r="I63" i="60"/>
  <c r="E68" i="60"/>
  <c r="I67" i="60"/>
  <c r="I59" i="60"/>
  <c r="I66" i="35"/>
  <c r="I66" i="30"/>
  <c r="I66" i="47"/>
  <c r="I66" i="68"/>
  <c r="I66" i="45"/>
  <c r="I66" i="18"/>
  <c r="I66" i="21"/>
  <c r="I66" i="78"/>
  <c r="I66" i="51"/>
  <c r="I66" i="56"/>
  <c r="I66" i="43"/>
  <c r="I66" i="50"/>
  <c r="I66" i="20"/>
  <c r="I66" i="24"/>
  <c r="I66" i="52"/>
  <c r="I66" i="44"/>
  <c r="I66" i="48"/>
  <c r="I66" i="70"/>
  <c r="I66" i="17"/>
  <c r="I66" i="40"/>
  <c r="I66" i="58"/>
  <c r="I66" i="69"/>
  <c r="I66" i="23"/>
  <c r="I66" i="33"/>
  <c r="I66" i="42"/>
  <c r="I66" i="34"/>
  <c r="I66" i="38"/>
  <c r="I66" i="71"/>
  <c r="I66" i="66"/>
  <c r="I66" i="55"/>
  <c r="I66" i="76"/>
  <c r="I66" i="75"/>
  <c r="I66" i="39"/>
  <c r="I66" i="37"/>
  <c r="I66" i="31"/>
  <c r="I66" i="27"/>
  <c r="I66" i="26"/>
  <c r="I66" i="22"/>
  <c r="I66" i="25"/>
  <c r="I66" i="16"/>
  <c r="I66" i="36"/>
  <c r="I66" i="77"/>
  <c r="I66" i="57"/>
  <c r="I66" i="28"/>
  <c r="I66" i="32"/>
  <c r="I66" i="67"/>
  <c r="I68" i="60" l="1"/>
  <c r="D117" i="60" l="1"/>
  <c r="C117" i="60"/>
  <c r="G112" i="60"/>
  <c r="G111" i="60"/>
  <c r="H54" i="60"/>
  <c r="H53" i="60"/>
  <c r="D12" i="60"/>
  <c r="D58" i="60" s="1"/>
  <c r="C12" i="60"/>
  <c r="C58" i="60" s="1"/>
  <c r="D11" i="60"/>
  <c r="C11" i="60"/>
  <c r="D37" i="60" l="1"/>
  <c r="D57" i="60"/>
  <c r="C37" i="60"/>
  <c r="C57" i="60"/>
  <c r="I141" i="60" l="1"/>
  <c r="I137" i="60"/>
  <c r="I124" i="60"/>
  <c r="D112" i="60"/>
  <c r="D111" i="60"/>
  <c r="C112" i="60"/>
  <c r="C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0" i="16" l="1"/>
  <c r="E119" i="16"/>
  <c r="E120" i="17"/>
  <c r="E119" i="17"/>
  <c r="E120" i="18"/>
  <c r="E119" i="18"/>
  <c r="E120" i="20"/>
  <c r="E119" i="20"/>
  <c r="E120" i="21"/>
  <c r="E119" i="21"/>
  <c r="E120" i="25"/>
  <c r="E119" i="25"/>
  <c r="E120" i="24"/>
  <c r="E119" i="24"/>
  <c r="E120" i="22"/>
  <c r="E119" i="22"/>
  <c r="E120" i="26"/>
  <c r="E119" i="26"/>
  <c r="E120" i="27"/>
  <c r="E119" i="27"/>
  <c r="E120" i="28"/>
  <c r="E119" i="28"/>
  <c r="E120" i="31"/>
  <c r="E119" i="31"/>
  <c r="E120" i="32"/>
  <c r="E119" i="32"/>
  <c r="E120" i="33"/>
  <c r="E119" i="33"/>
  <c r="E120" i="34"/>
  <c r="E119" i="34"/>
  <c r="E120" i="35"/>
  <c r="E119" i="35"/>
  <c r="E120" i="23"/>
  <c r="E119" i="23"/>
  <c r="E120" i="36"/>
  <c r="E119" i="36"/>
  <c r="E120" i="37"/>
  <c r="E119" i="37"/>
  <c r="E120" i="38"/>
  <c r="E119" i="38"/>
  <c r="E120" i="39"/>
  <c r="E119" i="39"/>
  <c r="E120" i="40"/>
  <c r="E119" i="40"/>
  <c r="E120" i="42"/>
  <c r="E119" i="42"/>
  <c r="E120" i="43"/>
  <c r="E119" i="43"/>
  <c r="E120" i="44"/>
  <c r="E119" i="44"/>
  <c r="E120" i="45"/>
  <c r="E119" i="45"/>
  <c r="E120" i="47"/>
  <c r="E119" i="47"/>
  <c r="E120" i="48"/>
  <c r="E119" i="48"/>
  <c r="E120" i="50"/>
  <c r="E119" i="50"/>
  <c r="E120" i="51"/>
  <c r="E119" i="51"/>
  <c r="E120" i="52"/>
  <c r="E119" i="52"/>
  <c r="E120" i="75"/>
  <c r="E119" i="75"/>
  <c r="E120" i="76"/>
  <c r="E119" i="76"/>
  <c r="E120" i="55"/>
  <c r="E119" i="55"/>
  <c r="E120" i="56"/>
  <c r="E119" i="56"/>
  <c r="E120" i="57"/>
  <c r="E119" i="57"/>
  <c r="E120" i="58"/>
  <c r="E119" i="58"/>
  <c r="E120" i="66"/>
  <c r="E119" i="66"/>
  <c r="E120" i="67"/>
  <c r="E119" i="67"/>
  <c r="E120" i="69"/>
  <c r="E119" i="69"/>
  <c r="E120" i="70"/>
  <c r="E119" i="70"/>
  <c r="E120" i="71"/>
  <c r="E119" i="71"/>
  <c r="E120" i="68"/>
  <c r="E119" i="68"/>
  <c r="E120" i="77"/>
  <c r="E119" i="77"/>
  <c r="E120" i="78"/>
  <c r="E119" i="78"/>
  <c r="E120" i="30"/>
  <c r="E119" i="30"/>
  <c r="E120" i="7"/>
  <c r="E119"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1" i="7" l="1"/>
  <c r="E111" i="16" l="1"/>
  <c r="E111" i="17"/>
  <c r="E111" i="18"/>
  <c r="E111" i="20"/>
  <c r="E111" i="21"/>
  <c r="E111" i="25"/>
  <c r="E111" i="24"/>
  <c r="E111" i="22"/>
  <c r="E111" i="26"/>
  <c r="E111" i="27"/>
  <c r="E111" i="28"/>
  <c r="E111" i="31"/>
  <c r="E111" i="32"/>
  <c r="E111" i="33"/>
  <c r="E111" i="34"/>
  <c r="E111" i="35"/>
  <c r="E111" i="23"/>
  <c r="E111" i="36"/>
  <c r="E111" i="37"/>
  <c r="E111" i="38"/>
  <c r="E111" i="39"/>
  <c r="E111" i="40"/>
  <c r="E111" i="42"/>
  <c r="E111" i="43"/>
  <c r="E111" i="44"/>
  <c r="E111" i="45"/>
  <c r="E111" i="47"/>
  <c r="E111" i="48"/>
  <c r="E111" i="50"/>
  <c r="E111" i="51"/>
  <c r="E111" i="52"/>
  <c r="E111" i="75"/>
  <c r="E111" i="76"/>
  <c r="E111" i="55"/>
  <c r="E111" i="56"/>
  <c r="E111" i="57"/>
  <c r="E111" i="58"/>
  <c r="E111" i="66"/>
  <c r="E111" i="67"/>
  <c r="E111" i="69"/>
  <c r="E111" i="70"/>
  <c r="E111" i="71"/>
  <c r="E111" i="68"/>
  <c r="E111" i="77"/>
  <c r="E111" i="78"/>
  <c r="E111" i="30"/>
  <c r="E110" i="16"/>
  <c r="E110" i="17"/>
  <c r="E110" i="18"/>
  <c r="E110" i="20"/>
  <c r="E110" i="21"/>
  <c r="E110" i="25"/>
  <c r="E110" i="24"/>
  <c r="E110" i="22"/>
  <c r="E110" i="26"/>
  <c r="E110" i="27"/>
  <c r="E110" i="28"/>
  <c r="E110" i="31"/>
  <c r="E110" i="32"/>
  <c r="E110" i="33"/>
  <c r="E110" i="34"/>
  <c r="E110" i="35"/>
  <c r="E110" i="23"/>
  <c r="E110" i="36"/>
  <c r="E110" i="37"/>
  <c r="E110" i="38"/>
  <c r="E110" i="39"/>
  <c r="E110" i="40"/>
  <c r="E110" i="42"/>
  <c r="E110" i="43"/>
  <c r="E110" i="44"/>
  <c r="E110" i="45"/>
  <c r="E110" i="47"/>
  <c r="E110" i="48"/>
  <c r="E110" i="50"/>
  <c r="E110" i="51"/>
  <c r="E110" i="52"/>
  <c r="E110" i="75"/>
  <c r="E110" i="76"/>
  <c r="E110" i="55"/>
  <c r="E110" i="56"/>
  <c r="E110" i="57"/>
  <c r="E110" i="58"/>
  <c r="E110" i="66"/>
  <c r="E110" i="67"/>
  <c r="E110" i="69"/>
  <c r="E110" i="70"/>
  <c r="E110" i="71"/>
  <c r="E110" i="68"/>
  <c r="E110" i="77"/>
  <c r="E110" i="78"/>
  <c r="E110" i="30"/>
  <c r="E111" i="60" l="1"/>
  <c r="E112" i="60"/>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1" i="30"/>
  <c r="R101" i="30" s="1"/>
  <c r="F102" i="30"/>
  <c r="R102" i="30" s="1"/>
  <c r="F103" i="30"/>
  <c r="R103" i="30" s="1"/>
  <c r="G110" i="30"/>
  <c r="I110" i="30" s="1"/>
  <c r="G111" i="30"/>
  <c r="T111" i="30" s="1"/>
  <c r="U111" i="30" s="1"/>
  <c r="H118" i="30"/>
  <c r="H120" i="30" s="1"/>
  <c r="T120" i="30" s="1"/>
  <c r="R118" i="30"/>
  <c r="R119" i="30" s="1"/>
  <c r="F119" i="30"/>
  <c r="H119" i="30"/>
  <c r="I140" i="30"/>
  <c r="A149" i="30"/>
  <c r="A159" i="30"/>
  <c r="A161" i="30"/>
  <c r="A165" i="30"/>
  <c r="A169" i="30"/>
  <c r="A170" i="30"/>
  <c r="A171" i="30"/>
  <c r="A175" i="30"/>
  <c r="A176" i="30"/>
  <c r="A177" i="30"/>
  <c r="A179" i="30"/>
  <c r="A180" i="30"/>
  <c r="A181" i="30"/>
  <c r="A182" i="30"/>
  <c r="N1" i="78"/>
  <c r="A3" i="78"/>
  <c r="N3" i="78" s="1"/>
  <c r="F4" i="78"/>
  <c r="P4" i="78"/>
  <c r="N7" i="78"/>
  <c r="C8" i="78"/>
  <c r="P8" i="78" s="1"/>
  <c r="H8" i="78"/>
  <c r="T8" i="78" s="1"/>
  <c r="P102"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1" i="78"/>
  <c r="R101" i="78" s="1"/>
  <c r="F102" i="78"/>
  <c r="R102" i="78" s="1"/>
  <c r="F103" i="78"/>
  <c r="R103" i="78" s="1"/>
  <c r="G110" i="78"/>
  <c r="T110" i="78" s="1"/>
  <c r="G111" i="78"/>
  <c r="I111" i="78" s="1"/>
  <c r="H118" i="78"/>
  <c r="R118" i="78"/>
  <c r="R119" i="78" s="1"/>
  <c r="F119" i="78"/>
  <c r="H119" i="78"/>
  <c r="I140" i="78"/>
  <c r="A149" i="78"/>
  <c r="A159" i="78"/>
  <c r="A161" i="78"/>
  <c r="A165" i="78"/>
  <c r="A169" i="78"/>
  <c r="A170" i="78"/>
  <c r="A171" i="78"/>
  <c r="A175" i="78"/>
  <c r="A176" i="78"/>
  <c r="A177" i="78"/>
  <c r="A179" i="78"/>
  <c r="A180" i="78"/>
  <c r="A181" i="78"/>
  <c r="A182"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18" i="77" s="1"/>
  <c r="C44" i="77"/>
  <c r="D44" i="77"/>
  <c r="E40" i="77" s="1"/>
  <c r="H69" i="77"/>
  <c r="T69" i="77" s="1"/>
  <c r="H72" i="77"/>
  <c r="T72" i="77" s="1"/>
  <c r="F85" i="77"/>
  <c r="R85" i="77" s="1"/>
  <c r="F88" i="77"/>
  <c r="F90" i="77"/>
  <c r="R90" i="77" s="1"/>
  <c r="F92" i="77"/>
  <c r="R92" i="77" s="1"/>
  <c r="F94" i="77"/>
  <c r="F96" i="77"/>
  <c r="F101" i="77"/>
  <c r="R101" i="77" s="1"/>
  <c r="F102" i="77"/>
  <c r="R102" i="77" s="1"/>
  <c r="F103" i="77"/>
  <c r="R103" i="77" s="1"/>
  <c r="G110" i="77"/>
  <c r="T110" i="77" s="1"/>
  <c r="G111" i="77"/>
  <c r="I111" i="77" s="1"/>
  <c r="H118" i="77"/>
  <c r="R118" i="77"/>
  <c r="R119" i="77" s="1"/>
  <c r="F119" i="77"/>
  <c r="H119" i="77"/>
  <c r="T119" i="77" s="1"/>
  <c r="I140" i="77"/>
  <c r="A149" i="77"/>
  <c r="A159" i="77"/>
  <c r="A161" i="77"/>
  <c r="A165" i="77"/>
  <c r="A169" i="77"/>
  <c r="A170" i="77"/>
  <c r="A171" i="77"/>
  <c r="A175" i="77"/>
  <c r="A176" i="77"/>
  <c r="A177" i="77"/>
  <c r="A179" i="77"/>
  <c r="A180" i="77"/>
  <c r="A181" i="77"/>
  <c r="A182" i="77"/>
  <c r="N1" i="68"/>
  <c r="A3" i="68"/>
  <c r="N3" i="68" s="1"/>
  <c r="F4" i="68"/>
  <c r="P4" i="68"/>
  <c r="N7" i="68"/>
  <c r="C8" i="68"/>
  <c r="P8" i="68" s="1"/>
  <c r="H8" i="68"/>
  <c r="E101" i="68" s="1"/>
  <c r="F14" i="68"/>
  <c r="F15" i="68"/>
  <c r="F16" i="68"/>
  <c r="F17" i="68"/>
  <c r="F18" i="68"/>
  <c r="F19" i="68"/>
  <c r="F20" i="68"/>
  <c r="F21" i="68"/>
  <c r="F22" i="68"/>
  <c r="F23" i="68"/>
  <c r="F24" i="68"/>
  <c r="F25" i="68"/>
  <c r="F26" i="68"/>
  <c r="F27" i="68"/>
  <c r="F28" i="68"/>
  <c r="F29" i="68"/>
  <c r="C30" i="68"/>
  <c r="D30" i="68"/>
  <c r="C44" i="68"/>
  <c r="D44" i="68"/>
  <c r="E38" i="68" s="1"/>
  <c r="H69" i="68"/>
  <c r="T69" i="68" s="1"/>
  <c r="H72" i="68"/>
  <c r="T72" i="68" s="1"/>
  <c r="F85" i="68"/>
  <c r="R85" i="68" s="1"/>
  <c r="F88" i="68"/>
  <c r="R88" i="68" s="1"/>
  <c r="F90" i="68"/>
  <c r="R90" i="68" s="1"/>
  <c r="F92" i="68"/>
  <c r="R92" i="68" s="1"/>
  <c r="F94" i="68"/>
  <c r="R94" i="68" s="1"/>
  <c r="F96" i="68"/>
  <c r="R96" i="68" s="1"/>
  <c r="F101" i="68"/>
  <c r="R101" i="68" s="1"/>
  <c r="F102" i="68"/>
  <c r="R102" i="68" s="1"/>
  <c r="F103" i="68"/>
  <c r="R103" i="68" s="1"/>
  <c r="G110" i="68"/>
  <c r="G111" i="68"/>
  <c r="H118" i="68"/>
  <c r="T118" i="68" s="1"/>
  <c r="R118" i="68"/>
  <c r="R119" i="68" s="1"/>
  <c r="F119" i="68"/>
  <c r="H119" i="68"/>
  <c r="T119" i="68" s="1"/>
  <c r="I140" i="68"/>
  <c r="A149" i="68"/>
  <c r="A159" i="68"/>
  <c r="A161" i="68"/>
  <c r="A165" i="68"/>
  <c r="A169" i="68"/>
  <c r="A170" i="68"/>
  <c r="A171" i="68"/>
  <c r="A175" i="68"/>
  <c r="A176" i="68"/>
  <c r="A177" i="68"/>
  <c r="A179" i="68"/>
  <c r="A180" i="68"/>
  <c r="A181" i="68"/>
  <c r="A182"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1" i="71"/>
  <c r="R101" i="71" s="1"/>
  <c r="F102" i="71"/>
  <c r="R102" i="71" s="1"/>
  <c r="F103" i="71"/>
  <c r="R103" i="71" s="1"/>
  <c r="G110" i="71"/>
  <c r="I110" i="71" s="1"/>
  <c r="G111" i="71"/>
  <c r="T111" i="71" s="1"/>
  <c r="U111" i="71" s="1"/>
  <c r="H118" i="71"/>
  <c r="H120" i="71" s="1"/>
  <c r="T120" i="71" s="1"/>
  <c r="R118" i="71"/>
  <c r="R119" i="71" s="1"/>
  <c r="F119" i="71"/>
  <c r="H119" i="71"/>
  <c r="T119" i="71" s="1"/>
  <c r="I140" i="71"/>
  <c r="A149" i="71"/>
  <c r="A159" i="71"/>
  <c r="A161" i="71"/>
  <c r="A165" i="71"/>
  <c r="A169" i="71"/>
  <c r="A170" i="71"/>
  <c r="A171" i="71"/>
  <c r="A175" i="71"/>
  <c r="A176" i="71"/>
  <c r="A177" i="71"/>
  <c r="A179" i="71"/>
  <c r="A180" i="71"/>
  <c r="A181" i="71"/>
  <c r="A182"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1" i="70"/>
  <c r="R101" i="70" s="1"/>
  <c r="F102" i="70"/>
  <c r="R102" i="70" s="1"/>
  <c r="F103" i="70"/>
  <c r="R103" i="70" s="1"/>
  <c r="G110" i="70"/>
  <c r="T110" i="70" s="1"/>
  <c r="G111" i="70"/>
  <c r="I111" i="70" s="1"/>
  <c r="H118" i="70"/>
  <c r="R118" i="70"/>
  <c r="R119" i="70" s="1"/>
  <c r="F119" i="70"/>
  <c r="H119" i="70"/>
  <c r="T119" i="70" s="1"/>
  <c r="I140" i="70"/>
  <c r="A149" i="70"/>
  <c r="A159" i="70"/>
  <c r="A161" i="70"/>
  <c r="A165" i="70"/>
  <c r="A169" i="70"/>
  <c r="A170" i="70"/>
  <c r="A171" i="70"/>
  <c r="A175" i="70"/>
  <c r="A176" i="70"/>
  <c r="A177" i="70"/>
  <c r="A179" i="70"/>
  <c r="A180" i="70"/>
  <c r="A181" i="70"/>
  <c r="A182"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1" i="69"/>
  <c r="R101" i="69" s="1"/>
  <c r="F102" i="69"/>
  <c r="R102" i="69" s="1"/>
  <c r="F103" i="69"/>
  <c r="R103" i="69" s="1"/>
  <c r="G110" i="69"/>
  <c r="I110" i="69" s="1"/>
  <c r="G111" i="69"/>
  <c r="T111" i="69" s="1"/>
  <c r="U111" i="69" s="1"/>
  <c r="H118" i="69"/>
  <c r="T118" i="69" s="1"/>
  <c r="R118" i="69"/>
  <c r="R119" i="69" s="1"/>
  <c r="F119" i="69"/>
  <c r="H119" i="69"/>
  <c r="T119" i="69" s="1"/>
  <c r="I140" i="69"/>
  <c r="A149" i="69"/>
  <c r="A159" i="69"/>
  <c r="A161" i="69"/>
  <c r="A165" i="69"/>
  <c r="A169" i="69"/>
  <c r="A170" i="69"/>
  <c r="A171" i="69"/>
  <c r="A175" i="69"/>
  <c r="A176" i="69"/>
  <c r="A177" i="69"/>
  <c r="A179" i="69"/>
  <c r="A180" i="69"/>
  <c r="A181" i="69"/>
  <c r="A182" i="69"/>
  <c r="N1" i="67"/>
  <c r="A3" i="67"/>
  <c r="N3" i="67" s="1"/>
  <c r="F4" i="67"/>
  <c r="P4" i="67"/>
  <c r="N7" i="67"/>
  <c r="C8" i="67"/>
  <c r="P8" i="67" s="1"/>
  <c r="H8" i="67"/>
  <c r="E101" i="67" s="1"/>
  <c r="F14" i="67"/>
  <c r="F15" i="67"/>
  <c r="F16" i="67"/>
  <c r="F17" i="67"/>
  <c r="F18" i="67"/>
  <c r="F19" i="67"/>
  <c r="F20" i="67"/>
  <c r="F21" i="67"/>
  <c r="F22" i="67"/>
  <c r="F23" i="67"/>
  <c r="F24" i="67"/>
  <c r="F25" i="67"/>
  <c r="F26" i="67"/>
  <c r="F27" i="67"/>
  <c r="F28" i="67"/>
  <c r="F29" i="67"/>
  <c r="C30" i="67"/>
  <c r="D30" i="67"/>
  <c r="E118" i="67" s="1"/>
  <c r="C44" i="67"/>
  <c r="D44" i="67"/>
  <c r="E39" i="67" s="1"/>
  <c r="H69" i="67"/>
  <c r="T69" i="67" s="1"/>
  <c r="H72" i="67"/>
  <c r="T72" i="67" s="1"/>
  <c r="F85" i="67"/>
  <c r="R85" i="67" s="1"/>
  <c r="F88" i="67"/>
  <c r="R88" i="67" s="1"/>
  <c r="F90" i="67"/>
  <c r="R90" i="67" s="1"/>
  <c r="F92" i="67"/>
  <c r="R92" i="67" s="1"/>
  <c r="F94" i="67"/>
  <c r="R94" i="67" s="1"/>
  <c r="F96" i="67"/>
  <c r="R96" i="67" s="1"/>
  <c r="F101" i="67"/>
  <c r="R101" i="67" s="1"/>
  <c r="F102" i="67"/>
  <c r="R102" i="67" s="1"/>
  <c r="F103" i="67"/>
  <c r="R103" i="67" s="1"/>
  <c r="G110" i="67"/>
  <c r="T110" i="67" s="1"/>
  <c r="G111" i="67"/>
  <c r="T111" i="67" s="1"/>
  <c r="U111" i="67" s="1"/>
  <c r="H118" i="67"/>
  <c r="H120" i="67" s="1"/>
  <c r="T120" i="67" s="1"/>
  <c r="R118" i="67"/>
  <c r="R119" i="67" s="1"/>
  <c r="F119" i="67"/>
  <c r="H119" i="67"/>
  <c r="T119" i="67" s="1"/>
  <c r="I140" i="67"/>
  <c r="A149" i="67"/>
  <c r="A159" i="67"/>
  <c r="A161" i="67"/>
  <c r="A165" i="67"/>
  <c r="A169" i="67"/>
  <c r="A170" i="67"/>
  <c r="A171" i="67"/>
  <c r="A175" i="67"/>
  <c r="A176" i="67"/>
  <c r="A177" i="67"/>
  <c r="A179" i="67"/>
  <c r="A180" i="67"/>
  <c r="A181" i="67"/>
  <c r="A182" i="67"/>
  <c r="N1" i="66"/>
  <c r="A3" i="66"/>
  <c r="N3" i="66" s="1"/>
  <c r="F4" i="66"/>
  <c r="P4" i="66"/>
  <c r="N7" i="66"/>
  <c r="C8" i="66"/>
  <c r="P8" i="66" s="1"/>
  <c r="H8" i="66"/>
  <c r="E102"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1" i="66"/>
  <c r="R101" i="66" s="1"/>
  <c r="F102" i="66"/>
  <c r="R102" i="66" s="1"/>
  <c r="F103" i="66"/>
  <c r="R103" i="66" s="1"/>
  <c r="G110" i="66"/>
  <c r="T110" i="66" s="1"/>
  <c r="G111" i="66"/>
  <c r="T111" i="66" s="1"/>
  <c r="U111" i="66" s="1"/>
  <c r="H118" i="66"/>
  <c r="R118" i="66"/>
  <c r="R119" i="66" s="1"/>
  <c r="F119" i="66"/>
  <c r="H119" i="66"/>
  <c r="T119" i="66" s="1"/>
  <c r="I140" i="66"/>
  <c r="A149" i="66"/>
  <c r="A159" i="66"/>
  <c r="A161" i="66"/>
  <c r="A165" i="66"/>
  <c r="A169" i="66"/>
  <c r="A170" i="66"/>
  <c r="A171" i="66"/>
  <c r="A175" i="66"/>
  <c r="A176" i="66"/>
  <c r="A177" i="66"/>
  <c r="A179" i="66"/>
  <c r="A180" i="66"/>
  <c r="A181" i="66"/>
  <c r="A182"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1" i="58"/>
  <c r="R101" i="58" s="1"/>
  <c r="F102" i="58"/>
  <c r="R102" i="58" s="1"/>
  <c r="F103" i="58"/>
  <c r="R103" i="58" s="1"/>
  <c r="G110" i="58"/>
  <c r="I110" i="58" s="1"/>
  <c r="G111" i="58"/>
  <c r="T111" i="58" s="1"/>
  <c r="U111" i="58" s="1"/>
  <c r="H118" i="58"/>
  <c r="T118" i="58" s="1"/>
  <c r="R118" i="58"/>
  <c r="R119" i="58" s="1"/>
  <c r="F119" i="58"/>
  <c r="H119" i="58"/>
  <c r="T119" i="58" s="1"/>
  <c r="I140" i="58"/>
  <c r="A149" i="58"/>
  <c r="A159" i="58"/>
  <c r="A161" i="58"/>
  <c r="A165" i="58"/>
  <c r="A169" i="58"/>
  <c r="A170" i="58"/>
  <c r="A171" i="58"/>
  <c r="A175" i="58"/>
  <c r="A176" i="58"/>
  <c r="A177" i="58"/>
  <c r="A179" i="58"/>
  <c r="A180" i="58"/>
  <c r="A181" i="58"/>
  <c r="A182" i="58"/>
  <c r="N1" i="57"/>
  <c r="A3" i="57"/>
  <c r="N3" i="57" s="1"/>
  <c r="F4" i="57"/>
  <c r="P4" i="57"/>
  <c r="N7" i="57"/>
  <c r="C8" i="57"/>
  <c r="P8" i="57" s="1"/>
  <c r="H8" i="57"/>
  <c r="E102" i="57" s="1"/>
  <c r="F14" i="57"/>
  <c r="F15" i="57"/>
  <c r="F16" i="57"/>
  <c r="F17" i="57"/>
  <c r="F18" i="57"/>
  <c r="F19" i="57"/>
  <c r="F20" i="57"/>
  <c r="F21" i="57"/>
  <c r="F22" i="57"/>
  <c r="F23" i="57"/>
  <c r="F24" i="57"/>
  <c r="F25" i="57"/>
  <c r="F26" i="57"/>
  <c r="F27" i="57"/>
  <c r="F28" i="57"/>
  <c r="F29" i="57"/>
  <c r="C30" i="57"/>
  <c r="D30" i="57"/>
  <c r="E118" i="57" s="1"/>
  <c r="C44" i="57"/>
  <c r="D44" i="57"/>
  <c r="E40" i="57" s="1"/>
  <c r="H69" i="57"/>
  <c r="T69" i="57" s="1"/>
  <c r="H72" i="57"/>
  <c r="T72" i="57" s="1"/>
  <c r="F85" i="57"/>
  <c r="R85" i="57" s="1"/>
  <c r="F88" i="57"/>
  <c r="R88" i="57" s="1"/>
  <c r="F90" i="57"/>
  <c r="R90" i="57" s="1"/>
  <c r="F92" i="57"/>
  <c r="R92" i="57" s="1"/>
  <c r="F94" i="57"/>
  <c r="R94" i="57" s="1"/>
  <c r="F96" i="57"/>
  <c r="R96" i="57" s="1"/>
  <c r="F101" i="57"/>
  <c r="R101" i="57" s="1"/>
  <c r="F102" i="57"/>
  <c r="R102" i="57" s="1"/>
  <c r="F103" i="57"/>
  <c r="R103" i="57" s="1"/>
  <c r="G110" i="57"/>
  <c r="T110" i="57" s="1"/>
  <c r="G111" i="57"/>
  <c r="H118" i="57"/>
  <c r="R118" i="57"/>
  <c r="R119" i="57" s="1"/>
  <c r="F119" i="57"/>
  <c r="H119" i="57"/>
  <c r="T119" i="57" s="1"/>
  <c r="I140" i="57"/>
  <c r="A149" i="57"/>
  <c r="A159" i="57"/>
  <c r="A161" i="57"/>
  <c r="A165" i="57"/>
  <c r="A169" i="57"/>
  <c r="A170" i="57"/>
  <c r="A171" i="57"/>
  <c r="A175" i="57"/>
  <c r="A176" i="57"/>
  <c r="A177" i="57"/>
  <c r="A179" i="57"/>
  <c r="A180" i="57"/>
  <c r="A181" i="57"/>
  <c r="A182"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1" i="56"/>
  <c r="R101" i="56" s="1"/>
  <c r="F102" i="56"/>
  <c r="R102" i="56" s="1"/>
  <c r="F103" i="56"/>
  <c r="R103" i="56" s="1"/>
  <c r="G110" i="56"/>
  <c r="I110" i="56" s="1"/>
  <c r="G111" i="56"/>
  <c r="T111" i="56" s="1"/>
  <c r="U111" i="56" s="1"/>
  <c r="H118" i="56"/>
  <c r="T118" i="56" s="1"/>
  <c r="R118" i="56"/>
  <c r="R119" i="56" s="1"/>
  <c r="F119" i="56"/>
  <c r="H119" i="56"/>
  <c r="I140" i="56"/>
  <c r="A149" i="56"/>
  <c r="A159" i="56"/>
  <c r="A161" i="56"/>
  <c r="A165" i="56"/>
  <c r="A169" i="56"/>
  <c r="A170" i="56"/>
  <c r="A171" i="56"/>
  <c r="A175" i="56"/>
  <c r="A176" i="56"/>
  <c r="A177" i="56"/>
  <c r="A179" i="56"/>
  <c r="A180" i="56"/>
  <c r="A181" i="56"/>
  <c r="A182"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1" i="55"/>
  <c r="R101" i="55" s="1"/>
  <c r="F102" i="55"/>
  <c r="R102" i="55" s="1"/>
  <c r="F103" i="55"/>
  <c r="R103" i="55" s="1"/>
  <c r="G110" i="55"/>
  <c r="T110" i="55" s="1"/>
  <c r="G111" i="55"/>
  <c r="T111" i="55" s="1"/>
  <c r="U111" i="55" s="1"/>
  <c r="H118" i="55"/>
  <c r="T118" i="55" s="1"/>
  <c r="R118" i="55"/>
  <c r="R119" i="55" s="1"/>
  <c r="F119" i="55"/>
  <c r="H119" i="55"/>
  <c r="T119" i="55" s="1"/>
  <c r="I140" i="55"/>
  <c r="A149" i="55"/>
  <c r="A159" i="55"/>
  <c r="A161" i="55"/>
  <c r="A165" i="55"/>
  <c r="A169" i="55"/>
  <c r="A170" i="55"/>
  <c r="A171" i="55"/>
  <c r="A175" i="55"/>
  <c r="A176" i="55"/>
  <c r="A177" i="55"/>
  <c r="A179" i="55"/>
  <c r="A180" i="55"/>
  <c r="A181" i="55"/>
  <c r="A182"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1" i="76"/>
  <c r="R101" i="76" s="1"/>
  <c r="F102" i="76"/>
  <c r="R102" i="76" s="1"/>
  <c r="F103" i="76"/>
  <c r="R103" i="76" s="1"/>
  <c r="G110" i="76"/>
  <c r="I110" i="76" s="1"/>
  <c r="G111" i="76"/>
  <c r="H118" i="76"/>
  <c r="H120" i="76" s="1"/>
  <c r="R118" i="76"/>
  <c r="R119" i="76" s="1"/>
  <c r="F119" i="76"/>
  <c r="H119" i="76"/>
  <c r="T119" i="76" s="1"/>
  <c r="I140" i="76"/>
  <c r="A149" i="76"/>
  <c r="A159" i="76"/>
  <c r="A161" i="76"/>
  <c r="A165" i="76"/>
  <c r="A169" i="76"/>
  <c r="A170" i="76"/>
  <c r="A171" i="76"/>
  <c r="A175" i="76"/>
  <c r="A176" i="76"/>
  <c r="A177" i="76"/>
  <c r="A179" i="76"/>
  <c r="A180" i="76"/>
  <c r="A181" i="76"/>
  <c r="A182"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1" i="75"/>
  <c r="R101" i="75" s="1"/>
  <c r="F102" i="75"/>
  <c r="R102" i="75" s="1"/>
  <c r="F103" i="75"/>
  <c r="R103" i="75" s="1"/>
  <c r="G110" i="75"/>
  <c r="I110" i="75" s="1"/>
  <c r="G111" i="75"/>
  <c r="T111" i="75" s="1"/>
  <c r="U111" i="75" s="1"/>
  <c r="H118" i="75"/>
  <c r="T118" i="75" s="1"/>
  <c r="R118" i="75"/>
  <c r="R119" i="75" s="1"/>
  <c r="F119" i="75"/>
  <c r="H119" i="75"/>
  <c r="I140" i="75"/>
  <c r="A149" i="75"/>
  <c r="A159" i="75"/>
  <c r="A161" i="75"/>
  <c r="A165" i="75"/>
  <c r="A169" i="75"/>
  <c r="A170" i="75"/>
  <c r="A171" i="75"/>
  <c r="A175" i="75"/>
  <c r="A176" i="75"/>
  <c r="A177" i="75"/>
  <c r="A179" i="75"/>
  <c r="A180" i="75"/>
  <c r="A181" i="75"/>
  <c r="A182"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1" i="52"/>
  <c r="R101" i="52" s="1"/>
  <c r="F102" i="52"/>
  <c r="R102" i="52" s="1"/>
  <c r="F103" i="52"/>
  <c r="R103" i="52" s="1"/>
  <c r="G110" i="52"/>
  <c r="I110" i="52" s="1"/>
  <c r="G111" i="52"/>
  <c r="I111" i="52" s="1"/>
  <c r="H118" i="52"/>
  <c r="T118" i="52" s="1"/>
  <c r="R118" i="52"/>
  <c r="R119" i="52" s="1"/>
  <c r="F119" i="52"/>
  <c r="H119" i="52"/>
  <c r="T119" i="52" s="1"/>
  <c r="I140" i="52"/>
  <c r="A149" i="52"/>
  <c r="A159" i="52"/>
  <c r="A161" i="52"/>
  <c r="A165" i="52"/>
  <c r="A169" i="52"/>
  <c r="A170" i="52"/>
  <c r="A171" i="52"/>
  <c r="A175" i="52"/>
  <c r="A176" i="52"/>
  <c r="A177" i="52"/>
  <c r="A179" i="52"/>
  <c r="A180" i="52"/>
  <c r="A181" i="52"/>
  <c r="A182" i="52"/>
  <c r="N1" i="51"/>
  <c r="A3" i="51"/>
  <c r="N3" i="51" s="1"/>
  <c r="F4" i="51"/>
  <c r="P4" i="51"/>
  <c r="N7" i="51"/>
  <c r="C8" i="51"/>
  <c r="P8" i="51" s="1"/>
  <c r="H8" i="51"/>
  <c r="T8" i="51" s="1"/>
  <c r="P101"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1" i="51"/>
  <c r="R101" i="51" s="1"/>
  <c r="F102" i="51"/>
  <c r="R102" i="51" s="1"/>
  <c r="F103" i="51"/>
  <c r="R103" i="51" s="1"/>
  <c r="G110" i="51"/>
  <c r="I110" i="51" s="1"/>
  <c r="G111" i="51"/>
  <c r="T111" i="51" s="1"/>
  <c r="U111" i="51" s="1"/>
  <c r="H118" i="51"/>
  <c r="T118" i="51" s="1"/>
  <c r="R118" i="51"/>
  <c r="R119" i="51" s="1"/>
  <c r="F119" i="51"/>
  <c r="H119" i="51"/>
  <c r="T119" i="51" s="1"/>
  <c r="I140" i="51"/>
  <c r="A149" i="51"/>
  <c r="A159" i="51"/>
  <c r="A161" i="51"/>
  <c r="A165" i="51"/>
  <c r="A169" i="51"/>
  <c r="A170" i="51"/>
  <c r="A171" i="51"/>
  <c r="A175" i="51"/>
  <c r="A176" i="51"/>
  <c r="A177" i="51"/>
  <c r="A179" i="51"/>
  <c r="A180" i="51"/>
  <c r="A181" i="51"/>
  <c r="A182" i="51"/>
  <c r="N1" i="50"/>
  <c r="A3" i="50"/>
  <c r="N3" i="50" s="1"/>
  <c r="F4" i="50"/>
  <c r="P4" i="50"/>
  <c r="N7" i="50"/>
  <c r="C8" i="50"/>
  <c r="P8" i="50" s="1"/>
  <c r="H8" i="50"/>
  <c r="E101"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1" i="50"/>
  <c r="R101" i="50" s="1"/>
  <c r="F102" i="50"/>
  <c r="R102" i="50" s="1"/>
  <c r="F103" i="50"/>
  <c r="R103" i="50" s="1"/>
  <c r="G110" i="50"/>
  <c r="T110" i="50" s="1"/>
  <c r="G111" i="50"/>
  <c r="I111" i="50" s="1"/>
  <c r="H118" i="50"/>
  <c r="R118" i="50"/>
  <c r="R119" i="50" s="1"/>
  <c r="F119" i="50"/>
  <c r="H119" i="50"/>
  <c r="T119" i="50" s="1"/>
  <c r="I140" i="50"/>
  <c r="A149" i="50"/>
  <c r="A159" i="50"/>
  <c r="A161" i="50"/>
  <c r="A165" i="50"/>
  <c r="A169" i="50"/>
  <c r="A170" i="50"/>
  <c r="A171" i="50"/>
  <c r="A175" i="50"/>
  <c r="A176" i="50"/>
  <c r="A177" i="50"/>
  <c r="A179" i="50"/>
  <c r="A180" i="50"/>
  <c r="A181" i="50"/>
  <c r="A182"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1" i="48"/>
  <c r="R101" i="48" s="1"/>
  <c r="F102" i="48"/>
  <c r="R102" i="48" s="1"/>
  <c r="F103" i="48"/>
  <c r="R103" i="48" s="1"/>
  <c r="G110" i="48"/>
  <c r="T110" i="48" s="1"/>
  <c r="G111" i="48"/>
  <c r="I111" i="48" s="1"/>
  <c r="H118" i="48"/>
  <c r="R118" i="48"/>
  <c r="R119" i="48" s="1"/>
  <c r="F119" i="48"/>
  <c r="H119" i="48"/>
  <c r="I140" i="48"/>
  <c r="A149" i="48"/>
  <c r="A159" i="48"/>
  <c r="A161" i="48"/>
  <c r="A165" i="48"/>
  <c r="A169" i="48"/>
  <c r="A170" i="48"/>
  <c r="A171" i="48"/>
  <c r="A175" i="48"/>
  <c r="A176" i="48"/>
  <c r="A177" i="48"/>
  <c r="A179" i="48"/>
  <c r="A180" i="48"/>
  <c r="A181" i="48"/>
  <c r="A182"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1" i="47"/>
  <c r="R101" i="47" s="1"/>
  <c r="F102" i="47"/>
  <c r="R102" i="47" s="1"/>
  <c r="F103" i="47"/>
  <c r="R103" i="47" s="1"/>
  <c r="G110" i="47"/>
  <c r="T110" i="47" s="1"/>
  <c r="G111" i="47"/>
  <c r="I111" i="47" s="1"/>
  <c r="H118" i="47"/>
  <c r="R118" i="47"/>
  <c r="R119" i="47" s="1"/>
  <c r="F119" i="47"/>
  <c r="H119" i="47"/>
  <c r="T119" i="47" s="1"/>
  <c r="I140" i="47"/>
  <c r="A149" i="47"/>
  <c r="A159" i="47"/>
  <c r="A161" i="47"/>
  <c r="A165" i="47"/>
  <c r="A169" i="47"/>
  <c r="A170" i="47"/>
  <c r="A171" i="47"/>
  <c r="A175" i="47"/>
  <c r="A176" i="47"/>
  <c r="A177" i="47"/>
  <c r="A179" i="47"/>
  <c r="A180" i="47"/>
  <c r="A181" i="47"/>
  <c r="A182" i="47"/>
  <c r="N1" i="45"/>
  <c r="A3" i="45"/>
  <c r="N3" i="45" s="1"/>
  <c r="F4" i="45"/>
  <c r="P4" i="45"/>
  <c r="N7" i="45"/>
  <c r="C8" i="45"/>
  <c r="P8" i="45" s="1"/>
  <c r="H8" i="45"/>
  <c r="T8" i="45" s="1"/>
  <c r="P101"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1" i="45"/>
  <c r="R101" i="45" s="1"/>
  <c r="F102" i="45"/>
  <c r="R102" i="45" s="1"/>
  <c r="F103" i="45"/>
  <c r="R103" i="45" s="1"/>
  <c r="G110" i="45"/>
  <c r="G111" i="45"/>
  <c r="I111" i="45" s="1"/>
  <c r="H118" i="45"/>
  <c r="R118" i="45"/>
  <c r="R119" i="45" s="1"/>
  <c r="F119" i="45"/>
  <c r="H119" i="45"/>
  <c r="T119" i="45" s="1"/>
  <c r="I140" i="45"/>
  <c r="A149" i="45"/>
  <c r="A159" i="45"/>
  <c r="A161" i="45"/>
  <c r="A165" i="45"/>
  <c r="A169" i="45"/>
  <c r="A170" i="45"/>
  <c r="A171" i="45"/>
  <c r="A175" i="45"/>
  <c r="A176" i="45"/>
  <c r="A177" i="45"/>
  <c r="A179" i="45"/>
  <c r="A180" i="45"/>
  <c r="A181" i="45"/>
  <c r="A182"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1" i="44"/>
  <c r="R101" i="44" s="1"/>
  <c r="F102" i="44"/>
  <c r="R102" i="44" s="1"/>
  <c r="F103" i="44"/>
  <c r="R103" i="44" s="1"/>
  <c r="G110" i="44"/>
  <c r="I110" i="44" s="1"/>
  <c r="G111" i="44"/>
  <c r="T111" i="44" s="1"/>
  <c r="U111" i="44" s="1"/>
  <c r="H118" i="44"/>
  <c r="H120" i="44" s="1"/>
  <c r="R118" i="44"/>
  <c r="R119" i="44" s="1"/>
  <c r="F119" i="44"/>
  <c r="H119" i="44"/>
  <c r="I140" i="44"/>
  <c r="A149" i="44"/>
  <c r="A159" i="44"/>
  <c r="A161" i="44"/>
  <c r="A165" i="44"/>
  <c r="A169" i="44"/>
  <c r="A170" i="44"/>
  <c r="A171" i="44"/>
  <c r="A175" i="44"/>
  <c r="A176" i="44"/>
  <c r="A177" i="44"/>
  <c r="A179" i="44"/>
  <c r="A180" i="44"/>
  <c r="A181" i="44"/>
  <c r="A182"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1" i="43"/>
  <c r="R101" i="43" s="1"/>
  <c r="F102" i="43"/>
  <c r="R102" i="43" s="1"/>
  <c r="F103" i="43"/>
  <c r="R103" i="43" s="1"/>
  <c r="G110" i="43"/>
  <c r="G111" i="43"/>
  <c r="I111" i="43" s="1"/>
  <c r="H118" i="43"/>
  <c r="H120" i="43" s="1"/>
  <c r="R118" i="43"/>
  <c r="R119" i="43" s="1"/>
  <c r="F119" i="43"/>
  <c r="H119" i="43"/>
  <c r="T119" i="43" s="1"/>
  <c r="I140" i="43"/>
  <c r="A149" i="43"/>
  <c r="A159" i="43"/>
  <c r="A161" i="43"/>
  <c r="A165" i="43"/>
  <c r="A169" i="43"/>
  <c r="A170" i="43"/>
  <c r="A171" i="43"/>
  <c r="A175" i="43"/>
  <c r="A176" i="43"/>
  <c r="A177" i="43"/>
  <c r="A179" i="43"/>
  <c r="A180" i="43"/>
  <c r="A181" i="43"/>
  <c r="A182" i="43"/>
  <c r="N1" i="42"/>
  <c r="A3" i="42"/>
  <c r="N3" i="42" s="1"/>
  <c r="F4" i="42"/>
  <c r="P4" i="42"/>
  <c r="N7" i="42"/>
  <c r="C8" i="42"/>
  <c r="P8" i="42" s="1"/>
  <c r="H8" i="42"/>
  <c r="E103"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1" i="42"/>
  <c r="R101" i="42" s="1"/>
  <c r="F102" i="42"/>
  <c r="R102" i="42" s="1"/>
  <c r="F103" i="42"/>
  <c r="R103" i="42" s="1"/>
  <c r="G110" i="42"/>
  <c r="I110" i="42" s="1"/>
  <c r="G111" i="42"/>
  <c r="I111" i="42" s="1"/>
  <c r="H118" i="42"/>
  <c r="H120" i="42" s="1"/>
  <c r="T120" i="42" s="1"/>
  <c r="R118" i="42"/>
  <c r="R119" i="42" s="1"/>
  <c r="F119" i="42"/>
  <c r="H119" i="42"/>
  <c r="T119" i="42" s="1"/>
  <c r="I140" i="42"/>
  <c r="A149" i="42"/>
  <c r="A159" i="42"/>
  <c r="A161" i="42"/>
  <c r="A165" i="42"/>
  <c r="A169" i="42"/>
  <c r="A170" i="42"/>
  <c r="A171" i="42"/>
  <c r="A175" i="42"/>
  <c r="A176" i="42"/>
  <c r="A177" i="42"/>
  <c r="A179" i="42"/>
  <c r="A180" i="42"/>
  <c r="A181" i="42"/>
  <c r="A182"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18" i="40" s="1"/>
  <c r="C44" i="40"/>
  <c r="D44" i="40"/>
  <c r="E38" i="40" s="1"/>
  <c r="H69" i="40"/>
  <c r="T69" i="40" s="1"/>
  <c r="H72" i="40"/>
  <c r="T72" i="40" s="1"/>
  <c r="F85" i="40"/>
  <c r="R85" i="40" s="1"/>
  <c r="F88" i="40"/>
  <c r="R88" i="40" s="1"/>
  <c r="F90" i="40"/>
  <c r="R90" i="40" s="1"/>
  <c r="F92" i="40"/>
  <c r="R92" i="40" s="1"/>
  <c r="F94" i="40"/>
  <c r="F96" i="40"/>
  <c r="R96" i="40" s="1"/>
  <c r="F101" i="40"/>
  <c r="R101" i="40" s="1"/>
  <c r="F102" i="40"/>
  <c r="R102" i="40" s="1"/>
  <c r="F103" i="40"/>
  <c r="R103" i="40" s="1"/>
  <c r="G110" i="40"/>
  <c r="I110" i="40" s="1"/>
  <c r="G111" i="40"/>
  <c r="I111" i="40" s="1"/>
  <c r="H118" i="40"/>
  <c r="H120" i="40" s="1"/>
  <c r="T120" i="40" s="1"/>
  <c r="R118" i="40"/>
  <c r="R119" i="40" s="1"/>
  <c r="F119" i="40"/>
  <c r="H119" i="40"/>
  <c r="I140" i="40"/>
  <c r="A149" i="40"/>
  <c r="A159" i="40"/>
  <c r="A161" i="40"/>
  <c r="A165" i="40"/>
  <c r="A169" i="40"/>
  <c r="A170" i="40"/>
  <c r="A171" i="40"/>
  <c r="A175" i="40"/>
  <c r="A176" i="40"/>
  <c r="A177" i="40"/>
  <c r="A179" i="40"/>
  <c r="A180" i="40"/>
  <c r="A181" i="40"/>
  <c r="A182" i="40"/>
  <c r="N1" i="39"/>
  <c r="A3" i="39"/>
  <c r="N3" i="39" s="1"/>
  <c r="F4" i="39"/>
  <c r="P4" i="39"/>
  <c r="N7" i="39"/>
  <c r="C8" i="39"/>
  <c r="P8" i="39" s="1"/>
  <c r="H8" i="39"/>
  <c r="E101"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1" i="39"/>
  <c r="R101" i="39" s="1"/>
  <c r="F102" i="39"/>
  <c r="R102" i="39" s="1"/>
  <c r="F103" i="39"/>
  <c r="R103" i="39" s="1"/>
  <c r="G110" i="39"/>
  <c r="I110" i="39" s="1"/>
  <c r="G111" i="39"/>
  <c r="H118" i="39"/>
  <c r="T118" i="39" s="1"/>
  <c r="R118" i="39"/>
  <c r="R119" i="39" s="1"/>
  <c r="F119" i="39"/>
  <c r="H119" i="39"/>
  <c r="I140" i="39"/>
  <c r="A149" i="39"/>
  <c r="A159" i="39"/>
  <c r="A161" i="39"/>
  <c r="A165" i="39"/>
  <c r="A169" i="39"/>
  <c r="A170" i="39"/>
  <c r="A171" i="39"/>
  <c r="A175" i="39"/>
  <c r="A176" i="39"/>
  <c r="A177" i="39"/>
  <c r="A179" i="39"/>
  <c r="A180" i="39"/>
  <c r="A181" i="39"/>
  <c r="A182" i="39"/>
  <c r="N1" i="38"/>
  <c r="A3" i="38"/>
  <c r="N3" i="38" s="1"/>
  <c r="F4" i="38"/>
  <c r="P4" i="38"/>
  <c r="N7" i="38"/>
  <c r="C8" i="38"/>
  <c r="P8" i="38" s="1"/>
  <c r="H8" i="38"/>
  <c r="E101"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1" i="38"/>
  <c r="R101" i="38" s="1"/>
  <c r="F102" i="38"/>
  <c r="R102" i="38" s="1"/>
  <c r="F103" i="38"/>
  <c r="R103" i="38" s="1"/>
  <c r="G110" i="38"/>
  <c r="G111" i="38"/>
  <c r="I111" i="38" s="1"/>
  <c r="H118" i="38"/>
  <c r="R118" i="38"/>
  <c r="R119" i="38" s="1"/>
  <c r="F119" i="38"/>
  <c r="H119" i="38"/>
  <c r="I140" i="38"/>
  <c r="A149" i="38"/>
  <c r="A159" i="38"/>
  <c r="A161" i="38"/>
  <c r="A165" i="38"/>
  <c r="A169" i="38"/>
  <c r="A170" i="38"/>
  <c r="A171" i="38"/>
  <c r="A175" i="38"/>
  <c r="A176" i="38"/>
  <c r="A177" i="38"/>
  <c r="A179" i="38"/>
  <c r="A180" i="38"/>
  <c r="A181" i="38"/>
  <c r="A182"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1" i="37"/>
  <c r="R101" i="37" s="1"/>
  <c r="F102" i="37"/>
  <c r="R102" i="37" s="1"/>
  <c r="F103" i="37"/>
  <c r="R103" i="37" s="1"/>
  <c r="G110" i="37"/>
  <c r="G111" i="37"/>
  <c r="I111" i="37" s="1"/>
  <c r="H118" i="37"/>
  <c r="R118" i="37"/>
  <c r="R119" i="37" s="1"/>
  <c r="F119" i="37"/>
  <c r="H119" i="37"/>
  <c r="T119" i="37" s="1"/>
  <c r="I140" i="37"/>
  <c r="A149" i="37"/>
  <c r="A159" i="37"/>
  <c r="A161" i="37"/>
  <c r="A165" i="37"/>
  <c r="A169" i="37"/>
  <c r="A170" i="37"/>
  <c r="A171" i="37"/>
  <c r="A175" i="37"/>
  <c r="A176" i="37"/>
  <c r="A177" i="37"/>
  <c r="A179" i="37"/>
  <c r="A180" i="37"/>
  <c r="A181" i="37"/>
  <c r="A182"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18" i="36" s="1"/>
  <c r="C44" i="36"/>
  <c r="D44" i="36"/>
  <c r="H69" i="36"/>
  <c r="T69" i="36" s="1"/>
  <c r="H72" i="36"/>
  <c r="T72" i="36" s="1"/>
  <c r="F85" i="36"/>
  <c r="R85" i="36" s="1"/>
  <c r="F88" i="36"/>
  <c r="R88" i="36" s="1"/>
  <c r="F90" i="36"/>
  <c r="R90" i="36" s="1"/>
  <c r="F92" i="36"/>
  <c r="R92" i="36" s="1"/>
  <c r="F94" i="36"/>
  <c r="F96" i="36"/>
  <c r="R96" i="36" s="1"/>
  <c r="F101" i="36"/>
  <c r="R101" i="36" s="1"/>
  <c r="F102" i="36"/>
  <c r="R102" i="36" s="1"/>
  <c r="F103" i="36"/>
  <c r="R103" i="36" s="1"/>
  <c r="G110" i="36"/>
  <c r="T110" i="36" s="1"/>
  <c r="G111" i="36"/>
  <c r="H118" i="36"/>
  <c r="R118" i="36"/>
  <c r="R119" i="36" s="1"/>
  <c r="F119" i="36"/>
  <c r="H119" i="36"/>
  <c r="T119" i="36" s="1"/>
  <c r="I140" i="36"/>
  <c r="A149" i="36"/>
  <c r="A159" i="36"/>
  <c r="A161" i="36"/>
  <c r="A165" i="36"/>
  <c r="A169" i="36"/>
  <c r="A170" i="36"/>
  <c r="A171" i="36"/>
  <c r="A175" i="36"/>
  <c r="A176" i="36"/>
  <c r="A177" i="36"/>
  <c r="A179" i="36"/>
  <c r="A180" i="36"/>
  <c r="A181" i="36"/>
  <c r="A182" i="36"/>
  <c r="N1" i="23"/>
  <c r="A3" i="23"/>
  <c r="N3" i="23" s="1"/>
  <c r="F4" i="23"/>
  <c r="P4" i="23"/>
  <c r="N7" i="23"/>
  <c r="C8" i="23"/>
  <c r="P8" i="23" s="1"/>
  <c r="H8" i="23"/>
  <c r="E102"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1" i="23"/>
  <c r="R101" i="23" s="1"/>
  <c r="F102" i="23"/>
  <c r="R102" i="23" s="1"/>
  <c r="F103" i="23"/>
  <c r="R103" i="23" s="1"/>
  <c r="G110" i="23"/>
  <c r="T110" i="23" s="1"/>
  <c r="G111" i="23"/>
  <c r="I111" i="23" s="1"/>
  <c r="H118" i="23"/>
  <c r="T118" i="23" s="1"/>
  <c r="R118" i="23"/>
  <c r="R119" i="23" s="1"/>
  <c r="F119" i="23"/>
  <c r="H119" i="23"/>
  <c r="T119" i="23" s="1"/>
  <c r="I140" i="23"/>
  <c r="A149" i="23"/>
  <c r="A159" i="23"/>
  <c r="A161" i="23"/>
  <c r="A165" i="23"/>
  <c r="A169" i="23"/>
  <c r="A170" i="23"/>
  <c r="A171" i="23"/>
  <c r="A175" i="23"/>
  <c r="A176" i="23"/>
  <c r="A177" i="23"/>
  <c r="A179" i="23"/>
  <c r="A180" i="23"/>
  <c r="A181" i="23"/>
  <c r="A182"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1" i="35"/>
  <c r="R101" i="35" s="1"/>
  <c r="F102" i="35"/>
  <c r="R102" i="35" s="1"/>
  <c r="F103" i="35"/>
  <c r="R103" i="35" s="1"/>
  <c r="G110" i="35"/>
  <c r="G111" i="35"/>
  <c r="T111" i="35" s="1"/>
  <c r="U111" i="35" s="1"/>
  <c r="H118" i="35"/>
  <c r="R118" i="35"/>
  <c r="R119" i="35" s="1"/>
  <c r="F119" i="35"/>
  <c r="H119" i="35"/>
  <c r="T119" i="35" s="1"/>
  <c r="I140" i="35"/>
  <c r="A149" i="35"/>
  <c r="A159" i="35"/>
  <c r="A161" i="35"/>
  <c r="A165" i="35"/>
  <c r="A169" i="35"/>
  <c r="A170" i="35"/>
  <c r="A171" i="35"/>
  <c r="A175" i="35"/>
  <c r="A176" i="35"/>
  <c r="A177" i="35"/>
  <c r="A179" i="35"/>
  <c r="A180" i="35"/>
  <c r="A181" i="35"/>
  <c r="A182" i="35"/>
  <c r="N1" i="34"/>
  <c r="A3" i="34"/>
  <c r="N3" i="34" s="1"/>
  <c r="F4" i="34"/>
  <c r="P4" i="34"/>
  <c r="N7" i="34"/>
  <c r="C8" i="34"/>
  <c r="P8" i="34" s="1"/>
  <c r="H8" i="34"/>
  <c r="E103"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1" i="34"/>
  <c r="R101" i="34" s="1"/>
  <c r="F102" i="34"/>
  <c r="R102" i="34" s="1"/>
  <c r="F103" i="34"/>
  <c r="R103" i="34" s="1"/>
  <c r="G110" i="34"/>
  <c r="G111" i="34"/>
  <c r="T111" i="34" s="1"/>
  <c r="U111" i="34" s="1"/>
  <c r="H118" i="34"/>
  <c r="R118" i="34"/>
  <c r="R119" i="34" s="1"/>
  <c r="F119" i="34"/>
  <c r="H119" i="34"/>
  <c r="T119" i="34" s="1"/>
  <c r="I140" i="34"/>
  <c r="A149" i="34"/>
  <c r="A159" i="34"/>
  <c r="A161" i="34"/>
  <c r="A165" i="34"/>
  <c r="A169" i="34"/>
  <c r="A170" i="34"/>
  <c r="A171" i="34"/>
  <c r="A175" i="34"/>
  <c r="A176" i="34"/>
  <c r="A177" i="34"/>
  <c r="A179" i="34"/>
  <c r="A180" i="34"/>
  <c r="A181" i="34"/>
  <c r="A182" i="34"/>
  <c r="N1" i="33"/>
  <c r="A3" i="33"/>
  <c r="N3" i="33" s="1"/>
  <c r="F4" i="33"/>
  <c r="P4" i="33"/>
  <c r="N7" i="33"/>
  <c r="C8" i="33"/>
  <c r="P8" i="33" s="1"/>
  <c r="H8" i="33"/>
  <c r="E101"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1" i="33"/>
  <c r="R101" i="33" s="1"/>
  <c r="F102" i="33"/>
  <c r="R102" i="33" s="1"/>
  <c r="F103" i="33"/>
  <c r="R103" i="33" s="1"/>
  <c r="G110" i="33"/>
  <c r="I110" i="33" s="1"/>
  <c r="G111" i="33"/>
  <c r="H118" i="33"/>
  <c r="R118" i="33"/>
  <c r="R119" i="33" s="1"/>
  <c r="F119" i="33"/>
  <c r="H119" i="33"/>
  <c r="T119" i="33" s="1"/>
  <c r="I140" i="33"/>
  <c r="A149" i="33"/>
  <c r="A159" i="33"/>
  <c r="A161" i="33"/>
  <c r="A165" i="33"/>
  <c r="A169" i="33"/>
  <c r="A170" i="33"/>
  <c r="A171" i="33"/>
  <c r="A175" i="33"/>
  <c r="A176" i="33"/>
  <c r="A177" i="33"/>
  <c r="A179" i="33"/>
  <c r="A180" i="33"/>
  <c r="A181" i="33"/>
  <c r="A182" i="33"/>
  <c r="N1" i="32"/>
  <c r="A3" i="32"/>
  <c r="N3" i="32" s="1"/>
  <c r="F4" i="32"/>
  <c r="P4" i="32"/>
  <c r="N7" i="32"/>
  <c r="C8" i="32"/>
  <c r="P8" i="32" s="1"/>
  <c r="H8" i="32"/>
  <c r="T8" i="32" s="1"/>
  <c r="P101"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1" i="32"/>
  <c r="R101" i="32" s="1"/>
  <c r="F102" i="32"/>
  <c r="R102" i="32" s="1"/>
  <c r="F103" i="32"/>
  <c r="R103" i="32" s="1"/>
  <c r="G110" i="32"/>
  <c r="I110" i="32" s="1"/>
  <c r="G111" i="32"/>
  <c r="I111" i="32" s="1"/>
  <c r="H118" i="32"/>
  <c r="H120" i="32" s="1"/>
  <c r="T120" i="32" s="1"/>
  <c r="R118" i="32"/>
  <c r="R119" i="32" s="1"/>
  <c r="F119" i="32"/>
  <c r="H119" i="32"/>
  <c r="T119" i="32" s="1"/>
  <c r="I140" i="32"/>
  <c r="A149" i="32"/>
  <c r="A159" i="32"/>
  <c r="A161" i="32"/>
  <c r="A165" i="32"/>
  <c r="A169" i="32"/>
  <c r="A170" i="32"/>
  <c r="A171" i="32"/>
  <c r="A175" i="32"/>
  <c r="A176" i="32"/>
  <c r="A177" i="32"/>
  <c r="A179" i="32"/>
  <c r="A180" i="32"/>
  <c r="A181" i="32"/>
  <c r="A182"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1" i="31"/>
  <c r="R101" i="31" s="1"/>
  <c r="F102" i="31"/>
  <c r="R102" i="31" s="1"/>
  <c r="F103" i="31"/>
  <c r="R103" i="31" s="1"/>
  <c r="G110" i="31"/>
  <c r="T110" i="31" s="1"/>
  <c r="G111" i="31"/>
  <c r="I111" i="31" s="1"/>
  <c r="H118" i="31"/>
  <c r="R118" i="31"/>
  <c r="R119" i="31" s="1"/>
  <c r="F119" i="31"/>
  <c r="H119" i="31"/>
  <c r="T119" i="31" s="1"/>
  <c r="I140" i="31"/>
  <c r="A149" i="31"/>
  <c r="A159" i="31"/>
  <c r="A161" i="31"/>
  <c r="A165" i="31"/>
  <c r="A169" i="31"/>
  <c r="A170" i="31"/>
  <c r="A171" i="31"/>
  <c r="A175" i="31"/>
  <c r="A176" i="31"/>
  <c r="A177" i="31"/>
  <c r="A179" i="31"/>
  <c r="A180" i="31"/>
  <c r="A181" i="31"/>
  <c r="A182"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1" i="28"/>
  <c r="R101" i="28" s="1"/>
  <c r="F102" i="28"/>
  <c r="R102" i="28" s="1"/>
  <c r="F103" i="28"/>
  <c r="R103" i="28" s="1"/>
  <c r="G110" i="28"/>
  <c r="T110" i="28" s="1"/>
  <c r="G111" i="28"/>
  <c r="I111" i="28" s="1"/>
  <c r="H118" i="28"/>
  <c r="H120" i="28" s="1"/>
  <c r="R118" i="28"/>
  <c r="R119" i="28" s="1"/>
  <c r="F119" i="28"/>
  <c r="H119" i="28"/>
  <c r="T119" i="28" s="1"/>
  <c r="I140" i="28"/>
  <c r="A149" i="28"/>
  <c r="A159" i="28"/>
  <c r="A161" i="28"/>
  <c r="A165" i="28"/>
  <c r="A169" i="28"/>
  <c r="A170" i="28"/>
  <c r="A171" i="28"/>
  <c r="A175" i="28"/>
  <c r="A176" i="28"/>
  <c r="A177" i="28"/>
  <c r="A179" i="28"/>
  <c r="A180" i="28"/>
  <c r="A181" i="28"/>
  <c r="A182"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1" i="27"/>
  <c r="R101" i="27" s="1"/>
  <c r="F102" i="27"/>
  <c r="R102" i="27" s="1"/>
  <c r="F103" i="27"/>
  <c r="R103" i="27" s="1"/>
  <c r="G110" i="27"/>
  <c r="I110" i="27" s="1"/>
  <c r="G111" i="27"/>
  <c r="I111" i="27" s="1"/>
  <c r="H118" i="27"/>
  <c r="H120" i="27" s="1"/>
  <c r="T120" i="27" s="1"/>
  <c r="R118" i="27"/>
  <c r="R119" i="27" s="1"/>
  <c r="F119" i="27"/>
  <c r="H119" i="27"/>
  <c r="T119" i="27" s="1"/>
  <c r="I140" i="27"/>
  <c r="A149" i="27"/>
  <c r="A159" i="27"/>
  <c r="A161" i="27"/>
  <c r="A165" i="27"/>
  <c r="A169" i="27"/>
  <c r="A170" i="27"/>
  <c r="A171" i="27"/>
  <c r="A175" i="27"/>
  <c r="A176" i="27"/>
  <c r="A177" i="27"/>
  <c r="A179" i="27"/>
  <c r="A180" i="27"/>
  <c r="A181" i="27"/>
  <c r="A182"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1" i="26"/>
  <c r="R101" i="26" s="1"/>
  <c r="F102" i="26"/>
  <c r="R102" i="26" s="1"/>
  <c r="F103" i="26"/>
  <c r="R103" i="26" s="1"/>
  <c r="G110" i="26"/>
  <c r="I110" i="26" s="1"/>
  <c r="G111" i="26"/>
  <c r="I111" i="26" s="1"/>
  <c r="H118" i="26"/>
  <c r="R118" i="26"/>
  <c r="R119" i="26" s="1"/>
  <c r="F119" i="26"/>
  <c r="H119" i="26"/>
  <c r="T119" i="26" s="1"/>
  <c r="I140" i="26"/>
  <c r="A149" i="26"/>
  <c r="A159" i="26"/>
  <c r="A161" i="26"/>
  <c r="A165" i="26"/>
  <c r="A169" i="26"/>
  <c r="A170" i="26"/>
  <c r="A171" i="26"/>
  <c r="A175" i="26"/>
  <c r="A176" i="26"/>
  <c r="A177" i="26"/>
  <c r="A179" i="26"/>
  <c r="A180" i="26"/>
  <c r="A181" i="26"/>
  <c r="A182" i="26"/>
  <c r="N1" i="22"/>
  <c r="A3" i="22"/>
  <c r="N3" i="22" s="1"/>
  <c r="F4" i="22"/>
  <c r="P4" i="22"/>
  <c r="N7" i="22"/>
  <c r="C8" i="22"/>
  <c r="P8" i="22" s="1"/>
  <c r="H8" i="22"/>
  <c r="E101" i="22" s="1"/>
  <c r="F14" i="22"/>
  <c r="F15" i="22"/>
  <c r="F16" i="22"/>
  <c r="F17" i="22"/>
  <c r="F18" i="22"/>
  <c r="F19" i="22"/>
  <c r="F20" i="22"/>
  <c r="F21" i="22"/>
  <c r="F22" i="22"/>
  <c r="F23" i="22"/>
  <c r="F24" i="22"/>
  <c r="F25" i="22"/>
  <c r="F26" i="22"/>
  <c r="F27" i="22"/>
  <c r="F28" i="22"/>
  <c r="F29" i="22"/>
  <c r="C30" i="22"/>
  <c r="D30" i="22"/>
  <c r="E118" i="22" s="1"/>
  <c r="C44" i="22"/>
  <c r="D44" i="22"/>
  <c r="E43" i="22" s="1"/>
  <c r="H69" i="22"/>
  <c r="T69" i="22" s="1"/>
  <c r="H72" i="22"/>
  <c r="T72" i="22" s="1"/>
  <c r="F85" i="22"/>
  <c r="R85" i="22" s="1"/>
  <c r="F88" i="22"/>
  <c r="F90" i="22"/>
  <c r="R90" i="22" s="1"/>
  <c r="F92" i="22"/>
  <c r="R92" i="22" s="1"/>
  <c r="F94" i="22"/>
  <c r="R94" i="22" s="1"/>
  <c r="F96" i="22"/>
  <c r="F101" i="22"/>
  <c r="R101" i="22" s="1"/>
  <c r="F102" i="22"/>
  <c r="R102" i="22" s="1"/>
  <c r="F103" i="22"/>
  <c r="R103" i="22" s="1"/>
  <c r="G110" i="22"/>
  <c r="G111" i="22"/>
  <c r="I111" i="22" s="1"/>
  <c r="H118" i="22"/>
  <c r="T118" i="22" s="1"/>
  <c r="R118" i="22"/>
  <c r="R119" i="22" s="1"/>
  <c r="F119" i="22"/>
  <c r="H119" i="22"/>
  <c r="T119" i="22" s="1"/>
  <c r="I140" i="22"/>
  <c r="A149" i="22"/>
  <c r="A159" i="22"/>
  <c r="A161" i="22"/>
  <c r="A165" i="22"/>
  <c r="A169" i="22"/>
  <c r="A170" i="22"/>
  <c r="A171" i="22"/>
  <c r="A175" i="22"/>
  <c r="A176" i="22"/>
  <c r="A177" i="22"/>
  <c r="A179" i="22"/>
  <c r="A180" i="22"/>
  <c r="A181" i="22"/>
  <c r="A182" i="22"/>
  <c r="N1" i="24"/>
  <c r="A3" i="24"/>
  <c r="N3" i="24" s="1"/>
  <c r="F4" i="24"/>
  <c r="P4" i="24"/>
  <c r="N7" i="24"/>
  <c r="C8" i="24"/>
  <c r="P8" i="24" s="1"/>
  <c r="H8" i="24"/>
  <c r="E102"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1" i="24"/>
  <c r="R101" i="24" s="1"/>
  <c r="F102" i="24"/>
  <c r="R102" i="24" s="1"/>
  <c r="F103" i="24"/>
  <c r="R103" i="24" s="1"/>
  <c r="G110" i="24"/>
  <c r="T110" i="24" s="1"/>
  <c r="G111" i="24"/>
  <c r="I111" i="24" s="1"/>
  <c r="H118" i="24"/>
  <c r="H120" i="24" s="1"/>
  <c r="R118" i="24"/>
  <c r="R119" i="24" s="1"/>
  <c r="F119" i="24"/>
  <c r="H119" i="24"/>
  <c r="T119" i="24" s="1"/>
  <c r="I140" i="24"/>
  <c r="A149" i="24"/>
  <c r="A159" i="24"/>
  <c r="A161" i="24"/>
  <c r="A165" i="24"/>
  <c r="A169" i="24"/>
  <c r="A170" i="24"/>
  <c r="A171" i="24"/>
  <c r="A175" i="24"/>
  <c r="A176" i="24"/>
  <c r="A177" i="24"/>
  <c r="A179" i="24"/>
  <c r="A180" i="24"/>
  <c r="A181" i="24"/>
  <c r="A182" i="24"/>
  <c r="N1" i="25"/>
  <c r="A3" i="25"/>
  <c r="N3" i="25" s="1"/>
  <c r="F4" i="25"/>
  <c r="P4" i="25"/>
  <c r="N7" i="25"/>
  <c r="C8" i="25"/>
  <c r="P8" i="25" s="1"/>
  <c r="H8" i="25"/>
  <c r="T8" i="25" s="1"/>
  <c r="P101"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1" i="25"/>
  <c r="R101" i="25" s="1"/>
  <c r="F102" i="25"/>
  <c r="R102" i="25" s="1"/>
  <c r="F103" i="25"/>
  <c r="R103" i="25" s="1"/>
  <c r="G110" i="25"/>
  <c r="T110" i="25" s="1"/>
  <c r="G111" i="25"/>
  <c r="I111" i="25" s="1"/>
  <c r="H118" i="25"/>
  <c r="R118" i="25"/>
  <c r="R119" i="25" s="1"/>
  <c r="F119" i="25"/>
  <c r="H119" i="25"/>
  <c r="T119" i="25" s="1"/>
  <c r="I140" i="25"/>
  <c r="A149" i="25"/>
  <c r="A159" i="25"/>
  <c r="A161" i="25"/>
  <c r="A165" i="25"/>
  <c r="A169" i="25"/>
  <c r="A170" i="25"/>
  <c r="A171" i="25"/>
  <c r="A175" i="25"/>
  <c r="A176" i="25"/>
  <c r="A177" i="25"/>
  <c r="A179" i="25"/>
  <c r="A180" i="25"/>
  <c r="A181" i="25"/>
  <c r="A182" i="25"/>
  <c r="N1" i="21"/>
  <c r="A3" i="21"/>
  <c r="N3" i="21" s="1"/>
  <c r="F4" i="21"/>
  <c r="P4" i="21"/>
  <c r="N7" i="21"/>
  <c r="C8" i="21"/>
  <c r="P8" i="21" s="1"/>
  <c r="H8" i="21"/>
  <c r="E101"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1" i="21"/>
  <c r="R101" i="21" s="1"/>
  <c r="F102" i="21"/>
  <c r="R102" i="21" s="1"/>
  <c r="F103" i="21"/>
  <c r="R103" i="21" s="1"/>
  <c r="G110" i="21"/>
  <c r="T110" i="21" s="1"/>
  <c r="G111" i="21"/>
  <c r="I111" i="21" s="1"/>
  <c r="H118" i="21"/>
  <c r="R118" i="21"/>
  <c r="R119" i="21" s="1"/>
  <c r="F119" i="21"/>
  <c r="H119" i="21"/>
  <c r="T119" i="21" s="1"/>
  <c r="I140" i="21"/>
  <c r="A149" i="21"/>
  <c r="A159" i="21"/>
  <c r="A161" i="21"/>
  <c r="A165" i="21"/>
  <c r="A169" i="21"/>
  <c r="A170" i="21"/>
  <c r="A171" i="21"/>
  <c r="A175" i="21"/>
  <c r="A176" i="21"/>
  <c r="A177" i="21"/>
  <c r="A179" i="21"/>
  <c r="A180" i="21"/>
  <c r="A181" i="21"/>
  <c r="A182"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1" i="20"/>
  <c r="R101" i="20" s="1"/>
  <c r="F102" i="20"/>
  <c r="R102" i="20" s="1"/>
  <c r="F103" i="20"/>
  <c r="R103" i="20" s="1"/>
  <c r="G110" i="20"/>
  <c r="G111" i="20"/>
  <c r="H118" i="20"/>
  <c r="H120" i="20" s="1"/>
  <c r="T120" i="20" s="1"/>
  <c r="R118" i="20"/>
  <c r="R119" i="20" s="1"/>
  <c r="F119" i="20"/>
  <c r="H119" i="20"/>
  <c r="T119" i="20" s="1"/>
  <c r="I140" i="20"/>
  <c r="A149" i="20"/>
  <c r="A159" i="20"/>
  <c r="A161" i="20"/>
  <c r="A165" i="20"/>
  <c r="A169" i="20"/>
  <c r="A170" i="20"/>
  <c r="A171" i="20"/>
  <c r="A175" i="20"/>
  <c r="A176" i="20"/>
  <c r="A177" i="20"/>
  <c r="A179" i="20"/>
  <c r="A180" i="20"/>
  <c r="A181" i="20"/>
  <c r="A182" i="20"/>
  <c r="N1" i="18"/>
  <c r="A3" i="18"/>
  <c r="N3" i="18" s="1"/>
  <c r="F4" i="18"/>
  <c r="P4" i="18"/>
  <c r="N7" i="18"/>
  <c r="C8" i="18"/>
  <c r="P8" i="18" s="1"/>
  <c r="H8" i="18"/>
  <c r="T8" i="18" s="1"/>
  <c r="P103" i="18" s="1"/>
  <c r="F14" i="18"/>
  <c r="F15" i="18"/>
  <c r="F16" i="18"/>
  <c r="F17" i="18"/>
  <c r="F18" i="18"/>
  <c r="F19" i="18"/>
  <c r="F20" i="18"/>
  <c r="F21" i="18"/>
  <c r="F22" i="18"/>
  <c r="F23" i="18"/>
  <c r="F24" i="18"/>
  <c r="F25" i="18"/>
  <c r="F26" i="18"/>
  <c r="F27" i="18"/>
  <c r="F28" i="18"/>
  <c r="F29" i="18"/>
  <c r="C30" i="18"/>
  <c r="D30" i="18"/>
  <c r="C44" i="18"/>
  <c r="D44" i="18"/>
  <c r="E38" i="18" s="1"/>
  <c r="H69" i="18"/>
  <c r="T69" i="18" s="1"/>
  <c r="H72" i="18"/>
  <c r="T72" i="18" s="1"/>
  <c r="F85" i="18"/>
  <c r="R85" i="18" s="1"/>
  <c r="F88" i="18"/>
  <c r="R88" i="18" s="1"/>
  <c r="F90" i="18"/>
  <c r="R90" i="18" s="1"/>
  <c r="F92" i="18"/>
  <c r="R92" i="18" s="1"/>
  <c r="F94" i="18"/>
  <c r="F96" i="18"/>
  <c r="R96" i="18" s="1"/>
  <c r="F101" i="18"/>
  <c r="R101" i="18" s="1"/>
  <c r="F102" i="18"/>
  <c r="R102" i="18" s="1"/>
  <c r="F103" i="18"/>
  <c r="R103" i="18" s="1"/>
  <c r="G110" i="18"/>
  <c r="T110" i="18" s="1"/>
  <c r="G111" i="18"/>
  <c r="I111" i="18" s="1"/>
  <c r="H118" i="18"/>
  <c r="R118" i="18"/>
  <c r="R119" i="18" s="1"/>
  <c r="F119" i="18"/>
  <c r="H119" i="18"/>
  <c r="I140" i="18"/>
  <c r="A149" i="18"/>
  <c r="A159" i="18"/>
  <c r="A161" i="18"/>
  <c r="A165" i="18"/>
  <c r="A169" i="18"/>
  <c r="A170" i="18"/>
  <c r="A171" i="18"/>
  <c r="A175" i="18"/>
  <c r="A176" i="18"/>
  <c r="A177" i="18"/>
  <c r="A179" i="18"/>
  <c r="A180" i="18"/>
  <c r="A181" i="18"/>
  <c r="A182" i="18"/>
  <c r="N1" i="17"/>
  <c r="A3" i="17"/>
  <c r="N3" i="17" s="1"/>
  <c r="F4" i="17"/>
  <c r="P4" i="17"/>
  <c r="N7" i="17"/>
  <c r="C8" i="17"/>
  <c r="P8" i="17" s="1"/>
  <c r="H8" i="17"/>
  <c r="E102"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1" i="17"/>
  <c r="R101" i="17" s="1"/>
  <c r="F102" i="17"/>
  <c r="R102" i="17" s="1"/>
  <c r="F103" i="17"/>
  <c r="R103" i="17" s="1"/>
  <c r="G110" i="17"/>
  <c r="T110" i="17" s="1"/>
  <c r="G111" i="17"/>
  <c r="T111" i="17" s="1"/>
  <c r="U111" i="17" s="1"/>
  <c r="H118" i="17"/>
  <c r="H120" i="17" s="1"/>
  <c r="R118" i="17"/>
  <c r="R119" i="17" s="1"/>
  <c r="F119" i="17"/>
  <c r="H119" i="17"/>
  <c r="T119" i="17" s="1"/>
  <c r="I140" i="17"/>
  <c r="A149" i="17"/>
  <c r="A159" i="17"/>
  <c r="A161" i="17"/>
  <c r="A165" i="17"/>
  <c r="A169" i="17"/>
  <c r="A170" i="17"/>
  <c r="A171" i="17"/>
  <c r="A175" i="17"/>
  <c r="A176" i="17"/>
  <c r="A177" i="17"/>
  <c r="A179" i="17"/>
  <c r="A180" i="17"/>
  <c r="A181" i="17"/>
  <c r="A182"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1" i="16"/>
  <c r="R101" i="16" s="1"/>
  <c r="F102" i="16"/>
  <c r="R102" i="16" s="1"/>
  <c r="F103" i="16"/>
  <c r="R103" i="16" s="1"/>
  <c r="G110" i="16"/>
  <c r="I110" i="16" s="1"/>
  <c r="G111" i="16"/>
  <c r="H118" i="16"/>
  <c r="R118" i="16"/>
  <c r="R119" i="16" s="1"/>
  <c r="F119" i="16"/>
  <c r="H119" i="16"/>
  <c r="I140" i="16"/>
  <c r="A149" i="16"/>
  <c r="A159" i="16"/>
  <c r="A161" i="16"/>
  <c r="A165" i="16"/>
  <c r="A169" i="16"/>
  <c r="A170" i="16"/>
  <c r="A171" i="16"/>
  <c r="A175" i="16"/>
  <c r="A176" i="16"/>
  <c r="A177" i="16"/>
  <c r="A179" i="16"/>
  <c r="A180" i="16"/>
  <c r="A181" i="16"/>
  <c r="A182" i="16"/>
  <c r="N1" i="7"/>
  <c r="N3" i="7"/>
  <c r="P4" i="7"/>
  <c r="T8" i="7"/>
  <c r="P101" i="7" s="1"/>
  <c r="C30" i="7"/>
  <c r="D30" i="7"/>
  <c r="E18" i="7" s="1"/>
  <c r="I35" i="7"/>
  <c r="U35" i="7" s="1"/>
  <c r="C44" i="7"/>
  <c r="D44" i="7"/>
  <c r="E38" i="7" s="1"/>
  <c r="I38" i="7" s="1"/>
  <c r="T69" i="7"/>
  <c r="T72" i="7"/>
  <c r="R85" i="7"/>
  <c r="R88" i="7"/>
  <c r="R90" i="7"/>
  <c r="R92" i="7"/>
  <c r="R94" i="7"/>
  <c r="R96" i="7"/>
  <c r="E101" i="7"/>
  <c r="E102" i="60" s="1"/>
  <c r="R101" i="7"/>
  <c r="E102" i="7"/>
  <c r="E103" i="60" s="1"/>
  <c r="R102" i="7"/>
  <c r="E103" i="7"/>
  <c r="E104" i="60" s="1"/>
  <c r="R103" i="7"/>
  <c r="I110" i="7"/>
  <c r="T110" i="7"/>
  <c r="I111" i="7"/>
  <c r="T111" i="7"/>
  <c r="U111" i="7" s="1"/>
  <c r="H118" i="7"/>
  <c r="R118" i="7"/>
  <c r="R119" i="7" s="1"/>
  <c r="F119" i="7"/>
  <c r="H119" i="7"/>
  <c r="T119"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F451" i="64"/>
  <c r="E101" i="32" l="1"/>
  <c r="E102" i="32"/>
  <c r="P103" i="32"/>
  <c r="E16" i="18"/>
  <c r="E118" i="18"/>
  <c r="I118" i="18" s="1"/>
  <c r="E17" i="51"/>
  <c r="E118" i="51"/>
  <c r="I118" i="51" s="1"/>
  <c r="E22" i="71"/>
  <c r="H22" i="71" s="1"/>
  <c r="I22" i="71" s="1"/>
  <c r="E118" i="71"/>
  <c r="I118" i="71" s="1"/>
  <c r="E25" i="17"/>
  <c r="H25" i="17" s="1"/>
  <c r="I25" i="17" s="1"/>
  <c r="E118" i="17"/>
  <c r="I118" i="17" s="1"/>
  <c r="E17" i="23"/>
  <c r="E118" i="23"/>
  <c r="I118" i="23" s="1"/>
  <c r="E25" i="50"/>
  <c r="H25" i="50" s="1"/>
  <c r="I25" i="50" s="1"/>
  <c r="E118" i="50"/>
  <c r="I118" i="50" s="1"/>
  <c r="E28" i="70"/>
  <c r="H28" i="70" s="1"/>
  <c r="I28" i="70" s="1"/>
  <c r="E118" i="70"/>
  <c r="I118" i="70" s="1"/>
  <c r="E22" i="16"/>
  <c r="E118" i="16"/>
  <c r="E19" i="35"/>
  <c r="J19" i="35" s="1"/>
  <c r="E118" i="35"/>
  <c r="I118" i="35" s="1"/>
  <c r="E23" i="48"/>
  <c r="H23" i="48" s="1"/>
  <c r="I23" i="48" s="1"/>
  <c r="E118" i="48"/>
  <c r="I118" i="48" s="1"/>
  <c r="E24" i="69"/>
  <c r="H24" i="69" s="1"/>
  <c r="I24" i="69" s="1"/>
  <c r="E118" i="69"/>
  <c r="I118" i="69" s="1"/>
  <c r="E25" i="31"/>
  <c r="H25" i="31" s="1"/>
  <c r="I25" i="31" s="1"/>
  <c r="E118" i="31"/>
  <c r="I118" i="31" s="1"/>
  <c r="E14" i="34"/>
  <c r="H14" i="34" s="1"/>
  <c r="I14" i="34" s="1"/>
  <c r="E118" i="34"/>
  <c r="I118" i="34" s="1"/>
  <c r="E22" i="47"/>
  <c r="H22" i="47" s="1"/>
  <c r="I22" i="47" s="1"/>
  <c r="E118" i="47"/>
  <c r="I118" i="47" s="1"/>
  <c r="E25" i="28"/>
  <c r="E118" i="28"/>
  <c r="I118" i="28" s="1"/>
  <c r="E19" i="33"/>
  <c r="E118" i="33"/>
  <c r="I118" i="33" s="1"/>
  <c r="E25" i="45"/>
  <c r="H25" i="45" s="1"/>
  <c r="I25" i="45" s="1"/>
  <c r="E118" i="45"/>
  <c r="I118" i="45" s="1"/>
  <c r="E18" i="66"/>
  <c r="H18" i="66" s="1"/>
  <c r="I18" i="66" s="1"/>
  <c r="E118" i="66"/>
  <c r="I118" i="66" s="1"/>
  <c r="E16" i="27"/>
  <c r="H16" i="27" s="1"/>
  <c r="I16" i="27" s="1"/>
  <c r="E118" i="27"/>
  <c r="I118" i="27" s="1"/>
  <c r="E26" i="32"/>
  <c r="H26" i="32" s="1"/>
  <c r="I26" i="32" s="1"/>
  <c r="E118" i="32"/>
  <c r="I118" i="32" s="1"/>
  <c r="E19" i="44"/>
  <c r="E118" i="44"/>
  <c r="I118" i="44" s="1"/>
  <c r="E25" i="58"/>
  <c r="H25" i="58" s="1"/>
  <c r="I25" i="58" s="1"/>
  <c r="E118" i="58"/>
  <c r="E18" i="26"/>
  <c r="E118" i="26"/>
  <c r="I118" i="26" s="1"/>
  <c r="E18" i="43"/>
  <c r="E118" i="43"/>
  <c r="I118" i="43" s="1"/>
  <c r="E22" i="42"/>
  <c r="H22" i="42" s="1"/>
  <c r="I22" i="42" s="1"/>
  <c r="E118" i="42"/>
  <c r="I118" i="42" s="1"/>
  <c r="E18" i="56"/>
  <c r="H18" i="56" s="1"/>
  <c r="I18" i="56" s="1"/>
  <c r="E118" i="56"/>
  <c r="I118" i="56" s="1"/>
  <c r="E25" i="24"/>
  <c r="H25" i="24" s="1"/>
  <c r="I25" i="24" s="1"/>
  <c r="E118" i="24"/>
  <c r="I118" i="24" s="1"/>
  <c r="E19" i="55"/>
  <c r="E118" i="55"/>
  <c r="I118" i="55" s="1"/>
  <c r="E19" i="30"/>
  <c r="E118" i="30"/>
  <c r="I118" i="30" s="1"/>
  <c r="E22" i="25"/>
  <c r="H22" i="25" s="1"/>
  <c r="I22" i="25" s="1"/>
  <c r="E118" i="25"/>
  <c r="I118" i="25" s="1"/>
  <c r="E26" i="39"/>
  <c r="E118" i="39"/>
  <c r="E22" i="76"/>
  <c r="E118" i="76"/>
  <c r="I118" i="76" s="1"/>
  <c r="E24" i="78"/>
  <c r="H24" i="78" s="1"/>
  <c r="I24" i="78" s="1"/>
  <c r="E118" i="78"/>
  <c r="I118" i="78" s="1"/>
  <c r="E14" i="21"/>
  <c r="H14" i="21" s="1"/>
  <c r="I14" i="21" s="1"/>
  <c r="E118" i="21"/>
  <c r="I118" i="21" s="1"/>
  <c r="E25" i="38"/>
  <c r="H25" i="38" s="1"/>
  <c r="I25" i="38" s="1"/>
  <c r="E118" i="38"/>
  <c r="I118" i="38" s="1"/>
  <c r="E22" i="75"/>
  <c r="H22" i="75" s="1"/>
  <c r="I22" i="75" s="1"/>
  <c r="E118" i="75"/>
  <c r="I118" i="75" s="1"/>
  <c r="E15" i="7"/>
  <c r="E118" i="7"/>
  <c r="E29" i="20"/>
  <c r="H29" i="20" s="1"/>
  <c r="I29" i="20" s="1"/>
  <c r="E118" i="20"/>
  <c r="I118" i="20" s="1"/>
  <c r="E22" i="37"/>
  <c r="H22" i="37" s="1"/>
  <c r="I22" i="37" s="1"/>
  <c r="E118" i="37"/>
  <c r="E25" i="52"/>
  <c r="H25" i="52" s="1"/>
  <c r="I25" i="52" s="1"/>
  <c r="E118" i="52"/>
  <c r="E24" i="68"/>
  <c r="H24" i="68" s="1"/>
  <c r="I24" i="68" s="1"/>
  <c r="E118" i="68"/>
  <c r="I118" i="68" s="1"/>
  <c r="T118" i="76"/>
  <c r="H120" i="23"/>
  <c r="T120" i="23" s="1"/>
  <c r="I42" i="52"/>
  <c r="T118" i="27"/>
  <c r="T118" i="44"/>
  <c r="I40" i="38"/>
  <c r="I38" i="40"/>
  <c r="I41" i="76"/>
  <c r="I38" i="28"/>
  <c r="I38" i="43"/>
  <c r="I39" i="42"/>
  <c r="I38" i="68"/>
  <c r="I38" i="20"/>
  <c r="P102" i="32"/>
  <c r="I39" i="16"/>
  <c r="I38" i="18"/>
  <c r="I38" i="55"/>
  <c r="I43" i="17"/>
  <c r="I40" i="21"/>
  <c r="I40" i="35"/>
  <c r="I39" i="24"/>
  <c r="I40" i="26"/>
  <c r="I38" i="33"/>
  <c r="I40" i="50"/>
  <c r="H120" i="52"/>
  <c r="T120" i="52" s="1"/>
  <c r="I40" i="57"/>
  <c r="I39" i="66"/>
  <c r="T118" i="71"/>
  <c r="I40" i="77"/>
  <c r="I38" i="30"/>
  <c r="I40" i="45"/>
  <c r="H120" i="56"/>
  <c r="T120" i="56" s="1"/>
  <c r="I43" i="22"/>
  <c r="I39" i="23"/>
  <c r="I40" i="51"/>
  <c r="I39" i="67"/>
  <c r="I42" i="31"/>
  <c r="I39" i="39"/>
  <c r="E42" i="57"/>
  <c r="I42" i="57" s="1"/>
  <c r="E102" i="18"/>
  <c r="E27" i="47"/>
  <c r="H27" i="47" s="1"/>
  <c r="I27" i="47" s="1"/>
  <c r="E38" i="57"/>
  <c r="I38" i="57" s="1"/>
  <c r="E101" i="18"/>
  <c r="E29" i="52"/>
  <c r="H29" i="52" s="1"/>
  <c r="I29" i="52" s="1"/>
  <c r="E38" i="39"/>
  <c r="I38" i="39" s="1"/>
  <c r="E42" i="77"/>
  <c r="I42" i="77" s="1"/>
  <c r="H120" i="75"/>
  <c r="T120" i="75" s="1"/>
  <c r="T118" i="67"/>
  <c r="H120" i="68"/>
  <c r="I120" i="68" s="1"/>
  <c r="E23" i="78"/>
  <c r="H23" i="78" s="1"/>
  <c r="I23" i="78" s="1"/>
  <c r="E23" i="52"/>
  <c r="H23" i="52" s="1"/>
  <c r="I23" i="52" s="1"/>
  <c r="E103" i="18"/>
  <c r="E39" i="40"/>
  <c r="I39" i="40" s="1"/>
  <c r="E40" i="40"/>
  <c r="I40" i="40" s="1"/>
  <c r="E23" i="69"/>
  <c r="H23" i="69" s="1"/>
  <c r="I23" i="69" s="1"/>
  <c r="E39" i="68"/>
  <c r="I39" i="68" s="1"/>
  <c r="E39" i="18"/>
  <c r="I39" i="18" s="1"/>
  <c r="T118"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18" i="40"/>
  <c r="E28" i="58"/>
  <c r="H120" i="69"/>
  <c r="T120"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18"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18" i="43"/>
  <c r="E20" i="47"/>
  <c r="H20" i="47" s="1"/>
  <c r="I20" i="47" s="1"/>
  <c r="E38" i="76"/>
  <c r="I38" i="76" s="1"/>
  <c r="E42" i="22"/>
  <c r="I42" i="22" s="1"/>
  <c r="E43" i="43"/>
  <c r="I43" i="43" s="1"/>
  <c r="E23" i="66"/>
  <c r="H23" i="66" s="1"/>
  <c r="I23" i="66" s="1"/>
  <c r="E41" i="22"/>
  <c r="I41" i="22" s="1"/>
  <c r="E17" i="27"/>
  <c r="P102" i="7"/>
  <c r="T118" i="20"/>
  <c r="E40" i="22"/>
  <c r="I40" i="22" s="1"/>
  <c r="E24" i="35"/>
  <c r="H24" i="35" s="1"/>
  <c r="I24" i="35" s="1"/>
  <c r="E41" i="39"/>
  <c r="I41" i="39" s="1"/>
  <c r="E101" i="78"/>
  <c r="E103" i="32"/>
  <c r="E101" i="25"/>
  <c r="E103" i="23"/>
  <c r="E101" i="52"/>
  <c r="I111" i="69"/>
  <c r="E102" i="35"/>
  <c r="E103" i="43"/>
  <c r="I111" i="51"/>
  <c r="E23" i="68"/>
  <c r="H23" i="68" s="1"/>
  <c r="I23" i="68" s="1"/>
  <c r="E21" i="68"/>
  <c r="H21" i="68" s="1"/>
  <c r="I21" i="68" s="1"/>
  <c r="E24" i="71"/>
  <c r="H24" i="71" s="1"/>
  <c r="I24" i="71" s="1"/>
  <c r="E23" i="71"/>
  <c r="H23" i="71" s="1"/>
  <c r="I23" i="71" s="1"/>
  <c r="E14" i="71"/>
  <c r="H14" i="71" s="1"/>
  <c r="I14" i="71" s="1"/>
  <c r="I119" i="70"/>
  <c r="E21" i="70"/>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19"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0" i="44"/>
  <c r="E17" i="44"/>
  <c r="E22" i="44"/>
  <c r="H22" i="44" s="1"/>
  <c r="I22" i="44" s="1"/>
  <c r="E14" i="44"/>
  <c r="H14" i="44" s="1"/>
  <c r="I14" i="44" s="1"/>
  <c r="I120" i="43"/>
  <c r="E19" i="43"/>
  <c r="I119"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19" i="39"/>
  <c r="I118"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E14" i="33"/>
  <c r="H14" i="33" s="1"/>
  <c r="I14" i="33" s="1"/>
  <c r="E29" i="33"/>
  <c r="H29" i="33" s="1"/>
  <c r="I29" i="33" s="1"/>
  <c r="E28" i="33"/>
  <c r="H28" i="33" s="1"/>
  <c r="I28" i="33" s="1"/>
  <c r="E27" i="32"/>
  <c r="H27" i="32" s="1"/>
  <c r="I27" i="32" s="1"/>
  <c r="E16" i="32"/>
  <c r="H16" i="32" s="1"/>
  <c r="I16" i="32" s="1"/>
  <c r="E22" i="28"/>
  <c r="H22" i="28" s="1"/>
  <c r="I22" i="28" s="1"/>
  <c r="I119" i="27"/>
  <c r="E29" i="27"/>
  <c r="H29" i="27" s="1"/>
  <c r="I29" i="27" s="1"/>
  <c r="E22" i="27"/>
  <c r="H22" i="27" s="1"/>
  <c r="I22" i="27" s="1"/>
  <c r="E14" i="27"/>
  <c r="H14" i="27" s="1"/>
  <c r="I14" i="27" s="1"/>
  <c r="E28" i="27"/>
  <c r="H28" i="27" s="1"/>
  <c r="I28" i="27" s="1"/>
  <c r="E27" i="27"/>
  <c r="H27" i="27" s="1"/>
  <c r="I27" i="27" s="1"/>
  <c r="E19" i="27"/>
  <c r="E18" i="27"/>
  <c r="H18" i="27" s="1"/>
  <c r="I18" i="27" s="1"/>
  <c r="I119"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19" i="58"/>
  <c r="H18" i="43"/>
  <c r="I18" i="43" s="1"/>
  <c r="E40" i="31"/>
  <c r="I40" i="31" s="1"/>
  <c r="E39" i="31"/>
  <c r="I39" i="31" s="1"/>
  <c r="I119" i="69"/>
  <c r="H120" i="18"/>
  <c r="T120" i="18" s="1"/>
  <c r="I119" i="75"/>
  <c r="I119" i="31"/>
  <c r="I119"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3" i="28" s="1"/>
  <c r="E101" i="28"/>
  <c r="T8" i="27"/>
  <c r="P102" i="27" s="1"/>
  <c r="E101" i="27"/>
  <c r="T118" i="33"/>
  <c r="H120" i="33"/>
  <c r="T120" i="33" s="1"/>
  <c r="T8" i="40"/>
  <c r="P103" i="40" s="1"/>
  <c r="E101" i="40"/>
  <c r="E103" i="40"/>
  <c r="E38" i="27"/>
  <c r="I38" i="27" s="1"/>
  <c r="E40" i="27"/>
  <c r="I40" i="27" s="1"/>
  <c r="E39" i="27"/>
  <c r="I39" i="27" s="1"/>
  <c r="E43" i="27"/>
  <c r="I43" i="27" s="1"/>
  <c r="E42" i="27"/>
  <c r="I42" i="27" s="1"/>
  <c r="T118" i="34"/>
  <c r="H120" i="34"/>
  <c r="T120"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19" i="32"/>
  <c r="I120"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2" i="36"/>
  <c r="E101" i="36"/>
  <c r="E103" i="36"/>
  <c r="H16" i="18"/>
  <c r="I16" i="18" s="1"/>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E24" i="76"/>
  <c r="H24" i="76" s="1"/>
  <c r="I24" i="76" s="1"/>
  <c r="E38" i="25"/>
  <c r="I38" i="25" s="1"/>
  <c r="E39" i="25"/>
  <c r="I39" i="25" s="1"/>
  <c r="E40" i="25"/>
  <c r="I40" i="25" s="1"/>
  <c r="E41" i="25"/>
  <c r="I41" i="25" s="1"/>
  <c r="E43" i="25"/>
  <c r="I43" i="25" s="1"/>
  <c r="E16" i="76"/>
  <c r="H16" i="76" s="1"/>
  <c r="I16" i="76" s="1"/>
  <c r="I119" i="67"/>
  <c r="E27" i="40"/>
  <c r="H27" i="40" s="1"/>
  <c r="I27" i="40" s="1"/>
  <c r="E23" i="40"/>
  <c r="H23" i="40" s="1"/>
  <c r="I23" i="40" s="1"/>
  <c r="E25" i="40"/>
  <c r="H25" i="40" s="1"/>
  <c r="I25" i="40" s="1"/>
  <c r="T118" i="48"/>
  <c r="H120" i="48"/>
  <c r="T120" i="48" s="1"/>
  <c r="T118" i="21"/>
  <c r="H120" i="21"/>
  <c r="T120" i="21" s="1"/>
  <c r="E23" i="36"/>
  <c r="H23" i="36" s="1"/>
  <c r="I23" i="36" s="1"/>
  <c r="E22" i="36"/>
  <c r="H22" i="36" s="1"/>
  <c r="I22" i="36" s="1"/>
  <c r="E24" i="36"/>
  <c r="H24" i="36" s="1"/>
  <c r="I24" i="36" s="1"/>
  <c r="I119" i="71"/>
  <c r="I120" i="71"/>
  <c r="E24" i="16"/>
  <c r="H24" i="16" s="1"/>
  <c r="I24" i="16" s="1"/>
  <c r="E17" i="16"/>
  <c r="E27" i="16"/>
  <c r="H27" i="16" s="1"/>
  <c r="I27" i="16" s="1"/>
  <c r="E20" i="16"/>
  <c r="H20" i="16" s="1"/>
  <c r="I20" i="16" s="1"/>
  <c r="E29" i="16"/>
  <c r="H29" i="16" s="1"/>
  <c r="I29" i="16" s="1"/>
  <c r="E19" i="16"/>
  <c r="E28" i="16"/>
  <c r="H28" i="16" s="1"/>
  <c r="I28" i="16" s="1"/>
  <c r="I119" i="20"/>
  <c r="E16" i="20"/>
  <c r="H16" i="20" s="1"/>
  <c r="I16" i="20" s="1"/>
  <c r="E23" i="20"/>
  <c r="H23" i="20" s="1"/>
  <c r="I23" i="20" s="1"/>
  <c r="E22" i="20"/>
  <c r="H22" i="20" s="1"/>
  <c r="I22" i="20" s="1"/>
  <c r="E18" i="20"/>
  <c r="H18" i="20" s="1"/>
  <c r="I18" i="20" s="1"/>
  <c r="E39" i="21"/>
  <c r="I39" i="21" s="1"/>
  <c r="E38" i="21"/>
  <c r="I38" i="21" s="1"/>
  <c r="E15" i="40"/>
  <c r="H27" i="44"/>
  <c r="I27" i="44" s="1"/>
  <c r="I119"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0" i="67"/>
  <c r="I119" i="77"/>
  <c r="I118" i="77"/>
  <c r="E15" i="77"/>
  <c r="J15" i="77" s="1"/>
  <c r="E25" i="77"/>
  <c r="H25" i="77" s="1"/>
  <c r="I25" i="77" s="1"/>
  <c r="I119" i="38"/>
  <c r="T119" i="38"/>
  <c r="E15" i="23"/>
  <c r="J15" i="23" s="1"/>
  <c r="E22" i="23"/>
  <c r="H22" i="23" s="1"/>
  <c r="I22" i="23" s="1"/>
  <c r="E23" i="23"/>
  <c r="H23" i="23" s="1"/>
  <c r="I23" i="23" s="1"/>
  <c r="E26" i="23"/>
  <c r="H26" i="23" s="1"/>
  <c r="I26" i="23" s="1"/>
  <c r="E16" i="23"/>
  <c r="H16" i="23" s="1"/>
  <c r="I16" i="23" s="1"/>
  <c r="T118" i="26"/>
  <c r="H120"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19" i="30"/>
  <c r="T8" i="30"/>
  <c r="P101" i="30" s="1"/>
  <c r="E102" i="30"/>
  <c r="T118" i="16"/>
  <c r="H120" i="16"/>
  <c r="I119"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0" i="51"/>
  <c r="T120" i="51" s="1"/>
  <c r="E17" i="76"/>
  <c r="J17" i="76" s="1"/>
  <c r="H120" i="70"/>
  <c r="T120" i="70" s="1"/>
  <c r="T118"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19" i="35"/>
  <c r="E29" i="36"/>
  <c r="H29" i="36" s="1"/>
  <c r="I29" i="36" s="1"/>
  <c r="E14" i="40"/>
  <c r="H14" i="40" s="1"/>
  <c r="I14" i="40" s="1"/>
  <c r="H120" i="47"/>
  <c r="I120" i="47" s="1"/>
  <c r="T118"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19" i="66"/>
  <c r="E19" i="71"/>
  <c r="E18" i="78"/>
  <c r="H18" i="78" s="1"/>
  <c r="I18" i="78" s="1"/>
  <c r="E27" i="78"/>
  <c r="H27" i="78" s="1"/>
  <c r="I27" i="78" s="1"/>
  <c r="E15" i="78"/>
  <c r="J15" i="78" s="1"/>
  <c r="E41" i="18"/>
  <c r="I41" i="18" s="1"/>
  <c r="E42" i="18"/>
  <c r="I42" i="18" s="1"/>
  <c r="E43" i="18"/>
  <c r="I43" i="18" s="1"/>
  <c r="E42" i="28"/>
  <c r="I42" i="28" s="1"/>
  <c r="E29" i="32"/>
  <c r="H29" i="32" s="1"/>
  <c r="I29" i="32" s="1"/>
  <c r="I119" i="33"/>
  <c r="E40" i="36"/>
  <c r="I40" i="36" s="1"/>
  <c r="T111" i="37"/>
  <c r="U111" i="37" s="1"/>
  <c r="E41" i="38"/>
  <c r="I41" i="38" s="1"/>
  <c r="E41" i="42"/>
  <c r="I41" i="42" s="1"/>
  <c r="E102" i="43"/>
  <c r="I119" i="47"/>
  <c r="E42" i="51"/>
  <c r="I42" i="51" s="1"/>
  <c r="I118" i="52"/>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18" i="37"/>
  <c r="H120" i="37"/>
  <c r="T120" i="37" s="1"/>
  <c r="I120" i="42"/>
  <c r="E38" i="47"/>
  <c r="I38" i="47" s="1"/>
  <c r="E40" i="47"/>
  <c r="I40" i="47" s="1"/>
  <c r="E39" i="47"/>
  <c r="I39" i="47" s="1"/>
  <c r="E43" i="66"/>
  <c r="I43" i="66" s="1"/>
  <c r="I119"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0" i="35"/>
  <c r="I120" i="35" s="1"/>
  <c r="T118"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19" i="34"/>
  <c r="F469" i="64"/>
  <c r="G469" i="64" s="1"/>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19" i="43"/>
  <c r="E42" i="47"/>
  <c r="I42" i="47" s="1"/>
  <c r="E39" i="51"/>
  <c r="I39" i="51" s="1"/>
  <c r="H22" i="76"/>
  <c r="I22" i="76" s="1"/>
  <c r="E19" i="70"/>
  <c r="J19" i="70" s="1"/>
  <c r="I119" i="78"/>
  <c r="E101" i="23"/>
  <c r="E14" i="52"/>
  <c r="E17" i="55"/>
  <c r="E20" i="44"/>
  <c r="H20" i="44" s="1"/>
  <c r="I20" i="44" s="1"/>
  <c r="E41" i="16"/>
  <c r="I41" i="16" s="1"/>
  <c r="E42" i="26"/>
  <c r="I42" i="26" s="1"/>
  <c r="E42" i="35"/>
  <c r="I42" i="35" s="1"/>
  <c r="E41" i="23"/>
  <c r="I41" i="23" s="1"/>
  <c r="E43" i="40"/>
  <c r="I43" i="40" s="1"/>
  <c r="E42" i="45"/>
  <c r="I42" i="45" s="1"/>
  <c r="E38" i="16"/>
  <c r="I38" i="16" s="1"/>
  <c r="H22" i="16"/>
  <c r="I22"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3" i="24"/>
  <c r="E103" i="26"/>
  <c r="E103" i="31"/>
  <c r="E102" i="20"/>
  <c r="E101" i="35"/>
  <c r="E102" i="26"/>
  <c r="E102" i="31"/>
  <c r="E101" i="24"/>
  <c r="T8" i="24"/>
  <c r="E101" i="31"/>
  <c r="E103" i="28"/>
  <c r="E102" i="28"/>
  <c r="E103" i="35"/>
  <c r="E103" i="68"/>
  <c r="E103" i="30"/>
  <c r="E103" i="66"/>
  <c r="T8" i="23"/>
  <c r="P103" i="23" s="1"/>
  <c r="E101" i="66"/>
  <c r="T8" i="66"/>
  <c r="P103" i="66" s="1"/>
  <c r="E26" i="7"/>
  <c r="H26" i="7" s="1"/>
  <c r="E103" i="17"/>
  <c r="E103" i="21"/>
  <c r="E103" i="52"/>
  <c r="E103" i="77"/>
  <c r="E23" i="7"/>
  <c r="H23" i="7" s="1"/>
  <c r="E20" i="7"/>
  <c r="H20" i="7" s="1"/>
  <c r="E103" i="45"/>
  <c r="E102" i="52"/>
  <c r="E101" i="17"/>
  <c r="T8" i="50"/>
  <c r="E103" i="22"/>
  <c r="E103" i="27"/>
  <c r="E101" i="43"/>
  <c r="E102" i="45"/>
  <c r="E101" i="26"/>
  <c r="E103" i="50"/>
  <c r="E102" i="58"/>
  <c r="E101" i="30"/>
  <c r="E102" i="27"/>
  <c r="E101" i="45"/>
  <c r="E29" i="7"/>
  <c r="H29" i="7" s="1"/>
  <c r="E102" i="40"/>
  <c r="P102" i="20"/>
  <c r="P101" i="20"/>
  <c r="P101" i="43"/>
  <c r="P103" i="43"/>
  <c r="E43" i="7"/>
  <c r="I43" i="7" s="1"/>
  <c r="E28" i="7"/>
  <c r="H28" i="7" s="1"/>
  <c r="E22" i="7"/>
  <c r="H22" i="7" s="1"/>
  <c r="T111" i="45"/>
  <c r="U111" i="45" s="1"/>
  <c r="E42" i="7"/>
  <c r="I42" i="7" s="1"/>
  <c r="E102" i="21"/>
  <c r="E41" i="7"/>
  <c r="I41" i="7" s="1"/>
  <c r="E101" i="20"/>
  <c r="T110" i="33"/>
  <c r="E102" i="50"/>
  <c r="E40" i="7"/>
  <c r="I40" i="7" s="1"/>
  <c r="E27" i="7"/>
  <c r="H27" i="7" s="1"/>
  <c r="E21" i="7"/>
  <c r="H21" i="7" s="1"/>
  <c r="T8" i="21"/>
  <c r="P103" i="21" s="1"/>
  <c r="T111" i="31"/>
  <c r="U111" i="31" s="1"/>
  <c r="E19" i="7"/>
  <c r="T8" i="17"/>
  <c r="P101" i="17" s="1"/>
  <c r="I111" i="35"/>
  <c r="H18" i="7"/>
  <c r="E25" i="7"/>
  <c r="H25" i="7" s="1"/>
  <c r="E14" i="7"/>
  <c r="H14" i="7" s="1"/>
  <c r="E103" i="25"/>
  <c r="D45" i="60"/>
  <c r="E24" i="7"/>
  <c r="H24" i="7" s="1"/>
  <c r="T110" i="16"/>
  <c r="E103" i="20"/>
  <c r="E102" i="25"/>
  <c r="I111" i="71"/>
  <c r="P101" i="70"/>
  <c r="P102" i="70"/>
  <c r="P103" i="70"/>
  <c r="P101" i="26"/>
  <c r="P102" i="26"/>
  <c r="P103" i="26"/>
  <c r="T111" i="18"/>
  <c r="U111" i="18" s="1"/>
  <c r="E103" i="38"/>
  <c r="E101" i="58"/>
  <c r="P102" i="43"/>
  <c r="P103" i="51"/>
  <c r="E103" i="70"/>
  <c r="I111" i="17"/>
  <c r="E102" i="38"/>
  <c r="T8" i="38"/>
  <c r="P102" i="51"/>
  <c r="E102" i="70"/>
  <c r="D30" i="60"/>
  <c r="E31" i="60" s="1"/>
  <c r="H26" i="39"/>
  <c r="I26" i="39" s="1"/>
  <c r="E102" i="51"/>
  <c r="I111" i="34"/>
  <c r="T8" i="68"/>
  <c r="P102" i="68" s="1"/>
  <c r="T111" i="26"/>
  <c r="U111" i="26" s="1"/>
  <c r="H19" i="35"/>
  <c r="I19" i="35" s="1"/>
  <c r="E101" i="51"/>
  <c r="E101" i="70"/>
  <c r="E103" i="58"/>
  <c r="I110" i="47"/>
  <c r="I110" i="55"/>
  <c r="P102" i="31"/>
  <c r="P103" i="31"/>
  <c r="P101" i="31"/>
  <c r="P103" i="35"/>
  <c r="P101" i="35"/>
  <c r="P102" i="35"/>
  <c r="E102" i="37"/>
  <c r="T8" i="37"/>
  <c r="P103" i="37" s="1"/>
  <c r="E103" i="37"/>
  <c r="T8" i="69"/>
  <c r="E103" i="69"/>
  <c r="E101" i="69"/>
  <c r="E102" i="69"/>
  <c r="T8" i="75"/>
  <c r="E101" i="75"/>
  <c r="E102" i="75"/>
  <c r="E103" i="75"/>
  <c r="E103" i="71"/>
  <c r="E101" i="71"/>
  <c r="E102" i="71"/>
  <c r="T8" i="76"/>
  <c r="P103" i="76" s="1"/>
  <c r="E101" i="76"/>
  <c r="E102" i="76"/>
  <c r="E103" i="76"/>
  <c r="P103" i="58"/>
  <c r="P101" i="58"/>
  <c r="P102" i="58"/>
  <c r="P102" i="18"/>
  <c r="H18" i="26"/>
  <c r="I18" i="26" s="1"/>
  <c r="I111" i="58"/>
  <c r="T8" i="33"/>
  <c r="P103" i="33" s="1"/>
  <c r="E102" i="68"/>
  <c r="I110" i="25"/>
  <c r="P103" i="25"/>
  <c r="T8" i="36"/>
  <c r="I111" i="67"/>
  <c r="P101" i="18"/>
  <c r="E102" i="77"/>
  <c r="H25" i="28"/>
  <c r="I25" i="28" s="1"/>
  <c r="I110" i="31"/>
  <c r="T110" i="40"/>
  <c r="T111" i="52"/>
  <c r="U111" i="52" s="1"/>
  <c r="I110" i="17"/>
  <c r="T8" i="22"/>
  <c r="P101" i="22" s="1"/>
  <c r="H28" i="58"/>
  <c r="I28" i="58" s="1"/>
  <c r="E101" i="77"/>
  <c r="E103" i="78"/>
  <c r="I110" i="18"/>
  <c r="P102" i="25"/>
  <c r="I110" i="48"/>
  <c r="E102" i="22"/>
  <c r="H20" i="18"/>
  <c r="I20" i="18" s="1"/>
  <c r="E102" i="78"/>
  <c r="I111" i="66"/>
  <c r="T111" i="24"/>
  <c r="U111" i="24" s="1"/>
  <c r="T111" i="27"/>
  <c r="U111" i="27" s="1"/>
  <c r="I111" i="55"/>
  <c r="I111" i="30"/>
  <c r="T111" i="32"/>
  <c r="U111" i="32" s="1"/>
  <c r="T111" i="38"/>
  <c r="U111" i="38" s="1"/>
  <c r="T111" i="48"/>
  <c r="U111" i="48" s="1"/>
  <c r="I111" i="56"/>
  <c r="T111" i="77"/>
  <c r="U111" i="77" s="1"/>
  <c r="T111" i="40"/>
  <c r="U111" i="40" s="1"/>
  <c r="T111" i="78"/>
  <c r="U111" i="78" s="1"/>
  <c r="T111" i="22"/>
  <c r="U111" i="22" s="1"/>
  <c r="T111" i="42"/>
  <c r="U111" i="42" s="1"/>
  <c r="I111" i="75"/>
  <c r="T110" i="27"/>
  <c r="T110" i="30"/>
  <c r="I110" i="50"/>
  <c r="I110" i="57"/>
  <c r="I110" i="67"/>
  <c r="T110" i="32"/>
  <c r="T110" i="42"/>
  <c r="T110" i="51"/>
  <c r="T110" i="52"/>
  <c r="T110" i="69"/>
  <c r="T110" i="71"/>
  <c r="T110" i="56"/>
  <c r="I110" i="77"/>
  <c r="I110" i="23"/>
  <c r="T110" i="39"/>
  <c r="T110" i="75"/>
  <c r="T110" i="76"/>
  <c r="I110" i="66"/>
  <c r="I110" i="78"/>
  <c r="F478" i="64"/>
  <c r="G478" i="64" s="1"/>
  <c r="T8" i="16"/>
  <c r="E101" i="16"/>
  <c r="E103" i="16"/>
  <c r="E17" i="22"/>
  <c r="J17" i="22" s="1"/>
  <c r="E27" i="22"/>
  <c r="H27" i="22" s="1"/>
  <c r="I27" i="22" s="1"/>
  <c r="E14" i="22"/>
  <c r="E29" i="22"/>
  <c r="H29" i="22" s="1"/>
  <c r="I29" i="22" s="1"/>
  <c r="E19" i="22"/>
  <c r="J19" i="22" s="1"/>
  <c r="E24" i="22"/>
  <c r="H24" i="22" s="1"/>
  <c r="I24" i="22" s="1"/>
  <c r="E21" i="22"/>
  <c r="H21" i="22" s="1"/>
  <c r="I21" i="22" s="1"/>
  <c r="E15" i="22"/>
  <c r="J15" i="22" s="1"/>
  <c r="E22" i="22"/>
  <c r="H22" i="22" s="1"/>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0" i="17"/>
  <c r="F467" i="64"/>
  <c r="G467" i="64" s="1"/>
  <c r="H120" i="7"/>
  <c r="T118" i="7"/>
  <c r="F475" i="64"/>
  <c r="G475" i="64" s="1"/>
  <c r="F466" i="64"/>
  <c r="G466" i="64" s="1"/>
  <c r="E102" i="16"/>
  <c r="F474" i="64"/>
  <c r="G474" i="64" s="1"/>
  <c r="I111" i="16"/>
  <c r="T111" i="16"/>
  <c r="U111" i="16" s="1"/>
  <c r="I119" i="17"/>
  <c r="I120" i="17"/>
  <c r="F462" i="64"/>
  <c r="G462" i="64" s="1"/>
  <c r="F463" i="64"/>
  <c r="G463" i="64" s="1"/>
  <c r="F464" i="64"/>
  <c r="G464" i="64" s="1"/>
  <c r="F459" i="64"/>
  <c r="F460" i="64"/>
  <c r="G460" i="64" s="1"/>
  <c r="F472" i="64"/>
  <c r="G472" i="64" s="1"/>
  <c r="F471" i="64"/>
  <c r="G471" i="64" s="1"/>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19" i="21"/>
  <c r="T120" i="28"/>
  <c r="E43" i="16"/>
  <c r="I43" i="16" s="1"/>
  <c r="E40" i="16"/>
  <c r="I40" i="16" s="1"/>
  <c r="P103" i="7"/>
  <c r="E17" i="7"/>
  <c r="J17" i="7" s="1"/>
  <c r="T119" i="16"/>
  <c r="E14" i="16"/>
  <c r="E16" i="16"/>
  <c r="H16" i="16" s="1"/>
  <c r="I16" i="16" s="1"/>
  <c r="E18" i="16"/>
  <c r="H18" i="16" s="1"/>
  <c r="I18" i="16" s="1"/>
  <c r="E25" i="16"/>
  <c r="E40" i="17"/>
  <c r="I40" i="17" s="1"/>
  <c r="R90" i="16"/>
  <c r="R85" i="16"/>
  <c r="E42" i="16"/>
  <c r="I42" i="16" s="1"/>
  <c r="E23" i="16"/>
  <c r="E15" i="16"/>
  <c r="J15" i="16" s="1"/>
  <c r="T119" i="18"/>
  <c r="I111" i="20"/>
  <c r="H120" i="25"/>
  <c r="T118" i="25"/>
  <c r="T120" i="24"/>
  <c r="E38" i="17"/>
  <c r="I38" i="17" s="1"/>
  <c r="E41" i="17"/>
  <c r="I41" i="17" s="1"/>
  <c r="I110" i="20"/>
  <c r="T110" i="20"/>
  <c r="R92" i="21"/>
  <c r="E23" i="17"/>
  <c r="H23" i="17" s="1"/>
  <c r="I23" i="17" s="1"/>
  <c r="E18" i="17"/>
  <c r="H18" i="17" s="1"/>
  <c r="I18" i="17" s="1"/>
  <c r="E21" i="18"/>
  <c r="P103" i="20"/>
  <c r="E24" i="20"/>
  <c r="H24" i="20" s="1"/>
  <c r="I24" i="20" s="1"/>
  <c r="E19" i="20"/>
  <c r="J19" i="20" s="1"/>
  <c r="I110" i="21"/>
  <c r="E27" i="21"/>
  <c r="H27" i="21" s="1"/>
  <c r="I27" i="21" s="1"/>
  <c r="E17" i="21"/>
  <c r="J17" i="21" s="1"/>
  <c r="H120" i="31"/>
  <c r="T118" i="31"/>
  <c r="I110" i="22"/>
  <c r="T110" i="22"/>
  <c r="E25" i="21"/>
  <c r="H25" i="21" s="1"/>
  <c r="I25" i="21" s="1"/>
  <c r="T111" i="25"/>
  <c r="U111" i="25" s="1"/>
  <c r="E26" i="17"/>
  <c r="H26" i="17" s="1"/>
  <c r="I26" i="17" s="1"/>
  <c r="E16" i="17"/>
  <c r="H16" i="17" s="1"/>
  <c r="I16" i="17" s="1"/>
  <c r="T118" i="18"/>
  <c r="E24" i="18"/>
  <c r="H24" i="18" s="1"/>
  <c r="I24" i="18" s="1"/>
  <c r="E19" i="18"/>
  <c r="J19" i="18" s="1"/>
  <c r="I120" i="20"/>
  <c r="E27" i="20"/>
  <c r="H27" i="20" s="1"/>
  <c r="I27" i="20" s="1"/>
  <c r="E17" i="20"/>
  <c r="J17" i="20" s="1"/>
  <c r="E42" i="21"/>
  <c r="I42" i="21" s="1"/>
  <c r="E15" i="21"/>
  <c r="J15" i="21" s="1"/>
  <c r="I110"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1" i="21"/>
  <c r="U111" i="21" s="1"/>
  <c r="E28" i="21"/>
  <c r="H28" i="21" s="1"/>
  <c r="I28" i="21" s="1"/>
  <c r="I119" i="25"/>
  <c r="T118" i="24"/>
  <c r="E18" i="24"/>
  <c r="H18" i="24" s="1"/>
  <c r="I18" i="24" s="1"/>
  <c r="I119" i="22"/>
  <c r="I118" i="22"/>
  <c r="T118"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0" i="24"/>
  <c r="I119" i="28"/>
  <c r="I120" i="28"/>
  <c r="E25" i="18"/>
  <c r="H25" i="18" s="1"/>
  <c r="I25" i="18" s="1"/>
  <c r="T111" i="20"/>
  <c r="U111" i="20" s="1"/>
  <c r="E28" i="20"/>
  <c r="H28" i="20" s="1"/>
  <c r="I28" i="20" s="1"/>
  <c r="R92" i="17"/>
  <c r="E20" i="17"/>
  <c r="H20" i="17" s="1"/>
  <c r="I20" i="17" s="1"/>
  <c r="E15" i="18"/>
  <c r="J15" i="18" s="1"/>
  <c r="E21" i="20"/>
  <c r="H21" i="20" s="1"/>
  <c r="I21" i="20" s="1"/>
  <c r="R96" i="21"/>
  <c r="R88" i="21"/>
  <c r="E24" i="21"/>
  <c r="H24" i="21" s="1"/>
  <c r="I24" i="21" s="1"/>
  <c r="E19" i="21"/>
  <c r="J19" i="21" s="1"/>
  <c r="E14" i="24"/>
  <c r="I120" i="27"/>
  <c r="T118" i="28"/>
  <c r="E23" i="18"/>
  <c r="H23" i="18" s="1"/>
  <c r="I23" i="18" s="1"/>
  <c r="E41" i="20"/>
  <c r="I41" i="20" s="1"/>
  <c r="E26" i="20"/>
  <c r="H26" i="20" s="1"/>
  <c r="I26" i="20" s="1"/>
  <c r="E29" i="21"/>
  <c r="H29" i="21" s="1"/>
  <c r="I29" i="21" s="1"/>
  <c r="H120" i="22"/>
  <c r="E21" i="26"/>
  <c r="H21" i="26" s="1"/>
  <c r="I21" i="26" s="1"/>
  <c r="I110" i="28"/>
  <c r="I111" i="33"/>
  <c r="T110" i="34"/>
  <c r="I110" i="34"/>
  <c r="R94" i="34"/>
  <c r="I110" i="35"/>
  <c r="T110" i="35"/>
  <c r="R92" i="23"/>
  <c r="E24" i="26"/>
  <c r="H24" i="26" s="1"/>
  <c r="I24" i="26" s="1"/>
  <c r="E19" i="26"/>
  <c r="J19" i="26" s="1"/>
  <c r="R92" i="32"/>
  <c r="H22" i="33"/>
  <c r="I22" i="33" s="1"/>
  <c r="T118" i="36"/>
  <c r="T110"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1" i="28"/>
  <c r="U111" i="28" s="1"/>
  <c r="E41" i="31"/>
  <c r="I41" i="31" s="1"/>
  <c r="E38" i="31"/>
  <c r="I38" i="31" s="1"/>
  <c r="E102" i="34"/>
  <c r="E101" i="34"/>
  <c r="T8" i="34"/>
  <c r="R96" i="22"/>
  <c r="R88" i="22"/>
  <c r="E27" i="26"/>
  <c r="H27" i="26" s="1"/>
  <c r="I27" i="26" s="1"/>
  <c r="E17" i="26"/>
  <c r="J17" i="26" s="1"/>
  <c r="E15" i="27"/>
  <c r="J15" i="27" s="1"/>
  <c r="R94" i="36"/>
  <c r="E25" i="26"/>
  <c r="H25" i="26" s="1"/>
  <c r="I25" i="26" s="1"/>
  <c r="E21" i="27"/>
  <c r="H21" i="27" s="1"/>
  <c r="I21" i="27" s="1"/>
  <c r="R96" i="28"/>
  <c r="R88" i="28"/>
  <c r="E43" i="31"/>
  <c r="I43" i="31" s="1"/>
  <c r="H120" i="36"/>
  <c r="E23" i="26"/>
  <c r="H23" i="26" s="1"/>
  <c r="I23" i="26" s="1"/>
  <c r="E41" i="27"/>
  <c r="I41" i="27" s="1"/>
  <c r="E26" i="27"/>
  <c r="H26" i="27" s="1"/>
  <c r="I26" i="27" s="1"/>
  <c r="E21" i="32"/>
  <c r="H21" i="32" s="1"/>
  <c r="I21" i="32" s="1"/>
  <c r="E102" i="33"/>
  <c r="E43" i="34"/>
  <c r="I43" i="34" s="1"/>
  <c r="E40" i="34"/>
  <c r="I40" i="34" s="1"/>
  <c r="E22" i="34"/>
  <c r="H22" i="34" s="1"/>
  <c r="I22" i="34" s="1"/>
  <c r="E25" i="35"/>
  <c r="H25" i="35" s="1"/>
  <c r="I25" i="35" s="1"/>
  <c r="T111" i="23"/>
  <c r="U111" i="23" s="1"/>
  <c r="I118" i="36"/>
  <c r="I110" i="38"/>
  <c r="I111" i="36"/>
  <c r="T111" i="36"/>
  <c r="U111"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19" i="23"/>
  <c r="E19" i="36"/>
  <c r="J19" i="36" s="1"/>
  <c r="E14" i="36"/>
  <c r="I111" i="39"/>
  <c r="T111" i="39"/>
  <c r="U111" i="39" s="1"/>
  <c r="E14" i="32"/>
  <c r="E103"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0" i="37"/>
  <c r="T110"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19" i="37"/>
  <c r="I118" i="37"/>
  <c r="E18" i="38"/>
  <c r="H18" i="38" s="1"/>
  <c r="I18" i="38" s="1"/>
  <c r="E17" i="32"/>
  <c r="J17" i="32" s="1"/>
  <c r="E28" i="34"/>
  <c r="H28" i="34" s="1"/>
  <c r="I28" i="34" s="1"/>
  <c r="E43" i="23"/>
  <c r="I43" i="23" s="1"/>
  <c r="E40" i="23"/>
  <c r="I40" i="23" s="1"/>
  <c r="I119" i="36"/>
  <c r="H120" i="38"/>
  <c r="T118" i="38"/>
  <c r="E23" i="38"/>
  <c r="H23" i="38" s="1"/>
  <c r="I23" i="38" s="1"/>
  <c r="R94" i="40"/>
  <c r="E20" i="32"/>
  <c r="H20" i="32" s="1"/>
  <c r="I20" i="32" s="1"/>
  <c r="E21" i="34"/>
  <c r="H21" i="34" s="1"/>
  <c r="I21" i="34" s="1"/>
  <c r="I110" i="36"/>
  <c r="E25" i="32"/>
  <c r="H25" i="32" s="1"/>
  <c r="I25" i="32" s="1"/>
  <c r="T111" i="33"/>
  <c r="U111"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2" i="39"/>
  <c r="I120" i="40"/>
  <c r="R94" i="42"/>
  <c r="I111" i="44"/>
  <c r="I119" i="48"/>
  <c r="I110" i="43"/>
  <c r="T110" i="43"/>
  <c r="E101" i="37"/>
  <c r="H120" i="39"/>
  <c r="E43" i="39"/>
  <c r="I43" i="39" s="1"/>
  <c r="E40" i="39"/>
  <c r="I40" i="39" s="1"/>
  <c r="E22" i="39"/>
  <c r="H22" i="39" s="1"/>
  <c r="I22" i="39" s="1"/>
  <c r="T8" i="39"/>
  <c r="T119" i="40"/>
  <c r="E21" i="40"/>
  <c r="H21" i="40" s="1"/>
  <c r="I21" i="40" s="1"/>
  <c r="E20" i="40"/>
  <c r="H20" i="40" s="1"/>
  <c r="I20" i="40" s="1"/>
  <c r="E17" i="40"/>
  <c r="J17" i="40" s="1"/>
  <c r="E22" i="40"/>
  <c r="H22" i="40" s="1"/>
  <c r="I22" i="40" s="1"/>
  <c r="I118" i="40"/>
  <c r="E102" i="42"/>
  <c r="T8" i="42"/>
  <c r="R96" i="48"/>
  <c r="R94" i="37"/>
  <c r="T110" i="38"/>
  <c r="E103" i="39"/>
  <c r="E20" i="39"/>
  <c r="H20" i="39" s="1"/>
  <c r="I20" i="39" s="1"/>
  <c r="E19" i="40"/>
  <c r="J19" i="40" s="1"/>
  <c r="T119" i="44"/>
  <c r="E101" i="44"/>
  <c r="T8" i="44"/>
  <c r="E103" i="44"/>
  <c r="E102" i="44"/>
  <c r="H120" i="45"/>
  <c r="T118" i="45"/>
  <c r="E43" i="38"/>
  <c r="I43" i="38" s="1"/>
  <c r="T119"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1"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3" i="47"/>
  <c r="E102" i="47"/>
  <c r="E101" i="47"/>
  <c r="E23" i="39"/>
  <c r="H23" i="39" s="1"/>
  <c r="I23" i="39" s="1"/>
  <c r="E18" i="39"/>
  <c r="H18" i="39" s="1"/>
  <c r="I18" i="39" s="1"/>
  <c r="E41" i="40"/>
  <c r="I41" i="40" s="1"/>
  <c r="E26" i="40"/>
  <c r="H26" i="40" s="1"/>
  <c r="I26" i="40" s="1"/>
  <c r="I119" i="40"/>
  <c r="E18" i="40"/>
  <c r="H18" i="40" s="1"/>
  <c r="I18" i="40" s="1"/>
  <c r="T120" i="43"/>
  <c r="E43" i="44"/>
  <c r="I43" i="44" s="1"/>
  <c r="E43" i="42"/>
  <c r="I43" i="42" s="1"/>
  <c r="E40" i="42"/>
  <c r="I40" i="42" s="1"/>
  <c r="E25" i="43"/>
  <c r="H25" i="43" s="1"/>
  <c r="I25" i="43" s="1"/>
  <c r="E25" i="42"/>
  <c r="H25" i="42" s="1"/>
  <c r="I25" i="42" s="1"/>
  <c r="T111" i="43"/>
  <c r="U111" i="43" s="1"/>
  <c r="E28" i="43"/>
  <c r="H28" i="43" s="1"/>
  <c r="I28" i="43" s="1"/>
  <c r="T120" i="44"/>
  <c r="I119" i="44"/>
  <c r="R92" i="45"/>
  <c r="R90" i="42"/>
  <c r="R85" i="42"/>
  <c r="E42" i="42"/>
  <c r="I42" i="42" s="1"/>
  <c r="E15" i="42"/>
  <c r="J15" i="42" s="1"/>
  <c r="E21" i="43"/>
  <c r="H21" i="43" s="1"/>
  <c r="I21" i="43" s="1"/>
  <c r="T111" i="47"/>
  <c r="U111" i="47" s="1"/>
  <c r="R92" i="47"/>
  <c r="E102" i="48"/>
  <c r="E101" i="48"/>
  <c r="E103" i="48"/>
  <c r="T8" i="48"/>
  <c r="E26" i="43"/>
  <c r="H26" i="43" s="1"/>
  <c r="I26" i="43" s="1"/>
  <c r="E16" i="43"/>
  <c r="H16" i="43" s="1"/>
  <c r="I16" i="43" s="1"/>
  <c r="T110" i="44"/>
  <c r="P103" i="45"/>
  <c r="P102" i="45"/>
  <c r="T119" i="75"/>
  <c r="E22" i="43"/>
  <c r="H22" i="43" s="1"/>
  <c r="I22" i="43" s="1"/>
  <c r="I110" i="45"/>
  <c r="T110"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0" i="50"/>
  <c r="T118" i="50"/>
  <c r="E43" i="45"/>
  <c r="I43" i="45" s="1"/>
  <c r="T119" i="48"/>
  <c r="E40" i="48"/>
  <c r="I40" i="48" s="1"/>
  <c r="I119" i="51"/>
  <c r="E24" i="44"/>
  <c r="H24" i="44" s="1"/>
  <c r="I24" i="44" s="1"/>
  <c r="E20" i="48"/>
  <c r="H20" i="48" s="1"/>
  <c r="I20" i="48" s="1"/>
  <c r="R94" i="51"/>
  <c r="I120" i="76"/>
  <c r="I119" i="76"/>
  <c r="E25" i="48"/>
  <c r="H25" i="48" s="1"/>
  <c r="I25" i="48" s="1"/>
  <c r="T111" i="50"/>
  <c r="U111" i="50" s="1"/>
  <c r="E39" i="75"/>
  <c r="I39" i="75" s="1"/>
  <c r="E42" i="75"/>
  <c r="I42" i="75" s="1"/>
  <c r="E40" i="75"/>
  <c r="I40" i="75" s="1"/>
  <c r="E43" i="75"/>
  <c r="I43" i="75" s="1"/>
  <c r="E15" i="48"/>
  <c r="J15" i="48" s="1"/>
  <c r="R96" i="51"/>
  <c r="P101" i="52"/>
  <c r="P103" i="52"/>
  <c r="P102" i="52"/>
  <c r="E41" i="75"/>
  <c r="I41" i="75" s="1"/>
  <c r="R90" i="58"/>
  <c r="R92" i="52"/>
  <c r="E26" i="48"/>
  <c r="H26" i="48" s="1"/>
  <c r="I26" i="48" s="1"/>
  <c r="E16" i="48"/>
  <c r="H16" i="48" s="1"/>
  <c r="I16" i="48" s="1"/>
  <c r="E103" i="51"/>
  <c r="E23" i="51"/>
  <c r="H23" i="51" s="1"/>
  <c r="I23" i="51" s="1"/>
  <c r="R90" i="75"/>
  <c r="E38" i="75"/>
  <c r="I38" i="75" s="1"/>
  <c r="E43" i="50"/>
  <c r="I43" i="50" s="1"/>
  <c r="E24" i="48"/>
  <c r="H24" i="48" s="1"/>
  <c r="I24" i="48" s="1"/>
  <c r="E19" i="48"/>
  <c r="J19" i="48" s="1"/>
  <c r="I111" i="76"/>
  <c r="T111" i="76"/>
  <c r="U111"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0" i="76"/>
  <c r="P102" i="56"/>
  <c r="P101" i="56"/>
  <c r="R94" i="52"/>
  <c r="E41" i="52"/>
  <c r="I41" i="52" s="1"/>
  <c r="E38" i="52"/>
  <c r="I38" i="52" s="1"/>
  <c r="E29" i="75"/>
  <c r="H29" i="75" s="1"/>
  <c r="I29" i="75" s="1"/>
  <c r="E102" i="55"/>
  <c r="E101" i="55"/>
  <c r="E103" i="55"/>
  <c r="T8" i="55"/>
  <c r="E17" i="75"/>
  <c r="J17" i="75" s="1"/>
  <c r="P103"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4" i="76"/>
  <c r="I14" i="76" s="1"/>
  <c r="H120" i="55"/>
  <c r="E43" i="55"/>
  <c r="I43" i="55" s="1"/>
  <c r="E40" i="55"/>
  <c r="I40" i="55" s="1"/>
  <c r="E22" i="55"/>
  <c r="H22" i="55" s="1"/>
  <c r="I22" i="55" s="1"/>
  <c r="E20" i="55"/>
  <c r="H20" i="55" s="1"/>
  <c r="I20" i="55" s="1"/>
  <c r="I119" i="56"/>
  <c r="I119" i="57"/>
  <c r="E15" i="57"/>
  <c r="J15" i="57" s="1"/>
  <c r="E25" i="55"/>
  <c r="H25" i="55" s="1"/>
  <c r="I25" i="55" s="1"/>
  <c r="T119" i="56"/>
  <c r="R92" i="56"/>
  <c r="E101" i="56"/>
  <c r="E103" i="56"/>
  <c r="H120" i="66"/>
  <c r="T118" i="66"/>
  <c r="R90" i="55"/>
  <c r="R85" i="55"/>
  <c r="E42" i="55"/>
  <c r="I42" i="55" s="1"/>
  <c r="E39" i="55"/>
  <c r="I39" i="55" s="1"/>
  <c r="E15" i="55"/>
  <c r="J15" i="55" s="1"/>
  <c r="R92" i="76"/>
  <c r="E20" i="76"/>
  <c r="H20" i="76" s="1"/>
  <c r="I20" i="76" s="1"/>
  <c r="E23" i="55"/>
  <c r="H23" i="55" s="1"/>
  <c r="I23" i="55" s="1"/>
  <c r="E18" i="55"/>
  <c r="H18" i="55" s="1"/>
  <c r="I18" i="55" s="1"/>
  <c r="E27" i="57"/>
  <c r="H27" i="57" s="1"/>
  <c r="I27" i="57" s="1"/>
  <c r="E103" i="57"/>
  <c r="T8" i="57"/>
  <c r="E101" i="57"/>
  <c r="E25" i="76"/>
  <c r="H25" i="76" s="1"/>
  <c r="I25" i="76" s="1"/>
  <c r="E28" i="55"/>
  <c r="H28" i="55" s="1"/>
  <c r="I28" i="55" s="1"/>
  <c r="E102"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18" i="57"/>
  <c r="H120" i="57"/>
  <c r="T118" i="57"/>
  <c r="I119" i="55"/>
  <c r="E26" i="57"/>
  <c r="H26" i="57" s="1"/>
  <c r="I26" i="57" s="1"/>
  <c r="E24" i="55"/>
  <c r="H24" i="55" s="1"/>
  <c r="I24" i="55" s="1"/>
  <c r="I111" i="57"/>
  <c r="T111" i="57"/>
  <c r="U111"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0" i="58"/>
  <c r="I118" i="58"/>
  <c r="R85" i="58"/>
  <c r="E38" i="58"/>
  <c r="I38" i="58" s="1"/>
  <c r="E39" i="58"/>
  <c r="I39" i="58" s="1"/>
  <c r="E42" i="58"/>
  <c r="I42" i="58" s="1"/>
  <c r="E28" i="56"/>
  <c r="H28" i="56" s="1"/>
  <c r="I28" i="56" s="1"/>
  <c r="E25" i="66"/>
  <c r="H25" i="66" s="1"/>
  <c r="I25" i="66" s="1"/>
  <c r="E26" i="56"/>
  <c r="H26" i="56" s="1"/>
  <c r="I26" i="56" s="1"/>
  <c r="E16" i="56"/>
  <c r="H16" i="56" s="1"/>
  <c r="I16" i="56" s="1"/>
  <c r="T110"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18" i="67"/>
  <c r="E29" i="67"/>
  <c r="H29" i="67" s="1"/>
  <c r="I29" i="67" s="1"/>
  <c r="E27" i="67"/>
  <c r="H27" i="67" s="1"/>
  <c r="I27" i="67" s="1"/>
  <c r="E25" i="67"/>
  <c r="H25" i="67" s="1"/>
  <c r="I25" i="67" s="1"/>
  <c r="T8" i="67"/>
  <c r="E102" i="67"/>
  <c r="E20" i="67"/>
  <c r="H20" i="67" s="1"/>
  <c r="I20" i="67" s="1"/>
  <c r="E18" i="67"/>
  <c r="H18" i="67" s="1"/>
  <c r="I18" i="67" s="1"/>
  <c r="E22" i="67"/>
  <c r="H22" i="67" s="1"/>
  <c r="I22" i="67" s="1"/>
  <c r="E14" i="67"/>
  <c r="E19" i="67"/>
  <c r="J19" i="67" s="1"/>
  <c r="E24" i="67"/>
  <c r="H24" i="67" s="1"/>
  <c r="I24" i="67" s="1"/>
  <c r="E28" i="67"/>
  <c r="H28" i="67" s="1"/>
  <c r="I28" i="67" s="1"/>
  <c r="R92" i="69"/>
  <c r="E42" i="66"/>
  <c r="I42" i="66" s="1"/>
  <c r="E103" i="67"/>
  <c r="E17" i="67"/>
  <c r="J17" i="67" s="1"/>
  <c r="E40" i="70"/>
  <c r="I40" i="70" s="1"/>
  <c r="E43" i="70"/>
  <c r="I43" i="70" s="1"/>
  <c r="E41" i="70"/>
  <c r="I41" i="70" s="1"/>
  <c r="E42" i="70"/>
  <c r="I42" i="70" s="1"/>
  <c r="E38" i="70"/>
  <c r="I38" i="70" s="1"/>
  <c r="E39" i="70"/>
  <c r="I39" i="70" s="1"/>
  <c r="I119" i="68"/>
  <c r="H120" i="77"/>
  <c r="T118" i="77"/>
  <c r="I110" i="70"/>
  <c r="I111" i="68"/>
  <c r="T111" i="68"/>
  <c r="U111" i="68" s="1"/>
  <c r="R92" i="71"/>
  <c r="H21" i="70"/>
  <c r="I21" i="70" s="1"/>
  <c r="I110" i="68"/>
  <c r="T110" i="68"/>
  <c r="E43" i="69"/>
  <c r="I43" i="69" s="1"/>
  <c r="T111" i="70"/>
  <c r="U111" i="70" s="1"/>
  <c r="T119"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1" i="77"/>
  <c r="P103" i="77"/>
  <c r="P102"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1" i="78"/>
  <c r="P103"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18" i="30"/>
  <c r="E29" i="30"/>
  <c r="H29" i="30" s="1"/>
  <c r="I29" i="30" s="1"/>
  <c r="E14" i="30"/>
  <c r="E43" i="30"/>
  <c r="I43" i="30" s="1"/>
  <c r="E40" i="30"/>
  <c r="I40" i="30" s="1"/>
  <c r="R96" i="78"/>
  <c r="R88" i="78"/>
  <c r="I120" i="30"/>
  <c r="E27" i="30"/>
  <c r="H27" i="30" s="1"/>
  <c r="I27" i="30" s="1"/>
  <c r="E17" i="30"/>
  <c r="J17" i="30" s="1"/>
  <c r="R94" i="77"/>
  <c r="E41" i="77"/>
  <c r="I41" i="77" s="1"/>
  <c r="E38" i="77"/>
  <c r="I38" i="77" s="1"/>
  <c r="T118" i="78"/>
  <c r="E29" i="78"/>
  <c r="H29" i="78" s="1"/>
  <c r="I29" i="78" s="1"/>
  <c r="E14" i="78"/>
  <c r="E20" i="30"/>
  <c r="H20" i="30" s="1"/>
  <c r="I20" i="30" s="1"/>
  <c r="H120" i="78"/>
  <c r="E22" i="78"/>
  <c r="H22" i="78" s="1"/>
  <c r="I22" i="78" s="1"/>
  <c r="T119"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20" i="69" l="1"/>
  <c r="H19" i="75"/>
  <c r="I19" i="75" s="1"/>
  <c r="J19" i="75"/>
  <c r="H19" i="76"/>
  <c r="I19" i="76" s="1"/>
  <c r="J19" i="76"/>
  <c r="H17" i="56"/>
  <c r="I17" i="56" s="1"/>
  <c r="J17" i="56"/>
  <c r="H19" i="55"/>
  <c r="I19" i="55" s="1"/>
  <c r="J19" i="55"/>
  <c r="H19" i="33"/>
  <c r="I19" i="33" s="1"/>
  <c r="I30" i="33" s="1"/>
  <c r="J19" i="33"/>
  <c r="H17" i="23"/>
  <c r="I17" i="23" s="1"/>
  <c r="J17" i="23"/>
  <c r="H19" i="7"/>
  <c r="I19" i="7" s="1"/>
  <c r="J19" i="7"/>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0" i="68"/>
  <c r="E44" i="68"/>
  <c r="I120" i="56"/>
  <c r="I120" i="23"/>
  <c r="I121" i="23" s="1"/>
  <c r="I120" i="21"/>
  <c r="I121" i="21" s="1"/>
  <c r="I112" i="60"/>
  <c r="I111" i="60"/>
  <c r="I21" i="7"/>
  <c r="I22" i="7"/>
  <c r="I14" i="7"/>
  <c r="I27" i="7"/>
  <c r="I28" i="7"/>
  <c r="I25" i="7"/>
  <c r="I20" i="7"/>
  <c r="I18" i="7"/>
  <c r="H18" i="60"/>
  <c r="I23" i="7"/>
  <c r="I24" i="7"/>
  <c r="I24" i="60" s="1"/>
  <c r="H24" i="60"/>
  <c r="I29" i="7"/>
  <c r="I26" i="7"/>
  <c r="I26" i="60" s="1"/>
  <c r="H26" i="60"/>
  <c r="H31" i="60"/>
  <c r="I120" i="48"/>
  <c r="I121" i="48" s="1"/>
  <c r="I120" i="52"/>
  <c r="I121" i="52" s="1"/>
  <c r="T120" i="35"/>
  <c r="T120"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1" i="76"/>
  <c r="I120" i="75"/>
  <c r="I121" i="75" s="1"/>
  <c r="P103" i="68"/>
  <c r="I120" i="18"/>
  <c r="I121" i="18" s="1"/>
  <c r="E44" i="22"/>
  <c r="P101" i="21"/>
  <c r="I120" i="37"/>
  <c r="I121" i="37" s="1"/>
  <c r="I120" i="34"/>
  <c r="I121" i="34" s="1"/>
  <c r="E44" i="24"/>
  <c r="I120" i="51"/>
  <c r="I121" i="51" s="1"/>
  <c r="I44" i="22"/>
  <c r="E44" i="25"/>
  <c r="P102" i="23"/>
  <c r="I121" i="42"/>
  <c r="H19" i="70"/>
  <c r="I19" i="70" s="1"/>
  <c r="E44" i="38"/>
  <c r="P102" i="76"/>
  <c r="E44" i="32"/>
  <c r="E44" i="18"/>
  <c r="E44" i="43"/>
  <c r="E44" i="76"/>
  <c r="I44" i="69"/>
  <c r="P103" i="30"/>
  <c r="P102" i="30"/>
  <c r="P101" i="33"/>
  <c r="I44" i="68"/>
  <c r="P101" i="68"/>
  <c r="P101" i="40"/>
  <c r="P102" i="40"/>
  <c r="I121" i="71"/>
  <c r="I120" i="70"/>
  <c r="I121" i="70" s="1"/>
  <c r="C103" i="69"/>
  <c r="H103" i="69" s="1"/>
  <c r="C102" i="52"/>
  <c r="H102" i="52" s="1"/>
  <c r="H19" i="52"/>
  <c r="I19" i="52" s="1"/>
  <c r="E30" i="52"/>
  <c r="I121" i="44"/>
  <c r="I121" i="35"/>
  <c r="I121" i="32"/>
  <c r="I44" i="28"/>
  <c r="E44" i="28"/>
  <c r="P103" i="27"/>
  <c r="P101" i="27"/>
  <c r="E44" i="36"/>
  <c r="I121" i="30"/>
  <c r="P101" i="24"/>
  <c r="P103" i="24"/>
  <c r="P102" i="24"/>
  <c r="I121" i="27"/>
  <c r="I120" i="26"/>
  <c r="I121" i="26" s="1"/>
  <c r="T120" i="26"/>
  <c r="P101" i="50"/>
  <c r="P102" i="50"/>
  <c r="H17" i="68"/>
  <c r="I17" i="68" s="1"/>
  <c r="E15" i="60"/>
  <c r="I44" i="38"/>
  <c r="E44" i="39"/>
  <c r="I44" i="25"/>
  <c r="E30" i="34"/>
  <c r="H17" i="71"/>
  <c r="I17" i="71" s="1"/>
  <c r="E44" i="69"/>
  <c r="P102" i="28"/>
  <c r="P101" i="28"/>
  <c r="E44" i="21"/>
  <c r="I44" i="21"/>
  <c r="H19" i="32"/>
  <c r="I19" i="32" s="1"/>
  <c r="H14" i="52"/>
  <c r="E14" i="60"/>
  <c r="H17" i="76"/>
  <c r="I17" i="76" s="1"/>
  <c r="E44" i="50"/>
  <c r="I121" i="43"/>
  <c r="T120" i="16"/>
  <c r="I121" i="69"/>
  <c r="I121" i="67"/>
  <c r="I121" i="47"/>
  <c r="I44" i="32"/>
  <c r="I44" i="18"/>
  <c r="H19" i="78"/>
  <c r="I19" i="78" s="1"/>
  <c r="I121" i="24"/>
  <c r="I120" i="33"/>
  <c r="I121" i="33" s="1"/>
  <c r="I121" i="28"/>
  <c r="P102" i="33"/>
  <c r="P103" i="50"/>
  <c r="P101" i="23"/>
  <c r="P102" i="17"/>
  <c r="P103" i="17"/>
  <c r="P101" i="66"/>
  <c r="P102" i="66"/>
  <c r="P102" i="37"/>
  <c r="P101" i="37"/>
  <c r="I44" i="50"/>
  <c r="D32" i="60"/>
  <c r="E120" i="60" s="1"/>
  <c r="I120" i="60" s="1"/>
  <c r="I122" i="60" s="1"/>
  <c r="E44" i="7"/>
  <c r="C101" i="69"/>
  <c r="H101" i="69" s="1"/>
  <c r="P102" i="21"/>
  <c r="I44" i="76"/>
  <c r="I44" i="36"/>
  <c r="P103" i="38"/>
  <c r="P101" i="38"/>
  <c r="P102" i="38"/>
  <c r="C103" i="33"/>
  <c r="H103" i="33" s="1"/>
  <c r="C103" i="42"/>
  <c r="H103" i="42" s="1"/>
  <c r="I44" i="33"/>
  <c r="I44" i="34"/>
  <c r="I44" i="20"/>
  <c r="P102" i="69"/>
  <c r="P103" i="69"/>
  <c r="P101" i="69"/>
  <c r="P102" i="36"/>
  <c r="P101" i="36"/>
  <c r="P103" i="36"/>
  <c r="P101" i="75"/>
  <c r="P102" i="75"/>
  <c r="P103" i="75"/>
  <c r="I44" i="47"/>
  <c r="I44" i="23"/>
  <c r="I44" i="39"/>
  <c r="C102" i="33"/>
  <c r="H102" i="33" s="1"/>
  <c r="P103" i="22"/>
  <c r="P102" i="22"/>
  <c r="I44" i="43"/>
  <c r="I44" i="27"/>
  <c r="I121" i="56"/>
  <c r="E30" i="36"/>
  <c r="H14" i="36"/>
  <c r="I14" i="36" s="1"/>
  <c r="E41" i="60"/>
  <c r="P101" i="71"/>
  <c r="P102" i="71"/>
  <c r="P103" i="71"/>
  <c r="H17" i="57"/>
  <c r="I17" i="57" s="1"/>
  <c r="E30" i="75"/>
  <c r="H14" i="75"/>
  <c r="I14" i="75" s="1"/>
  <c r="E30" i="55"/>
  <c r="E44" i="75"/>
  <c r="I44" i="75"/>
  <c r="H14" i="47"/>
  <c r="I14" i="47" s="1"/>
  <c r="E30" i="47"/>
  <c r="E30" i="42"/>
  <c r="H15" i="42"/>
  <c r="I15" i="42" s="1"/>
  <c r="H15" i="45"/>
  <c r="I15" i="45" s="1"/>
  <c r="P101" i="44"/>
  <c r="P103" i="44"/>
  <c r="P102" i="44"/>
  <c r="H19" i="36"/>
  <c r="I19" i="36" s="1"/>
  <c r="H30" i="33"/>
  <c r="H14" i="31"/>
  <c r="I14" i="31" s="1"/>
  <c r="E30" i="31"/>
  <c r="H21" i="18"/>
  <c r="I21" i="18" s="1"/>
  <c r="E21" i="60"/>
  <c r="E27" i="60"/>
  <c r="C102" i="16"/>
  <c r="H102" i="16" s="1"/>
  <c r="H28" i="60"/>
  <c r="E28" i="60"/>
  <c r="E18" i="60"/>
  <c r="I44" i="16"/>
  <c r="H15" i="22"/>
  <c r="I15" i="22" s="1"/>
  <c r="I43" i="60"/>
  <c r="E43" i="60"/>
  <c r="H17" i="18"/>
  <c r="I17" i="18" s="1"/>
  <c r="C102" i="17"/>
  <c r="H102" i="17" s="1"/>
  <c r="H23" i="16"/>
  <c r="H23" i="60" s="1"/>
  <c r="E23" i="60"/>
  <c r="E42" i="60"/>
  <c r="E44" i="16"/>
  <c r="I120" i="78"/>
  <c r="I121" i="78" s="1"/>
  <c r="T120" i="78"/>
  <c r="P103" i="67"/>
  <c r="P101" i="67"/>
  <c r="P102" i="67"/>
  <c r="H17" i="58"/>
  <c r="I17" i="58" s="1"/>
  <c r="H19" i="66"/>
  <c r="I19" i="66" s="1"/>
  <c r="C102" i="55"/>
  <c r="H102" i="55" s="1"/>
  <c r="E30" i="56"/>
  <c r="C103" i="56"/>
  <c r="H103" i="56" s="1"/>
  <c r="H15" i="48"/>
  <c r="I15" i="48" s="1"/>
  <c r="E30" i="50"/>
  <c r="H14" i="50"/>
  <c r="I14" i="50" s="1"/>
  <c r="P103" i="42"/>
  <c r="P101" i="42"/>
  <c r="P102" i="42"/>
  <c r="C101" i="33"/>
  <c r="E44" i="27"/>
  <c r="H15" i="31"/>
  <c r="I15" i="31" s="1"/>
  <c r="H17" i="28"/>
  <c r="I17" i="28" s="1"/>
  <c r="H14" i="28"/>
  <c r="I14" i="28" s="1"/>
  <c r="E30" i="28"/>
  <c r="E30" i="17"/>
  <c r="H14" i="17"/>
  <c r="I14" i="17" s="1"/>
  <c r="E44" i="20"/>
  <c r="H20" i="60"/>
  <c r="E20" i="60"/>
  <c r="E30" i="16"/>
  <c r="H14" i="16"/>
  <c r="I14" i="16" s="1"/>
  <c r="E30" i="25"/>
  <c r="H14" i="25"/>
  <c r="I14" i="25" s="1"/>
  <c r="C103" i="7"/>
  <c r="E40" i="60"/>
  <c r="E30" i="77"/>
  <c r="H14" i="77"/>
  <c r="I14" i="77" s="1"/>
  <c r="H17" i="45"/>
  <c r="I17" i="45" s="1"/>
  <c r="C102" i="34"/>
  <c r="H102" i="34" s="1"/>
  <c r="I120" i="38"/>
  <c r="I121" i="38" s="1"/>
  <c r="T120" i="38"/>
  <c r="H17" i="30"/>
  <c r="I17" i="30" s="1"/>
  <c r="H17" i="77"/>
  <c r="I17" i="77" s="1"/>
  <c r="E30" i="70"/>
  <c r="H14" i="70"/>
  <c r="I14" i="70" s="1"/>
  <c r="I120" i="77"/>
  <c r="I121" i="77" s="1"/>
  <c r="T120" i="77"/>
  <c r="H15" i="75"/>
  <c r="I15" i="75" s="1"/>
  <c r="P103" i="55"/>
  <c r="P102" i="55"/>
  <c r="P101" i="55"/>
  <c r="H14" i="51"/>
  <c r="I14" i="51" s="1"/>
  <c r="E30" i="51"/>
  <c r="C103" i="47"/>
  <c r="H103" i="47" s="1"/>
  <c r="H19" i="38"/>
  <c r="I19" i="38" s="1"/>
  <c r="I44" i="37"/>
  <c r="E44" i="37"/>
  <c r="H19" i="26"/>
  <c r="I19" i="26" s="1"/>
  <c r="I120" i="22"/>
  <c r="I121" i="22" s="1"/>
  <c r="T120" i="22"/>
  <c r="H29" i="17"/>
  <c r="H29" i="60" s="1"/>
  <c r="E29" i="60"/>
  <c r="H17" i="24"/>
  <c r="I17" i="24" s="1"/>
  <c r="H15" i="21"/>
  <c r="I15" i="21" s="1"/>
  <c r="I120" i="25"/>
  <c r="I121" i="25" s="1"/>
  <c r="T120" i="25"/>
  <c r="E16" i="60"/>
  <c r="H16" i="7"/>
  <c r="H19" i="28"/>
  <c r="I19" i="28" s="1"/>
  <c r="E44" i="71"/>
  <c r="I44" i="71"/>
  <c r="H15" i="58"/>
  <c r="I15" i="58" s="1"/>
  <c r="C102" i="56"/>
  <c r="H102" i="56" s="1"/>
  <c r="I121" i="76"/>
  <c r="I120" i="50"/>
  <c r="I121" i="50" s="1"/>
  <c r="T120" i="50"/>
  <c r="C103" i="51"/>
  <c r="H103" i="51" s="1"/>
  <c r="P102" i="39"/>
  <c r="P101" i="39"/>
  <c r="P103" i="39"/>
  <c r="E44" i="34"/>
  <c r="H15" i="18"/>
  <c r="I15" i="18" s="1"/>
  <c r="H15" i="28"/>
  <c r="I15" i="28" s="1"/>
  <c r="H15" i="24"/>
  <c r="I15" i="24" s="1"/>
  <c r="I44" i="7"/>
  <c r="G459" i="64"/>
  <c r="F480" i="64"/>
  <c r="F481" i="64" s="1"/>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30" i="7" s="1"/>
  <c r="U123" i="7" s="1"/>
  <c r="H14" i="22"/>
  <c r="I14" i="22" s="1"/>
  <c r="E30" i="22"/>
  <c r="P102" i="16"/>
  <c r="P101" i="16"/>
  <c r="P103" i="16"/>
  <c r="E30" i="78"/>
  <c r="H14" i="78"/>
  <c r="I14" i="78" s="1"/>
  <c r="E29" i="62"/>
  <c r="E30" i="62" s="1"/>
  <c r="I31" i="60"/>
  <c r="H17" i="69"/>
  <c r="I17" i="69" s="1"/>
  <c r="I121" i="68"/>
  <c r="E44" i="67"/>
  <c r="I44" i="67"/>
  <c r="E30" i="66"/>
  <c r="H14" i="66"/>
  <c r="I14" i="66" s="1"/>
  <c r="E30" i="57"/>
  <c r="H14" i="57"/>
  <c r="I14" i="57" s="1"/>
  <c r="P101" i="57"/>
  <c r="P102" i="57"/>
  <c r="P103" i="57"/>
  <c r="E44" i="57"/>
  <c r="C102" i="47"/>
  <c r="H102" i="47" s="1"/>
  <c r="P101" i="47"/>
  <c r="P103" i="47"/>
  <c r="P102" i="47"/>
  <c r="H19" i="45"/>
  <c r="I19" i="45" s="1"/>
  <c r="C103" i="43"/>
  <c r="H103" i="43" s="1"/>
  <c r="I44" i="42"/>
  <c r="E30" i="40"/>
  <c r="H19" i="37"/>
  <c r="I19" i="37" s="1"/>
  <c r="E44" i="23"/>
  <c r="H15" i="27"/>
  <c r="I15" i="27" s="1"/>
  <c r="P103" i="34"/>
  <c r="P102" i="34"/>
  <c r="P101" i="34"/>
  <c r="H19" i="17"/>
  <c r="I19" i="17" s="1"/>
  <c r="E19" i="60"/>
  <c r="I120" i="31"/>
  <c r="I121" i="31" s="1"/>
  <c r="T120" i="31"/>
  <c r="I119" i="7"/>
  <c r="H14" i="58"/>
  <c r="I14" i="58" s="1"/>
  <c r="E30" i="58"/>
  <c r="H17" i="40"/>
  <c r="I17" i="40" s="1"/>
  <c r="E44" i="30"/>
  <c r="C103" i="68"/>
  <c r="H103" i="68" s="1"/>
  <c r="H17" i="67"/>
  <c r="I17" i="67" s="1"/>
  <c r="I44" i="57"/>
  <c r="E44" i="55"/>
  <c r="E44" i="51"/>
  <c r="H16" i="44"/>
  <c r="I16" i="44" s="1"/>
  <c r="E30" i="44"/>
  <c r="E44" i="47"/>
  <c r="E30" i="43"/>
  <c r="I121" i="40"/>
  <c r="E44" i="42"/>
  <c r="H19" i="23"/>
  <c r="I19" i="23" s="1"/>
  <c r="H17" i="38"/>
  <c r="I17" i="38" s="1"/>
  <c r="H17" i="26"/>
  <c r="I17" i="26" s="1"/>
  <c r="E30" i="26"/>
  <c r="H14" i="26"/>
  <c r="I14" i="26" s="1"/>
  <c r="E30" i="27"/>
  <c r="C102" i="27"/>
  <c r="H102" i="27" s="1"/>
  <c r="H19" i="18"/>
  <c r="I19" i="18" s="1"/>
  <c r="H17" i="7"/>
  <c r="E17" i="60"/>
  <c r="E30" i="18"/>
  <c r="H17" i="22"/>
  <c r="I17" i="22" s="1"/>
  <c r="E44" i="44"/>
  <c r="I44" i="44"/>
  <c r="C102" i="42"/>
  <c r="H102" i="42" s="1"/>
  <c r="E30" i="23"/>
  <c r="H14" i="23"/>
  <c r="I14" i="23" s="1"/>
  <c r="H17" i="25"/>
  <c r="I17" i="25" s="1"/>
  <c r="I44" i="30"/>
  <c r="E30" i="71"/>
  <c r="I120" i="57"/>
  <c r="I121" i="57" s="1"/>
  <c r="T120" i="57"/>
  <c r="H15" i="55"/>
  <c r="I15" i="55" s="1"/>
  <c r="I44" i="55"/>
  <c r="E30" i="76"/>
  <c r="I44" i="51"/>
  <c r="H14" i="45"/>
  <c r="I14" i="45" s="1"/>
  <c r="E30" i="45"/>
  <c r="I120" i="39"/>
  <c r="I121" i="39" s="1"/>
  <c r="T120" i="39"/>
  <c r="H14" i="37"/>
  <c r="I14" i="37" s="1"/>
  <c r="E30" i="37"/>
  <c r="H17" i="32"/>
  <c r="I17" i="32" s="1"/>
  <c r="H16" i="35"/>
  <c r="I16" i="35" s="1"/>
  <c r="E30" i="35"/>
  <c r="I44" i="31"/>
  <c r="E44" i="31"/>
  <c r="H14" i="24"/>
  <c r="I14" i="24" s="1"/>
  <c r="E30" i="24"/>
  <c r="H17" i="31"/>
  <c r="I17" i="31" s="1"/>
  <c r="E30" i="20"/>
  <c r="H15" i="20"/>
  <c r="I15" i="20" s="1"/>
  <c r="H19" i="20"/>
  <c r="I19" i="20" s="1"/>
  <c r="E26" i="60"/>
  <c r="I120" i="7"/>
  <c r="T120"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C103" i="55"/>
  <c r="H103" i="55" s="1"/>
  <c r="T120" i="55"/>
  <c r="I120" i="55"/>
  <c r="I121" i="55" s="1"/>
  <c r="C103" i="76"/>
  <c r="H103" i="76" s="1"/>
  <c r="E30" i="48"/>
  <c r="I120" i="45"/>
  <c r="I121" i="45" s="1"/>
  <c r="T120" i="45"/>
  <c r="H19" i="40"/>
  <c r="I19" i="40" s="1"/>
  <c r="H15" i="38"/>
  <c r="I15" i="38" s="1"/>
  <c r="C101" i="40"/>
  <c r="E44" i="40"/>
  <c r="H19" i="21"/>
  <c r="I19" i="21" s="1"/>
  <c r="C103" i="35"/>
  <c r="H103" i="35" s="1"/>
  <c r="H19" i="24"/>
  <c r="I19" i="24" s="1"/>
  <c r="I121" i="17"/>
  <c r="H19" i="25"/>
  <c r="I19" i="25" s="1"/>
  <c r="I118" i="7"/>
  <c r="E30" i="30"/>
  <c r="H14" i="30"/>
  <c r="I14" i="30" s="1"/>
  <c r="H15" i="66"/>
  <c r="I15" i="66" s="1"/>
  <c r="H19" i="50"/>
  <c r="I19" i="50" s="1"/>
  <c r="P103" i="48"/>
  <c r="P102" i="48"/>
  <c r="P101" i="48"/>
  <c r="I120" i="58"/>
  <c r="I121" i="58" s="1"/>
  <c r="T120" i="58"/>
  <c r="I120" i="66"/>
  <c r="I121" i="66" s="1"/>
  <c r="T120" i="66"/>
  <c r="I44" i="52"/>
  <c r="E44" i="52"/>
  <c r="H15" i="30"/>
  <c r="I15" i="30" s="1"/>
  <c r="E44" i="78"/>
  <c r="I44" i="78"/>
  <c r="H19" i="67"/>
  <c r="I19" i="67" s="1"/>
  <c r="I44" i="66"/>
  <c r="E44" i="66"/>
  <c r="H17" i="75"/>
  <c r="I17" i="75" s="1"/>
  <c r="H15" i="51"/>
  <c r="I15" i="51" s="1"/>
  <c r="H19" i="48"/>
  <c r="I19" i="48" s="1"/>
  <c r="C103" i="44"/>
  <c r="H103" i="44" s="1"/>
  <c r="E44" i="48"/>
  <c r="I44" i="48"/>
  <c r="H15" i="37"/>
  <c r="I15" i="37" s="1"/>
  <c r="H17" i="37"/>
  <c r="I17" i="37" s="1"/>
  <c r="I44" i="35"/>
  <c r="E44" i="35"/>
  <c r="E30" i="39"/>
  <c r="I44" i="40"/>
  <c r="I120" i="36"/>
  <c r="I121" i="36" s="1"/>
  <c r="T120" i="36"/>
  <c r="E30" i="33"/>
  <c r="I121" i="20"/>
  <c r="H15" i="16"/>
  <c r="I15" i="16" s="1"/>
  <c r="H25" i="16"/>
  <c r="H25" i="60" s="1"/>
  <c r="E25" i="60"/>
  <c r="E44" i="60"/>
  <c r="C103" i="75" l="1"/>
  <c r="H103" i="75" s="1"/>
  <c r="C102" i="48"/>
  <c r="H102" i="48" s="1"/>
  <c r="C103" i="27"/>
  <c r="H103" i="27" s="1"/>
  <c r="C102" i="39"/>
  <c r="H102" i="39" s="1"/>
  <c r="C103" i="34"/>
  <c r="H103" i="34" s="1"/>
  <c r="C102" i="51"/>
  <c r="H102" i="51" s="1"/>
  <c r="C103" i="57"/>
  <c r="H103" i="57" s="1"/>
  <c r="C103" i="39"/>
  <c r="H103" i="39" s="1"/>
  <c r="C102" i="23"/>
  <c r="H102" i="23" s="1"/>
  <c r="C103" i="30"/>
  <c r="H103" i="30" s="1"/>
  <c r="C101" i="7"/>
  <c r="C102" i="43"/>
  <c r="H102" i="43" s="1"/>
  <c r="C103" i="71"/>
  <c r="H103" i="71" s="1"/>
  <c r="I30" i="43"/>
  <c r="H30" i="43"/>
  <c r="C101" i="71"/>
  <c r="C101" i="76"/>
  <c r="H30" i="56"/>
  <c r="C72" i="56" s="1"/>
  <c r="H22" i="60"/>
  <c r="H19" i="60"/>
  <c r="I17" i="7"/>
  <c r="H17" i="60"/>
  <c r="I16" i="7"/>
  <c r="H16" i="60"/>
  <c r="H103" i="7"/>
  <c r="H27" i="60"/>
  <c r="H14" i="60"/>
  <c r="H15" i="60"/>
  <c r="H21" i="60"/>
  <c r="C101" i="43"/>
  <c r="H101" i="43" s="1"/>
  <c r="C101" i="35"/>
  <c r="H101" i="35" s="1"/>
  <c r="C101" i="44"/>
  <c r="H101" i="44" s="1"/>
  <c r="C101" i="56"/>
  <c r="C104" i="56" s="1"/>
  <c r="H130" i="45"/>
  <c r="U123" i="45" s="1"/>
  <c r="C75" i="45"/>
  <c r="H76" i="45" s="1"/>
  <c r="H92" i="45" s="1"/>
  <c r="C78" i="45"/>
  <c r="H79" i="45" s="1"/>
  <c r="H85" i="45" s="1"/>
  <c r="C81" i="45"/>
  <c r="H82" i="45" s="1"/>
  <c r="H90" i="45" s="1"/>
  <c r="H130" i="78"/>
  <c r="U123" i="78" s="1"/>
  <c r="C78" i="78"/>
  <c r="H79" i="78" s="1"/>
  <c r="H85" i="78" s="1"/>
  <c r="C81" i="78"/>
  <c r="H82" i="78" s="1"/>
  <c r="H90" i="78" s="1"/>
  <c r="C75" i="78"/>
  <c r="H76" i="78" s="1"/>
  <c r="H92" i="78" s="1"/>
  <c r="H130" i="50"/>
  <c r="U123" i="50" s="1"/>
  <c r="C75" i="50"/>
  <c r="H76" i="50" s="1"/>
  <c r="H92" i="50" s="1"/>
  <c r="C78" i="50"/>
  <c r="H79" i="50" s="1"/>
  <c r="H85" i="50" s="1"/>
  <c r="C81" i="50"/>
  <c r="H82" i="50" s="1"/>
  <c r="H90" i="50" s="1"/>
  <c r="H130" i="55"/>
  <c r="U123" i="55" s="1"/>
  <c r="C75" i="55"/>
  <c r="H76" i="55" s="1"/>
  <c r="H92" i="55" s="1"/>
  <c r="C78" i="55"/>
  <c r="H79" i="55" s="1"/>
  <c r="H85" i="55" s="1"/>
  <c r="C81" i="55"/>
  <c r="H82" i="55" s="1"/>
  <c r="H90" i="55" s="1"/>
  <c r="H130" i="40"/>
  <c r="U123" i="40" s="1"/>
  <c r="C75" i="40"/>
  <c r="H76" i="40" s="1"/>
  <c r="H92" i="40" s="1"/>
  <c r="C78" i="40"/>
  <c r="H79" i="40" s="1"/>
  <c r="H85" i="40" s="1"/>
  <c r="C81" i="40"/>
  <c r="H82" i="40" s="1"/>
  <c r="H90" i="40" s="1"/>
  <c r="H130" i="77"/>
  <c r="U123" i="77" s="1"/>
  <c r="C81" i="77"/>
  <c r="H82" i="77" s="1"/>
  <c r="H90" i="77" s="1"/>
  <c r="C78" i="77"/>
  <c r="H79" i="77" s="1"/>
  <c r="H85" i="77" s="1"/>
  <c r="C75" i="77"/>
  <c r="H76" i="77" s="1"/>
  <c r="H92" i="77" s="1"/>
  <c r="H130" i="17"/>
  <c r="U123" i="17" s="1"/>
  <c r="C75" i="17"/>
  <c r="H76" i="17" s="1"/>
  <c r="H92" i="17" s="1"/>
  <c r="C81" i="17"/>
  <c r="H82" i="17" s="1"/>
  <c r="H90" i="17" s="1"/>
  <c r="C78" i="17"/>
  <c r="H79" i="17" s="1"/>
  <c r="H85" i="17" s="1"/>
  <c r="H130" i="26"/>
  <c r="U123" i="26" s="1"/>
  <c r="C78" i="26"/>
  <c r="H79" i="26" s="1"/>
  <c r="H85" i="26" s="1"/>
  <c r="C81" i="26"/>
  <c r="H82" i="26" s="1"/>
  <c r="H90" i="26" s="1"/>
  <c r="C75" i="26"/>
  <c r="H76" i="26" s="1"/>
  <c r="H92" i="26" s="1"/>
  <c r="H130" i="57"/>
  <c r="U123" i="57" s="1"/>
  <c r="C81" i="57"/>
  <c r="H82" i="57" s="1"/>
  <c r="H90" i="57" s="1"/>
  <c r="C75" i="57"/>
  <c r="H76" i="57" s="1"/>
  <c r="H92" i="57" s="1"/>
  <c r="C78" i="57"/>
  <c r="H79" i="57" s="1"/>
  <c r="H85" i="57" s="1"/>
  <c r="H130" i="38"/>
  <c r="U123" i="38" s="1"/>
  <c r="C81" i="38"/>
  <c r="H82" i="38" s="1"/>
  <c r="H90" i="38" s="1"/>
  <c r="C78" i="38"/>
  <c r="H79" i="38" s="1"/>
  <c r="H85" i="38" s="1"/>
  <c r="C75" i="38"/>
  <c r="H76" i="38" s="1"/>
  <c r="H92" i="38" s="1"/>
  <c r="H130" i="28"/>
  <c r="U123" i="28" s="1"/>
  <c r="C81" i="28"/>
  <c r="H82" i="28" s="1"/>
  <c r="H90" i="28" s="1"/>
  <c r="C78" i="28"/>
  <c r="H79" i="28" s="1"/>
  <c r="H85" i="28" s="1"/>
  <c r="C75" i="28"/>
  <c r="H76" i="28" s="1"/>
  <c r="H92" i="28" s="1"/>
  <c r="H130" i="75"/>
  <c r="U123" i="75" s="1"/>
  <c r="C81" i="75"/>
  <c r="H82" i="75" s="1"/>
  <c r="H90" i="75" s="1"/>
  <c r="C75" i="75"/>
  <c r="H76" i="75" s="1"/>
  <c r="H92" i="75" s="1"/>
  <c r="C78" i="75"/>
  <c r="H79" i="75" s="1"/>
  <c r="H85" i="75" s="1"/>
  <c r="H130" i="23"/>
  <c r="U123" i="23" s="1"/>
  <c r="C78" i="23"/>
  <c r="H79" i="23" s="1"/>
  <c r="H85" i="23" s="1"/>
  <c r="C75" i="23"/>
  <c r="H76" i="23" s="1"/>
  <c r="H92" i="23" s="1"/>
  <c r="C81" i="23"/>
  <c r="H82" i="23" s="1"/>
  <c r="H90" i="23" s="1"/>
  <c r="C75" i="30"/>
  <c r="H76" i="30" s="1"/>
  <c r="H92" i="30" s="1"/>
  <c r="C78" i="30"/>
  <c r="H79" i="30" s="1"/>
  <c r="H85" i="30" s="1"/>
  <c r="C81" i="30"/>
  <c r="H82" i="30" s="1"/>
  <c r="H90" i="30" s="1"/>
  <c r="H130" i="67"/>
  <c r="U123" i="67" s="1"/>
  <c r="C81" i="67"/>
  <c r="H82" i="67" s="1"/>
  <c r="H90" i="67" s="1"/>
  <c r="C75" i="67"/>
  <c r="H76" i="67" s="1"/>
  <c r="H92" i="67" s="1"/>
  <c r="C78" i="67"/>
  <c r="H79" i="67" s="1"/>
  <c r="H85" i="67" s="1"/>
  <c r="H130" i="76"/>
  <c r="U123" i="76" s="1"/>
  <c r="C78" i="76"/>
  <c r="H79" i="76" s="1"/>
  <c r="H85" i="76" s="1"/>
  <c r="C81" i="76"/>
  <c r="H82" i="76" s="1"/>
  <c r="H90" i="76" s="1"/>
  <c r="C75" i="76"/>
  <c r="H76" i="76" s="1"/>
  <c r="H92" i="76" s="1"/>
  <c r="H130" i="24"/>
  <c r="U123" i="24" s="1"/>
  <c r="C78" i="24"/>
  <c r="H79" i="24" s="1"/>
  <c r="H85" i="24" s="1"/>
  <c r="C81" i="24"/>
  <c r="H82" i="24" s="1"/>
  <c r="H90" i="24" s="1"/>
  <c r="C75" i="24"/>
  <c r="H76" i="24" s="1"/>
  <c r="H92" i="24" s="1"/>
  <c r="H130" i="66"/>
  <c r="U123" i="66" s="1"/>
  <c r="C75" i="66"/>
  <c r="H76" i="66" s="1"/>
  <c r="H92" i="66" s="1"/>
  <c r="C78" i="66"/>
  <c r="H79" i="66" s="1"/>
  <c r="H85" i="66" s="1"/>
  <c r="C81" i="66"/>
  <c r="H82" i="66" s="1"/>
  <c r="H90" i="66" s="1"/>
  <c r="H130" i="22"/>
  <c r="U123" i="22" s="1"/>
  <c r="C81" i="22"/>
  <c r="H82" i="22" s="1"/>
  <c r="H90" i="22" s="1"/>
  <c r="C75" i="22"/>
  <c r="H76" i="22" s="1"/>
  <c r="H92" i="22" s="1"/>
  <c r="C78" i="22"/>
  <c r="H79" i="22" s="1"/>
  <c r="H85" i="22" s="1"/>
  <c r="C78" i="32"/>
  <c r="H79" i="32" s="1"/>
  <c r="H85" i="32" s="1"/>
  <c r="C81" i="32"/>
  <c r="H82" i="32" s="1"/>
  <c r="H90" i="32" s="1"/>
  <c r="C75" i="32"/>
  <c r="H76" i="32" s="1"/>
  <c r="H92" i="32" s="1"/>
  <c r="H130" i="56"/>
  <c r="U123" i="56" s="1"/>
  <c r="C78" i="56"/>
  <c r="H79" i="56" s="1"/>
  <c r="H85" i="56" s="1"/>
  <c r="C81" i="56"/>
  <c r="H82" i="56" s="1"/>
  <c r="H90" i="56" s="1"/>
  <c r="C75" i="56"/>
  <c r="H76" i="56" s="1"/>
  <c r="H92" i="56" s="1"/>
  <c r="H130" i="33"/>
  <c r="U123" i="33" s="1"/>
  <c r="C75" i="33"/>
  <c r="H76" i="33" s="1"/>
  <c r="H92" i="33" s="1"/>
  <c r="C78" i="33"/>
  <c r="H79" i="33" s="1"/>
  <c r="H85" i="33" s="1"/>
  <c r="C81" i="33"/>
  <c r="H82" i="33" s="1"/>
  <c r="H90" i="33" s="1"/>
  <c r="H130" i="21"/>
  <c r="U123" i="21" s="1"/>
  <c r="C81" i="21"/>
  <c r="H82" i="21" s="1"/>
  <c r="H90" i="21" s="1"/>
  <c r="C78" i="21"/>
  <c r="H79" i="21" s="1"/>
  <c r="H85" i="21" s="1"/>
  <c r="C75" i="21"/>
  <c r="H76" i="21" s="1"/>
  <c r="H92" i="21" s="1"/>
  <c r="H130" i="35"/>
  <c r="U123" i="35" s="1"/>
  <c r="C75" i="35"/>
  <c r="H76" i="35" s="1"/>
  <c r="H92" i="35" s="1"/>
  <c r="C81" i="35"/>
  <c r="H82" i="35" s="1"/>
  <c r="H90" i="35" s="1"/>
  <c r="C78" i="35"/>
  <c r="H79" i="35" s="1"/>
  <c r="H85" i="35" s="1"/>
  <c r="H130" i="51"/>
  <c r="U123" i="51" s="1"/>
  <c r="C81" i="51"/>
  <c r="H82" i="51" s="1"/>
  <c r="H90" i="51" s="1"/>
  <c r="C78" i="51"/>
  <c r="H79" i="51" s="1"/>
  <c r="H85" i="51" s="1"/>
  <c r="C75" i="51"/>
  <c r="H76" i="51" s="1"/>
  <c r="H92" i="51" s="1"/>
  <c r="H130" i="70"/>
  <c r="U123" i="70" s="1"/>
  <c r="C81" i="70"/>
  <c r="H82" i="70" s="1"/>
  <c r="H90" i="70" s="1"/>
  <c r="C78" i="70"/>
  <c r="H79" i="70" s="1"/>
  <c r="H85" i="70" s="1"/>
  <c r="C75" i="70"/>
  <c r="H76" i="70" s="1"/>
  <c r="H92" i="70" s="1"/>
  <c r="H130" i="25"/>
  <c r="U123" i="25" s="1"/>
  <c r="C81" i="25"/>
  <c r="H82" i="25" s="1"/>
  <c r="H90" i="25" s="1"/>
  <c r="C75" i="25"/>
  <c r="H76" i="25" s="1"/>
  <c r="H92" i="25" s="1"/>
  <c r="C78" i="25"/>
  <c r="H79" i="25" s="1"/>
  <c r="H85" i="25" s="1"/>
  <c r="H130" i="48"/>
  <c r="U123" i="48" s="1"/>
  <c r="C75" i="48"/>
  <c r="H76" i="48" s="1"/>
  <c r="H92" i="48" s="1"/>
  <c r="C78" i="48"/>
  <c r="H79" i="48" s="1"/>
  <c r="H85" i="48" s="1"/>
  <c r="C81" i="48"/>
  <c r="H82" i="48" s="1"/>
  <c r="H90" i="48" s="1"/>
  <c r="H130" i="18"/>
  <c r="U123" i="18" s="1"/>
  <c r="C81" i="18"/>
  <c r="H82" i="18" s="1"/>
  <c r="H90" i="18" s="1"/>
  <c r="C78" i="18"/>
  <c r="H79" i="18" s="1"/>
  <c r="H85" i="18" s="1"/>
  <c r="C75" i="18"/>
  <c r="H76" i="18" s="1"/>
  <c r="H92" i="18" s="1"/>
  <c r="C75" i="7"/>
  <c r="C81" i="7"/>
  <c r="C78" i="7"/>
  <c r="H130" i="43"/>
  <c r="U123" i="43" s="1"/>
  <c r="C81" i="43"/>
  <c r="H82" i="43" s="1"/>
  <c r="H90" i="43" s="1"/>
  <c r="C75" i="43"/>
  <c r="H76" i="43" s="1"/>
  <c r="H92" i="43" s="1"/>
  <c r="C78" i="43"/>
  <c r="H79" i="43" s="1"/>
  <c r="H85" i="43" s="1"/>
  <c r="H130" i="16"/>
  <c r="U123" i="16" s="1"/>
  <c r="C78" i="16"/>
  <c r="H79" i="16" s="1"/>
  <c r="H85" i="16" s="1"/>
  <c r="C81" i="16"/>
  <c r="H82" i="16" s="1"/>
  <c r="H90" i="16" s="1"/>
  <c r="C75" i="16"/>
  <c r="H76" i="16" s="1"/>
  <c r="H92" i="16" s="1"/>
  <c r="H130" i="42"/>
  <c r="U123" i="42" s="1"/>
  <c r="C81" i="42"/>
  <c r="H82" i="42" s="1"/>
  <c r="H90" i="42" s="1"/>
  <c r="C78" i="42"/>
  <c r="H79" i="42" s="1"/>
  <c r="H85" i="42" s="1"/>
  <c r="C75" i="42"/>
  <c r="H76" i="42" s="1"/>
  <c r="H92" i="42" s="1"/>
  <c r="H130" i="37"/>
  <c r="U123" i="37" s="1"/>
  <c r="C78" i="37"/>
  <c r="H79" i="37" s="1"/>
  <c r="H85" i="37" s="1"/>
  <c r="C81" i="37"/>
  <c r="H82" i="37" s="1"/>
  <c r="H90" i="37" s="1"/>
  <c r="C75" i="37"/>
  <c r="H76" i="37" s="1"/>
  <c r="H92" i="37" s="1"/>
  <c r="H130" i="58"/>
  <c r="U123" i="58" s="1"/>
  <c r="C78" i="58"/>
  <c r="H79" i="58" s="1"/>
  <c r="H85" i="58" s="1"/>
  <c r="C81" i="58"/>
  <c r="H82" i="58" s="1"/>
  <c r="H90" i="58" s="1"/>
  <c r="C75" i="58"/>
  <c r="H76" i="58" s="1"/>
  <c r="H92" i="58" s="1"/>
  <c r="H130" i="68"/>
  <c r="U123" i="68" s="1"/>
  <c r="C78" i="68"/>
  <c r="H79" i="68" s="1"/>
  <c r="H85" i="68" s="1"/>
  <c r="C81" i="68"/>
  <c r="H82" i="68" s="1"/>
  <c r="H90" i="68" s="1"/>
  <c r="C75" i="68"/>
  <c r="H76" i="68" s="1"/>
  <c r="H92" i="68" s="1"/>
  <c r="C81" i="31"/>
  <c r="H82" i="31" s="1"/>
  <c r="H90" i="31" s="1"/>
  <c r="C75" i="31"/>
  <c r="H76" i="31" s="1"/>
  <c r="H92" i="31" s="1"/>
  <c r="C78" i="31"/>
  <c r="H79" i="31" s="1"/>
  <c r="H85" i="31" s="1"/>
  <c r="H130" i="47"/>
  <c r="U123" i="47" s="1"/>
  <c r="C81" i="47"/>
  <c r="H82" i="47" s="1"/>
  <c r="H90" i="47" s="1"/>
  <c r="C78" i="47"/>
  <c r="H79" i="47" s="1"/>
  <c r="H85" i="47" s="1"/>
  <c r="C75" i="47"/>
  <c r="H76" i="47" s="1"/>
  <c r="H92" i="47" s="1"/>
  <c r="H130" i="39"/>
  <c r="U123" i="39" s="1"/>
  <c r="C78" i="39"/>
  <c r="H79" i="39" s="1"/>
  <c r="H85" i="39" s="1"/>
  <c r="C81" i="39"/>
  <c r="H82" i="39" s="1"/>
  <c r="H90" i="39" s="1"/>
  <c r="C75" i="39"/>
  <c r="H76" i="39" s="1"/>
  <c r="H92" i="39" s="1"/>
  <c r="H130" i="71"/>
  <c r="U123" i="71" s="1"/>
  <c r="C81" i="71"/>
  <c r="H82" i="71" s="1"/>
  <c r="H90" i="71" s="1"/>
  <c r="C78" i="71"/>
  <c r="H79" i="71" s="1"/>
  <c r="H85" i="71" s="1"/>
  <c r="C75" i="71"/>
  <c r="H76" i="71" s="1"/>
  <c r="H92" i="71" s="1"/>
  <c r="C81" i="36"/>
  <c r="H82" i="36" s="1"/>
  <c r="H90" i="36" s="1"/>
  <c r="C78" i="36"/>
  <c r="H79" i="36" s="1"/>
  <c r="H85" i="36" s="1"/>
  <c r="C75" i="36"/>
  <c r="H76" i="36" s="1"/>
  <c r="H92" i="36" s="1"/>
  <c r="H130" i="34"/>
  <c r="C81" i="34"/>
  <c r="H82" i="34" s="1"/>
  <c r="H90" i="34" s="1"/>
  <c r="C75" i="34"/>
  <c r="H76" i="34" s="1"/>
  <c r="H92" i="34" s="1"/>
  <c r="C78" i="34"/>
  <c r="H79" i="34" s="1"/>
  <c r="H85" i="34" s="1"/>
  <c r="H130" i="69"/>
  <c r="U123" i="69" s="1"/>
  <c r="C75" i="69"/>
  <c r="H76" i="69" s="1"/>
  <c r="H92" i="69" s="1"/>
  <c r="C78" i="69"/>
  <c r="H79" i="69" s="1"/>
  <c r="H85" i="69" s="1"/>
  <c r="C81" i="69"/>
  <c r="H82" i="69" s="1"/>
  <c r="H90" i="69" s="1"/>
  <c r="H130" i="20"/>
  <c r="U123" i="20" s="1"/>
  <c r="C75" i="20"/>
  <c r="H76" i="20" s="1"/>
  <c r="H92" i="20" s="1"/>
  <c r="C81" i="20"/>
  <c r="H82" i="20" s="1"/>
  <c r="H90" i="20" s="1"/>
  <c r="C78" i="20"/>
  <c r="H79" i="20" s="1"/>
  <c r="H85" i="20" s="1"/>
  <c r="H130" i="27"/>
  <c r="U123" i="27" s="1"/>
  <c r="C75" i="27"/>
  <c r="H76" i="27" s="1"/>
  <c r="H92" i="27" s="1"/>
  <c r="C78" i="27"/>
  <c r="H79" i="27" s="1"/>
  <c r="H85" i="27" s="1"/>
  <c r="C81" i="27"/>
  <c r="H82" i="27" s="1"/>
  <c r="H90" i="27" s="1"/>
  <c r="H130" i="44"/>
  <c r="U123" i="44" s="1"/>
  <c r="C78" i="44"/>
  <c r="H79" i="44" s="1"/>
  <c r="H85" i="44" s="1"/>
  <c r="C81" i="44"/>
  <c r="H82" i="44" s="1"/>
  <c r="H90" i="44" s="1"/>
  <c r="C75" i="44"/>
  <c r="H76" i="44" s="1"/>
  <c r="H92" i="44" s="1"/>
  <c r="H130" i="52"/>
  <c r="C78" i="52"/>
  <c r="H79" i="52" s="1"/>
  <c r="H85" i="52" s="1"/>
  <c r="C81" i="52"/>
  <c r="H82" i="52" s="1"/>
  <c r="H90" i="52" s="1"/>
  <c r="C75" i="52"/>
  <c r="H76" i="52" s="1"/>
  <c r="H92" i="52" s="1"/>
  <c r="E46" i="33"/>
  <c r="C72" i="33"/>
  <c r="E46" i="43"/>
  <c r="C72" i="43"/>
  <c r="I29" i="17"/>
  <c r="I29" i="60" s="1"/>
  <c r="I20" i="60"/>
  <c r="C101" i="52"/>
  <c r="H101" i="52" s="1"/>
  <c r="I14" i="52"/>
  <c r="I30" i="52" s="1"/>
  <c r="I28" i="60"/>
  <c r="I23" i="16"/>
  <c r="I25" i="16"/>
  <c r="I25" i="60" s="1"/>
  <c r="I40" i="60"/>
  <c r="C103" i="70"/>
  <c r="H103" i="70" s="1"/>
  <c r="C69" i="34"/>
  <c r="H70" i="34" s="1"/>
  <c r="H88" i="34" s="1"/>
  <c r="I88" i="34" s="1"/>
  <c r="I30" i="76"/>
  <c r="I30" i="71"/>
  <c r="I27" i="60"/>
  <c r="I42" i="60"/>
  <c r="I46" i="33"/>
  <c r="I46" i="43"/>
  <c r="C103" i="78"/>
  <c r="H103" i="78" s="1"/>
  <c r="C102" i="57"/>
  <c r="H102" i="57" s="1"/>
  <c r="H30" i="76"/>
  <c r="C102" i="76"/>
  <c r="H102" i="76" s="1"/>
  <c r="C103" i="52"/>
  <c r="H103" i="52" s="1"/>
  <c r="H30" i="52"/>
  <c r="C69" i="52"/>
  <c r="H70" i="52" s="1"/>
  <c r="H130" i="32"/>
  <c r="U123" i="32" s="1"/>
  <c r="C69" i="32"/>
  <c r="H70" i="32" s="1"/>
  <c r="C102" i="68"/>
  <c r="H102" i="68" s="1"/>
  <c r="C103" i="32"/>
  <c r="H103" i="32" s="1"/>
  <c r="C102" i="71"/>
  <c r="H102" i="71" s="1"/>
  <c r="H30" i="71"/>
  <c r="H130" i="30"/>
  <c r="U123" i="30" s="1"/>
  <c r="C101" i="21"/>
  <c r="H101" i="21" s="1"/>
  <c r="I41" i="60"/>
  <c r="C102" i="36"/>
  <c r="H102" i="36" s="1"/>
  <c r="C102" i="58"/>
  <c r="H102" i="58" s="1"/>
  <c r="C101" i="48"/>
  <c r="H101" i="48" s="1"/>
  <c r="C102" i="50"/>
  <c r="H102" i="50" s="1"/>
  <c r="C102" i="75"/>
  <c r="H102" i="75" s="1"/>
  <c r="I44" i="60"/>
  <c r="C103" i="36"/>
  <c r="H103" i="36" s="1"/>
  <c r="H30" i="21"/>
  <c r="C102" i="77"/>
  <c r="H102" i="77" s="1"/>
  <c r="C103" i="22"/>
  <c r="H103" i="22" s="1"/>
  <c r="C103" i="28"/>
  <c r="H103" i="28" s="1"/>
  <c r="C101" i="34"/>
  <c r="H101" i="34" s="1"/>
  <c r="I104" i="34" s="1"/>
  <c r="C102" i="24"/>
  <c r="H102" i="24" s="1"/>
  <c r="I30" i="40"/>
  <c r="C103" i="24"/>
  <c r="H103" i="24" s="1"/>
  <c r="C103" i="31"/>
  <c r="H103" i="31" s="1"/>
  <c r="C102" i="22"/>
  <c r="H102" i="22" s="1"/>
  <c r="C102" i="28"/>
  <c r="H102" i="28" s="1"/>
  <c r="I21" i="60"/>
  <c r="C102" i="45"/>
  <c r="H102" i="45" s="1"/>
  <c r="C69" i="35"/>
  <c r="H70" i="35" s="1"/>
  <c r="H30" i="58"/>
  <c r="I30" i="58"/>
  <c r="C101" i="58"/>
  <c r="C69" i="40"/>
  <c r="H70" i="40" s="1"/>
  <c r="H101" i="71"/>
  <c r="I30" i="68"/>
  <c r="C101" i="68"/>
  <c r="H30" i="68"/>
  <c r="I39" i="60"/>
  <c r="I18" i="60"/>
  <c r="C104" i="33"/>
  <c r="H101" i="33"/>
  <c r="I104" i="33" s="1"/>
  <c r="I30" i="55"/>
  <c r="C103" i="16"/>
  <c r="H103" i="16" s="1"/>
  <c r="C69" i="33"/>
  <c r="H70" i="33" s="1"/>
  <c r="I30" i="34"/>
  <c r="C102" i="35"/>
  <c r="I30" i="35"/>
  <c r="H30" i="35"/>
  <c r="C103" i="25"/>
  <c r="H103" i="25" s="1"/>
  <c r="C103" i="23"/>
  <c r="H103" i="23" s="1"/>
  <c r="H30" i="66"/>
  <c r="C101" i="66"/>
  <c r="H30" i="70"/>
  <c r="C101" i="70"/>
  <c r="H30" i="25"/>
  <c r="I30" i="25"/>
  <c r="C101" i="25"/>
  <c r="H30" i="50"/>
  <c r="I30" i="50"/>
  <c r="C101" i="50"/>
  <c r="C103" i="37"/>
  <c r="H103" i="37" s="1"/>
  <c r="C69" i="55"/>
  <c r="H70" i="55" s="1"/>
  <c r="C102" i="20"/>
  <c r="H102" i="20" s="1"/>
  <c r="C69" i="66"/>
  <c r="H70" i="66" s="1"/>
  <c r="E34" i="62"/>
  <c r="E38" i="62" s="1"/>
  <c r="C69" i="7"/>
  <c r="C103" i="50"/>
  <c r="H103" i="50" s="1"/>
  <c r="C102" i="70"/>
  <c r="H102" i="70" s="1"/>
  <c r="C69" i="70"/>
  <c r="H70" i="70" s="1"/>
  <c r="C69" i="25"/>
  <c r="H70" i="25" s="1"/>
  <c r="H30" i="17"/>
  <c r="C101" i="17"/>
  <c r="C69" i="50"/>
  <c r="H70" i="50" s="1"/>
  <c r="C69" i="31"/>
  <c r="H70" i="31" s="1"/>
  <c r="C69" i="45"/>
  <c r="H70" i="45" s="1"/>
  <c r="H30" i="23"/>
  <c r="C101" i="23"/>
  <c r="C69" i="18"/>
  <c r="H70" i="18" s="1"/>
  <c r="I30" i="27"/>
  <c r="C101" i="27"/>
  <c r="H30" i="27"/>
  <c r="I30" i="56"/>
  <c r="C69" i="17"/>
  <c r="H70" i="17" s="1"/>
  <c r="C103" i="45"/>
  <c r="H103" i="45" s="1"/>
  <c r="C102" i="25"/>
  <c r="H102" i="25" s="1"/>
  <c r="H30" i="31"/>
  <c r="I30" i="31"/>
  <c r="C101" i="31"/>
  <c r="I30" i="42"/>
  <c r="H30" i="42"/>
  <c r="C101" i="42"/>
  <c r="H30" i="75"/>
  <c r="I30" i="75"/>
  <c r="C101" i="75"/>
  <c r="H101" i="76"/>
  <c r="C101" i="30"/>
  <c r="H30" i="30"/>
  <c r="C69" i="69"/>
  <c r="H70" i="69" s="1"/>
  <c r="H30" i="45"/>
  <c r="I30" i="45"/>
  <c r="C101" i="45"/>
  <c r="C69" i="23"/>
  <c r="H70" i="23" s="1"/>
  <c r="H30" i="78"/>
  <c r="I30" i="78"/>
  <c r="C101" i="78"/>
  <c r="C69" i="51"/>
  <c r="H70" i="51" s="1"/>
  <c r="C69" i="28"/>
  <c r="H70" i="28" s="1"/>
  <c r="C69" i="56"/>
  <c r="H70" i="56" s="1"/>
  <c r="C102" i="38"/>
  <c r="H102" i="38" s="1"/>
  <c r="C69" i="42"/>
  <c r="H70" i="42" s="1"/>
  <c r="C69" i="75"/>
  <c r="H70" i="75" s="1"/>
  <c r="C69" i="30"/>
  <c r="H70" i="30" s="1"/>
  <c r="C69" i="24"/>
  <c r="H70" i="24" s="1"/>
  <c r="C102" i="32"/>
  <c r="H102" i="32" s="1"/>
  <c r="C69" i="27"/>
  <c r="H70" i="27" s="1"/>
  <c r="C69" i="44"/>
  <c r="H70" i="44" s="1"/>
  <c r="C102" i="67"/>
  <c r="H102" i="67" s="1"/>
  <c r="C69" i="78"/>
  <c r="H70" i="78" s="1"/>
  <c r="C102" i="66"/>
  <c r="H102" i="66" s="1"/>
  <c r="C102" i="31"/>
  <c r="H102" i="31" s="1"/>
  <c r="C103" i="77"/>
  <c r="H103" i="77" s="1"/>
  <c r="H30" i="51"/>
  <c r="I30" i="51"/>
  <c r="C101" i="51"/>
  <c r="C101" i="16"/>
  <c r="H30" i="16"/>
  <c r="I30" i="28"/>
  <c r="C101" i="28"/>
  <c r="H30" i="28"/>
  <c r="E30" i="60"/>
  <c r="C69" i="39"/>
  <c r="H70" i="39" s="1"/>
  <c r="I30" i="24"/>
  <c r="C101" i="24"/>
  <c r="H30" i="24"/>
  <c r="C103" i="67"/>
  <c r="H103" i="67" s="1"/>
  <c r="H30" i="26"/>
  <c r="C101" i="26"/>
  <c r="I30" i="44"/>
  <c r="C102" i="44"/>
  <c r="H102" i="44" s="1"/>
  <c r="H30" i="44"/>
  <c r="H30" i="77"/>
  <c r="I30" i="77"/>
  <c r="C101" i="77"/>
  <c r="C69" i="16"/>
  <c r="H70" i="16" s="1"/>
  <c r="C69" i="47"/>
  <c r="H70" i="47" s="1"/>
  <c r="I30" i="21"/>
  <c r="C103" i="21"/>
  <c r="H103" i="21" s="1"/>
  <c r="H101" i="40"/>
  <c r="C103" i="20"/>
  <c r="H103" i="20" s="1"/>
  <c r="C69" i="37"/>
  <c r="H70" i="37" s="1"/>
  <c r="C69" i="26"/>
  <c r="H70" i="26" s="1"/>
  <c r="C69" i="43"/>
  <c r="H70" i="43" s="1"/>
  <c r="H30" i="38"/>
  <c r="I30" i="38"/>
  <c r="C101" i="38"/>
  <c r="C102" i="21"/>
  <c r="H102" i="21" s="1"/>
  <c r="C102" i="78"/>
  <c r="H102" i="78" s="1"/>
  <c r="C102" i="7"/>
  <c r="C102" i="30"/>
  <c r="H102" i="30" s="1"/>
  <c r="C69" i="77"/>
  <c r="H70" i="77" s="1"/>
  <c r="H30" i="40"/>
  <c r="I30" i="47"/>
  <c r="H30" i="47"/>
  <c r="C101" i="47"/>
  <c r="C102" i="37"/>
  <c r="H102" i="37" s="1"/>
  <c r="C69" i="67"/>
  <c r="H70" i="67" s="1"/>
  <c r="H30" i="37"/>
  <c r="I30" i="37"/>
  <c r="C101" i="37"/>
  <c r="I22" i="60"/>
  <c r="C69" i="38"/>
  <c r="H70" i="38" s="1"/>
  <c r="H30" i="7"/>
  <c r="C103" i="17"/>
  <c r="H103" i="17" s="1"/>
  <c r="C103" i="66"/>
  <c r="H103" i="66" s="1"/>
  <c r="C102" i="40"/>
  <c r="H102" i="40" s="1"/>
  <c r="C101" i="67"/>
  <c r="H30" i="67"/>
  <c r="H30" i="32"/>
  <c r="C101" i="32"/>
  <c r="H101" i="7"/>
  <c r="C102" i="18"/>
  <c r="H102" i="18" s="1"/>
  <c r="I30" i="36"/>
  <c r="C101" i="36"/>
  <c r="H30" i="36"/>
  <c r="C69" i="48"/>
  <c r="H70" i="48" s="1"/>
  <c r="C101" i="20"/>
  <c r="H30" i="20"/>
  <c r="C69" i="76"/>
  <c r="H70" i="76" s="1"/>
  <c r="C69" i="71"/>
  <c r="H70" i="71" s="1"/>
  <c r="C103" i="18"/>
  <c r="H103" i="18" s="1"/>
  <c r="C101" i="57"/>
  <c r="H30" i="57"/>
  <c r="I30" i="57"/>
  <c r="I30" i="69"/>
  <c r="C102" i="69"/>
  <c r="H30" i="69"/>
  <c r="C69" i="22"/>
  <c r="H70" i="22" s="1"/>
  <c r="I30" i="39"/>
  <c r="C101" i="39"/>
  <c r="H30" i="39"/>
  <c r="C103" i="58"/>
  <c r="H103" i="58" s="1"/>
  <c r="H30" i="18"/>
  <c r="C101" i="18"/>
  <c r="H30" i="55"/>
  <c r="C103" i="38"/>
  <c r="H103" i="38" s="1"/>
  <c r="C69" i="36"/>
  <c r="H70" i="36" s="1"/>
  <c r="I30" i="48"/>
  <c r="C103" i="48"/>
  <c r="H103" i="48" s="1"/>
  <c r="C102" i="26"/>
  <c r="H102" i="26" s="1"/>
  <c r="H30" i="48"/>
  <c r="I121" i="7"/>
  <c r="H30" i="34"/>
  <c r="E45" i="60"/>
  <c r="C69" i="21"/>
  <c r="H70" i="21" s="1"/>
  <c r="C69" i="20"/>
  <c r="H70" i="20" s="1"/>
  <c r="C69" i="58"/>
  <c r="H70" i="58" s="1"/>
  <c r="C69" i="57"/>
  <c r="H70" i="57" s="1"/>
  <c r="H30" i="22"/>
  <c r="C101" i="22"/>
  <c r="I30" i="22"/>
  <c r="C69" i="68"/>
  <c r="H70" i="68" s="1"/>
  <c r="C103" i="40"/>
  <c r="H103" i="40" s="1"/>
  <c r="C103" i="26"/>
  <c r="H103" i="26" s="1"/>
  <c r="C101" i="55"/>
  <c r="C80" i="60" l="1"/>
  <c r="H81" i="60" s="1"/>
  <c r="H86" i="60" s="1"/>
  <c r="C83" i="60"/>
  <c r="H84" i="60" s="1"/>
  <c r="H91" i="60" s="1"/>
  <c r="C77" i="60"/>
  <c r="H78" i="60" s="1"/>
  <c r="H93" i="60" s="1"/>
  <c r="C71" i="60"/>
  <c r="H72" i="60" s="1"/>
  <c r="H89" i="60" s="1"/>
  <c r="P42" i="52"/>
  <c r="U42" i="52" s="1"/>
  <c r="U123" i="52"/>
  <c r="P16" i="34"/>
  <c r="T16" i="34" s="1"/>
  <c r="U16" i="34" s="1"/>
  <c r="U123" i="34"/>
  <c r="I104" i="43"/>
  <c r="E46" i="56"/>
  <c r="H73" i="56" s="1"/>
  <c r="P38" i="34"/>
  <c r="U38" i="34" s="1"/>
  <c r="P41" i="52"/>
  <c r="U41" i="52" s="1"/>
  <c r="P14" i="34"/>
  <c r="P29" i="52"/>
  <c r="T29" i="52" s="1"/>
  <c r="U29" i="52" s="1"/>
  <c r="P40" i="34"/>
  <c r="U40" i="34" s="1"/>
  <c r="P110" i="34"/>
  <c r="U110" i="34" s="1"/>
  <c r="P43" i="34"/>
  <c r="U43" i="34" s="1"/>
  <c r="P23" i="34"/>
  <c r="T23" i="34" s="1"/>
  <c r="U23" i="34" s="1"/>
  <c r="P43" i="52"/>
  <c r="U43" i="52" s="1"/>
  <c r="P39" i="34"/>
  <c r="U39" i="34" s="1"/>
  <c r="P20" i="52"/>
  <c r="T20" i="52" s="1"/>
  <c r="U20" i="52" s="1"/>
  <c r="P21" i="34"/>
  <c r="T21" i="34" s="1"/>
  <c r="U21" i="34" s="1"/>
  <c r="P25" i="52"/>
  <c r="T25" i="52" s="1"/>
  <c r="U25" i="52" s="1"/>
  <c r="H101" i="56"/>
  <c r="I104" i="56" s="1"/>
  <c r="P120" i="34"/>
  <c r="U120" i="34" s="1"/>
  <c r="P17" i="52"/>
  <c r="T17" i="52" s="1"/>
  <c r="U17" i="52" s="1"/>
  <c r="P26" i="34"/>
  <c r="T26" i="34" s="1"/>
  <c r="U26" i="34" s="1"/>
  <c r="P118" i="52"/>
  <c r="U118" i="52" s="1"/>
  <c r="P110" i="52"/>
  <c r="U110" i="52" s="1"/>
  <c r="H30" i="60"/>
  <c r="E47" i="60" s="1"/>
  <c r="P41" i="34"/>
  <c r="U41" i="34" s="1"/>
  <c r="P21" i="52"/>
  <c r="T21" i="52" s="1"/>
  <c r="U21" i="52" s="1"/>
  <c r="P15" i="34"/>
  <c r="T15" i="34" s="1"/>
  <c r="U15" i="34" s="1"/>
  <c r="P19" i="52"/>
  <c r="T19" i="52" s="1"/>
  <c r="U19" i="52" s="1"/>
  <c r="H79" i="7"/>
  <c r="H85" i="7" s="1"/>
  <c r="I85" i="7" s="1"/>
  <c r="H76" i="7"/>
  <c r="H92" i="7" s="1"/>
  <c r="I92" i="7" s="1"/>
  <c r="H70" i="7"/>
  <c r="H88" i="7" s="1"/>
  <c r="I88" i="7" s="1"/>
  <c r="H102" i="7"/>
  <c r="I104" i="7" s="1"/>
  <c r="C103" i="60"/>
  <c r="H82" i="7"/>
  <c r="H90" i="7" s="1"/>
  <c r="I90" i="7" s="1"/>
  <c r="C104" i="60"/>
  <c r="H104" i="60"/>
  <c r="C102" i="60"/>
  <c r="I46" i="76"/>
  <c r="I46" i="39"/>
  <c r="P118" i="34"/>
  <c r="U118" i="34" s="1"/>
  <c r="P24" i="34"/>
  <c r="T24" i="34" s="1"/>
  <c r="U24" i="34" s="1"/>
  <c r="I46" i="47"/>
  <c r="C104"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19" i="52"/>
  <c r="U119" i="52" s="1"/>
  <c r="P27" i="52"/>
  <c r="T27" i="52" s="1"/>
  <c r="U27" i="52" s="1"/>
  <c r="P39" i="52"/>
  <c r="U39" i="52" s="1"/>
  <c r="I46" i="35"/>
  <c r="P17" i="34"/>
  <c r="T17" i="34" s="1"/>
  <c r="U17" i="34" s="1"/>
  <c r="I46" i="77"/>
  <c r="P26" i="52"/>
  <c r="T26" i="52" s="1"/>
  <c r="U26" i="52" s="1"/>
  <c r="P120" i="52"/>
  <c r="U120" i="52" s="1"/>
  <c r="P28" i="52"/>
  <c r="T28" i="52" s="1"/>
  <c r="U28" i="52" s="1"/>
  <c r="I46" i="45"/>
  <c r="I46" i="42"/>
  <c r="I46" i="25"/>
  <c r="I46" i="68"/>
  <c r="I46" i="69"/>
  <c r="I46" i="34"/>
  <c r="I46" i="57"/>
  <c r="P119" i="34"/>
  <c r="U119"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H94" i="56"/>
  <c r="I94" i="56" s="1"/>
  <c r="H96" i="56"/>
  <c r="I96" i="56" s="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H73" i="33"/>
  <c r="I30" i="16"/>
  <c r="F51" i="33"/>
  <c r="I51" i="33" s="1"/>
  <c r="F52" i="33"/>
  <c r="I52" i="33" s="1"/>
  <c r="F52" i="43"/>
  <c r="I52" i="43" s="1"/>
  <c r="F51" i="43"/>
  <c r="I51" i="43" s="1"/>
  <c r="I30" i="17"/>
  <c r="I23" i="60"/>
  <c r="I85" i="34"/>
  <c r="I92" i="34"/>
  <c r="I90" i="34"/>
  <c r="I90" i="52"/>
  <c r="I104" i="71"/>
  <c r="I30" i="32"/>
  <c r="C104" i="71"/>
  <c r="I104" i="52"/>
  <c r="C104" i="52"/>
  <c r="C104" i="76"/>
  <c r="I92" i="52"/>
  <c r="I85" i="52"/>
  <c r="H88" i="52"/>
  <c r="I88" i="52" s="1"/>
  <c r="I104" i="76"/>
  <c r="I45" i="60"/>
  <c r="I16" i="60"/>
  <c r="C104" i="7"/>
  <c r="I30" i="7"/>
  <c r="C104" i="34"/>
  <c r="I46" i="75"/>
  <c r="I30" i="67"/>
  <c r="C104" i="21"/>
  <c r="I104" i="44"/>
  <c r="I19" i="60"/>
  <c r="I17" i="60"/>
  <c r="I30" i="70"/>
  <c r="I30" i="20"/>
  <c r="I104" i="40"/>
  <c r="I104" i="48"/>
  <c r="C104" i="22"/>
  <c r="H101" i="22"/>
  <c r="I104" i="22" s="1"/>
  <c r="P14" i="76"/>
  <c r="P29" i="76"/>
  <c r="T29" i="76" s="1"/>
  <c r="U29" i="76" s="1"/>
  <c r="P24" i="76"/>
  <c r="T24" i="76" s="1"/>
  <c r="U24" i="76" s="1"/>
  <c r="P38" i="76"/>
  <c r="U38" i="76" s="1"/>
  <c r="P41" i="76"/>
  <c r="U41" i="76" s="1"/>
  <c r="P19" i="76"/>
  <c r="T19" i="76" s="1"/>
  <c r="U19" i="76" s="1"/>
  <c r="P119" i="76"/>
  <c r="U119"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18" i="76"/>
  <c r="U118" i="76" s="1"/>
  <c r="P15" i="76"/>
  <c r="T15" i="76" s="1"/>
  <c r="U15" i="76" s="1"/>
  <c r="P25" i="76"/>
  <c r="T25" i="76" s="1"/>
  <c r="U25" i="76" s="1"/>
  <c r="P27" i="76"/>
  <c r="T27" i="76" s="1"/>
  <c r="U27" i="76" s="1"/>
  <c r="P20" i="76"/>
  <c r="T20" i="76" s="1"/>
  <c r="U20" i="76" s="1"/>
  <c r="P40" i="76"/>
  <c r="U40" i="76" s="1"/>
  <c r="P17" i="76"/>
  <c r="T17" i="76" s="1"/>
  <c r="U17" i="76" s="1"/>
  <c r="P43" i="76"/>
  <c r="U43" i="76" s="1"/>
  <c r="P110" i="76"/>
  <c r="U110" i="76" s="1"/>
  <c r="P22" i="76"/>
  <c r="T22" i="76" s="1"/>
  <c r="U22" i="76" s="1"/>
  <c r="P120" i="76"/>
  <c r="U120" i="76" s="1"/>
  <c r="C104" i="44"/>
  <c r="I85" i="24"/>
  <c r="I90" i="24"/>
  <c r="I92" i="24"/>
  <c r="H88" i="24"/>
  <c r="I88" i="24" s="1"/>
  <c r="P18" i="70"/>
  <c r="T18" i="70" s="1"/>
  <c r="U18" i="70" s="1"/>
  <c r="P23" i="70"/>
  <c r="T23" i="70" s="1"/>
  <c r="U23" i="70" s="1"/>
  <c r="P118" i="70"/>
  <c r="U118" i="70" s="1"/>
  <c r="P15" i="70"/>
  <c r="T15" i="70" s="1"/>
  <c r="U15" i="70" s="1"/>
  <c r="P25" i="70"/>
  <c r="T25" i="70" s="1"/>
  <c r="U25" i="70" s="1"/>
  <c r="P19" i="70"/>
  <c r="T19" i="70" s="1"/>
  <c r="U19" i="70" s="1"/>
  <c r="P119" i="70"/>
  <c r="U119"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0" i="70"/>
  <c r="U120" i="70" s="1"/>
  <c r="P110" i="70"/>
  <c r="U110" i="70" s="1"/>
  <c r="P24" i="70"/>
  <c r="T24" i="70" s="1"/>
  <c r="U24" i="70" s="1"/>
  <c r="P29" i="70"/>
  <c r="T29" i="70" s="1"/>
  <c r="U29" i="70" s="1"/>
  <c r="P17" i="70"/>
  <c r="T17" i="70" s="1"/>
  <c r="U17" i="70" s="1"/>
  <c r="P39" i="70"/>
  <c r="U39" i="70" s="1"/>
  <c r="C104" i="50"/>
  <c r="H101" i="50"/>
  <c r="I104" i="50" s="1"/>
  <c r="H102" i="35"/>
  <c r="I104" i="35" s="1"/>
  <c r="C104" i="35"/>
  <c r="P18" i="35"/>
  <c r="T18" i="35" s="1"/>
  <c r="U18" i="35" s="1"/>
  <c r="P23" i="35"/>
  <c r="T23" i="35" s="1"/>
  <c r="U23" i="35" s="1"/>
  <c r="P118" i="35"/>
  <c r="U118" i="35" s="1"/>
  <c r="P110" i="35"/>
  <c r="U110" i="35" s="1"/>
  <c r="P15" i="35"/>
  <c r="T15" i="35" s="1"/>
  <c r="U15" i="35" s="1"/>
  <c r="P25" i="35"/>
  <c r="T25" i="35" s="1"/>
  <c r="U25" i="35" s="1"/>
  <c r="P20" i="35"/>
  <c r="T20" i="35" s="1"/>
  <c r="U20" i="35" s="1"/>
  <c r="P40" i="35"/>
  <c r="U40" i="35" s="1"/>
  <c r="P43" i="35"/>
  <c r="U43" i="35" s="1"/>
  <c r="P120" i="35"/>
  <c r="U120"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19" i="35"/>
  <c r="U119" i="35" s="1"/>
  <c r="P16" i="35"/>
  <c r="T16" i="35" s="1"/>
  <c r="U16" i="35" s="1"/>
  <c r="P26" i="35"/>
  <c r="T26" i="35" s="1"/>
  <c r="U26" i="35" s="1"/>
  <c r="P21" i="35"/>
  <c r="T21" i="35" s="1"/>
  <c r="U21" i="35" s="1"/>
  <c r="P39" i="35"/>
  <c r="U39" i="35" s="1"/>
  <c r="P42" i="35"/>
  <c r="U42" i="35" s="1"/>
  <c r="P28" i="35"/>
  <c r="T28" i="35" s="1"/>
  <c r="U28" i="35" s="1"/>
  <c r="I85" i="76"/>
  <c r="I90" i="76"/>
  <c r="I92" i="76"/>
  <c r="H88" i="76"/>
  <c r="I88" i="76" s="1"/>
  <c r="H101" i="37"/>
  <c r="I104" i="37" s="1"/>
  <c r="C104" i="37"/>
  <c r="I85" i="37"/>
  <c r="I90" i="37"/>
  <c r="I92" i="37"/>
  <c r="H88" i="37"/>
  <c r="I88" i="37" s="1"/>
  <c r="I92" i="47"/>
  <c r="H88" i="47"/>
  <c r="I88" i="47" s="1"/>
  <c r="I90" i="47"/>
  <c r="I85" i="47"/>
  <c r="H101" i="51"/>
  <c r="I104" i="51" s="1"/>
  <c r="C104" i="51"/>
  <c r="I85" i="44"/>
  <c r="I90" i="44"/>
  <c r="I92" i="44"/>
  <c r="H88" i="44"/>
  <c r="I88" i="44" s="1"/>
  <c r="P16" i="75"/>
  <c r="T16" i="75" s="1"/>
  <c r="U16" i="75" s="1"/>
  <c r="P15" i="75"/>
  <c r="T15" i="75" s="1"/>
  <c r="U15" i="75" s="1"/>
  <c r="P38" i="75"/>
  <c r="U38" i="75" s="1"/>
  <c r="P41" i="75"/>
  <c r="U41" i="75" s="1"/>
  <c r="P18" i="75"/>
  <c r="T18" i="75" s="1"/>
  <c r="U18" i="75" s="1"/>
  <c r="P26" i="75"/>
  <c r="T26" i="75" s="1"/>
  <c r="U26" i="75" s="1"/>
  <c r="P119" i="75"/>
  <c r="U119" i="75" s="1"/>
  <c r="P28" i="75"/>
  <c r="T28" i="75" s="1"/>
  <c r="U28" i="75" s="1"/>
  <c r="P23" i="75"/>
  <c r="T23" i="75" s="1"/>
  <c r="U23" i="75" s="1"/>
  <c r="P39" i="75"/>
  <c r="U39" i="75" s="1"/>
  <c r="P42" i="75"/>
  <c r="U42" i="75" s="1"/>
  <c r="P21" i="75"/>
  <c r="T21" i="75" s="1"/>
  <c r="U21" i="75" s="1"/>
  <c r="P118" i="75"/>
  <c r="U118" i="75" s="1"/>
  <c r="P25" i="75"/>
  <c r="T25" i="75" s="1"/>
  <c r="U25" i="75" s="1"/>
  <c r="P110" i="75"/>
  <c r="U110" i="75" s="1"/>
  <c r="P14" i="75"/>
  <c r="P19" i="75"/>
  <c r="T19" i="75" s="1"/>
  <c r="U19" i="75" s="1"/>
  <c r="P27" i="75"/>
  <c r="T27" i="75" s="1"/>
  <c r="U27" i="75" s="1"/>
  <c r="P40" i="75"/>
  <c r="U40" i="75" s="1"/>
  <c r="P43" i="75"/>
  <c r="U43" i="75" s="1"/>
  <c r="P120" i="75"/>
  <c r="U120"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0" i="28"/>
  <c r="U120"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19" i="28"/>
  <c r="U119" i="28" s="1"/>
  <c r="P16" i="28"/>
  <c r="T16" i="28" s="1"/>
  <c r="U16" i="28" s="1"/>
  <c r="P26" i="28"/>
  <c r="T26" i="28" s="1"/>
  <c r="U26" i="28" s="1"/>
  <c r="P28" i="28"/>
  <c r="T28" i="28" s="1"/>
  <c r="U28" i="28" s="1"/>
  <c r="P39" i="28"/>
  <c r="U39" i="28" s="1"/>
  <c r="P42" i="28"/>
  <c r="U42" i="28" s="1"/>
  <c r="P18" i="28"/>
  <c r="T18" i="28" s="1"/>
  <c r="U18" i="28" s="1"/>
  <c r="P23" i="28"/>
  <c r="T23" i="28" s="1"/>
  <c r="U23" i="28" s="1"/>
  <c r="P118" i="28"/>
  <c r="U118" i="28" s="1"/>
  <c r="P21" i="28"/>
  <c r="T21" i="28" s="1"/>
  <c r="U21" i="28" s="1"/>
  <c r="P110" i="28"/>
  <c r="U110" i="28" s="1"/>
  <c r="H88" i="45"/>
  <c r="I88" i="45" s="1"/>
  <c r="I85" i="45"/>
  <c r="I90" i="45"/>
  <c r="I92" i="45"/>
  <c r="P28" i="50"/>
  <c r="T28" i="50" s="1"/>
  <c r="U28" i="50" s="1"/>
  <c r="P39" i="50"/>
  <c r="U39" i="50" s="1"/>
  <c r="P42" i="50"/>
  <c r="U42" i="50" s="1"/>
  <c r="P18" i="50"/>
  <c r="T18" i="50" s="1"/>
  <c r="U18" i="50" s="1"/>
  <c r="P23" i="50"/>
  <c r="T23" i="50" s="1"/>
  <c r="U23" i="50" s="1"/>
  <c r="P118" i="50"/>
  <c r="U118" i="50" s="1"/>
  <c r="P110" i="50"/>
  <c r="U110" i="50" s="1"/>
  <c r="P15" i="50"/>
  <c r="T15" i="50" s="1"/>
  <c r="U15" i="50" s="1"/>
  <c r="P25" i="50"/>
  <c r="T25" i="50" s="1"/>
  <c r="U25" i="50" s="1"/>
  <c r="P20" i="50"/>
  <c r="T20" i="50" s="1"/>
  <c r="U20" i="50" s="1"/>
  <c r="P40" i="50"/>
  <c r="U40" i="50" s="1"/>
  <c r="P43" i="50"/>
  <c r="U43" i="50" s="1"/>
  <c r="P120" i="50"/>
  <c r="U120"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19" i="50"/>
  <c r="U119" i="50" s="1"/>
  <c r="P21" i="50"/>
  <c r="T21" i="50" s="1"/>
  <c r="U21" i="50" s="1"/>
  <c r="P16" i="50"/>
  <c r="T16" i="50" s="1"/>
  <c r="U16" i="50" s="1"/>
  <c r="P26" i="50"/>
  <c r="T26" i="50" s="1"/>
  <c r="U26" i="50" s="1"/>
  <c r="H88" i="57"/>
  <c r="I88" i="57" s="1"/>
  <c r="I85" i="57"/>
  <c r="I90" i="57"/>
  <c r="I92" i="57"/>
  <c r="I85" i="20"/>
  <c r="I90" i="20"/>
  <c r="I92" i="20"/>
  <c r="H88" i="20"/>
  <c r="I88" i="20" s="1"/>
  <c r="C104" i="39"/>
  <c r="H101" i="39"/>
  <c r="I104" i="39" s="1"/>
  <c r="C104" i="57"/>
  <c r="H101" i="57"/>
  <c r="I104" i="57" s="1"/>
  <c r="C104" i="36"/>
  <c r="H101" i="36"/>
  <c r="I104" i="36" s="1"/>
  <c r="H101" i="47"/>
  <c r="I104" i="47" s="1"/>
  <c r="C104" i="47"/>
  <c r="I85" i="28"/>
  <c r="I90" i="28"/>
  <c r="I92" i="28"/>
  <c r="H88" i="28"/>
  <c r="I88" i="28" s="1"/>
  <c r="I85" i="17"/>
  <c r="I92" i="17"/>
  <c r="H88" i="17"/>
  <c r="I88" i="17" s="1"/>
  <c r="I90" i="17"/>
  <c r="C104" i="17"/>
  <c r="H101" i="17"/>
  <c r="I104" i="17" s="1"/>
  <c r="H88" i="43"/>
  <c r="I88" i="43" s="1"/>
  <c r="I85" i="43"/>
  <c r="I90" i="43"/>
  <c r="I92" i="43"/>
  <c r="P18" i="37"/>
  <c r="T18" i="37" s="1"/>
  <c r="U18" i="37" s="1"/>
  <c r="P23" i="37"/>
  <c r="T23" i="37" s="1"/>
  <c r="U23" i="37" s="1"/>
  <c r="P118" i="37"/>
  <c r="U118" i="37" s="1"/>
  <c r="P15" i="37"/>
  <c r="T15" i="37" s="1"/>
  <c r="U15" i="37" s="1"/>
  <c r="P25" i="37"/>
  <c r="T25" i="37" s="1"/>
  <c r="U25" i="37" s="1"/>
  <c r="P20" i="37"/>
  <c r="T20" i="37" s="1"/>
  <c r="U20" i="37" s="1"/>
  <c r="P40" i="37"/>
  <c r="U40" i="37" s="1"/>
  <c r="P43" i="37"/>
  <c r="U43" i="37" s="1"/>
  <c r="P120" i="37"/>
  <c r="U120"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19" i="37"/>
  <c r="U119" i="37" s="1"/>
  <c r="P110" i="37"/>
  <c r="U110"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18" i="47"/>
  <c r="U118" i="47" s="1"/>
  <c r="P27" i="47"/>
  <c r="T27" i="47" s="1"/>
  <c r="U27" i="47" s="1"/>
  <c r="P110" i="47"/>
  <c r="U110" i="47" s="1"/>
  <c r="P25" i="47"/>
  <c r="T25" i="47" s="1"/>
  <c r="U25" i="47" s="1"/>
  <c r="P20" i="47"/>
  <c r="T20" i="47" s="1"/>
  <c r="U20" i="47" s="1"/>
  <c r="P40" i="47"/>
  <c r="U40" i="47" s="1"/>
  <c r="P120" i="47"/>
  <c r="U120"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19" i="47"/>
  <c r="U119" i="47" s="1"/>
  <c r="P38" i="47"/>
  <c r="U38" i="47" s="1"/>
  <c r="P14" i="39"/>
  <c r="P29" i="39"/>
  <c r="T29" i="39" s="1"/>
  <c r="U29" i="39" s="1"/>
  <c r="P24" i="39"/>
  <c r="T24" i="39" s="1"/>
  <c r="U24" i="39" s="1"/>
  <c r="P38" i="39"/>
  <c r="U38" i="39" s="1"/>
  <c r="P41" i="39"/>
  <c r="U41" i="39" s="1"/>
  <c r="P19" i="39"/>
  <c r="T19" i="39" s="1"/>
  <c r="U19" i="39" s="1"/>
  <c r="P119" i="39"/>
  <c r="U119"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18" i="39"/>
  <c r="U118" i="39" s="1"/>
  <c r="P110" i="39"/>
  <c r="U110" i="39" s="1"/>
  <c r="P15" i="39"/>
  <c r="T15" i="39" s="1"/>
  <c r="U15" i="39" s="1"/>
  <c r="P25" i="39"/>
  <c r="T25" i="39" s="1"/>
  <c r="U25" i="39" s="1"/>
  <c r="P20" i="39"/>
  <c r="T20" i="39" s="1"/>
  <c r="U20" i="39" s="1"/>
  <c r="P40" i="39"/>
  <c r="U40" i="39" s="1"/>
  <c r="P43" i="39"/>
  <c r="U43" i="39" s="1"/>
  <c r="P120" i="39"/>
  <c r="U120"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18" i="44"/>
  <c r="U118" i="44" s="1"/>
  <c r="P110" i="44"/>
  <c r="U110" i="44" s="1"/>
  <c r="P18" i="44"/>
  <c r="T18" i="44" s="1"/>
  <c r="U18" i="44" s="1"/>
  <c r="P42" i="44"/>
  <c r="U42" i="44" s="1"/>
  <c r="P120" i="44"/>
  <c r="U120" i="44" s="1"/>
  <c r="P16" i="44"/>
  <c r="T16" i="44" s="1"/>
  <c r="U16" i="44" s="1"/>
  <c r="P39" i="44"/>
  <c r="U39" i="44" s="1"/>
  <c r="P28" i="44"/>
  <c r="T28" i="44" s="1"/>
  <c r="U28" i="44" s="1"/>
  <c r="P119" i="44"/>
  <c r="U119" i="44" s="1"/>
  <c r="P25" i="44"/>
  <c r="T25" i="44" s="1"/>
  <c r="U25" i="44" s="1"/>
  <c r="P15" i="44"/>
  <c r="T15" i="44" s="1"/>
  <c r="U15" i="44" s="1"/>
  <c r="P20" i="42"/>
  <c r="T20" i="42" s="1"/>
  <c r="U20" i="42" s="1"/>
  <c r="P40" i="42"/>
  <c r="U40" i="42" s="1"/>
  <c r="P43" i="42"/>
  <c r="U43" i="42" s="1"/>
  <c r="P120" i="42"/>
  <c r="U120" i="42" s="1"/>
  <c r="P27" i="42"/>
  <c r="T27" i="42" s="1"/>
  <c r="U27" i="42" s="1"/>
  <c r="P17" i="42"/>
  <c r="T17" i="42" s="1"/>
  <c r="U17" i="42" s="1"/>
  <c r="P22" i="42"/>
  <c r="T22" i="42" s="1"/>
  <c r="U22" i="42" s="1"/>
  <c r="P14" i="42"/>
  <c r="P29" i="42"/>
  <c r="T29" i="42" s="1"/>
  <c r="U29" i="42" s="1"/>
  <c r="P19" i="42"/>
  <c r="T19" i="42" s="1"/>
  <c r="U19" i="42" s="1"/>
  <c r="P119" i="42"/>
  <c r="U119" i="42" s="1"/>
  <c r="P16" i="42"/>
  <c r="T16" i="42" s="1"/>
  <c r="U16" i="42" s="1"/>
  <c r="P26" i="42"/>
  <c r="T26" i="42" s="1"/>
  <c r="U26" i="42" s="1"/>
  <c r="P21" i="42"/>
  <c r="T21" i="42" s="1"/>
  <c r="U21" i="42" s="1"/>
  <c r="P110" i="42"/>
  <c r="U110" i="42" s="1"/>
  <c r="P15" i="42"/>
  <c r="T15" i="42" s="1"/>
  <c r="U15" i="42" s="1"/>
  <c r="P18" i="42"/>
  <c r="T18" i="42" s="1"/>
  <c r="U18" i="42" s="1"/>
  <c r="P41" i="42"/>
  <c r="U41" i="42" s="1"/>
  <c r="P118" i="42"/>
  <c r="U118"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1" i="75"/>
  <c r="I104" i="75" s="1"/>
  <c r="C104"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0" i="17"/>
  <c r="U120" i="17" s="1"/>
  <c r="P17" i="17"/>
  <c r="T17" i="17" s="1"/>
  <c r="U17" i="17" s="1"/>
  <c r="P22" i="17"/>
  <c r="T22" i="17" s="1"/>
  <c r="U22" i="17" s="1"/>
  <c r="P19" i="17"/>
  <c r="T19" i="17" s="1"/>
  <c r="U19" i="17" s="1"/>
  <c r="P119" i="17"/>
  <c r="U119" i="17" s="1"/>
  <c r="P24" i="17"/>
  <c r="T24" i="17" s="1"/>
  <c r="U24" i="17" s="1"/>
  <c r="P14" i="17"/>
  <c r="P38" i="17"/>
  <c r="U38" i="17" s="1"/>
  <c r="P118" i="17"/>
  <c r="U118" i="17" s="1"/>
  <c r="P29" i="17"/>
  <c r="T29" i="17" s="1"/>
  <c r="U29" i="17" s="1"/>
  <c r="P41" i="17"/>
  <c r="U41" i="17" s="1"/>
  <c r="P26" i="17"/>
  <c r="T26" i="17" s="1"/>
  <c r="U26" i="17" s="1"/>
  <c r="P110" i="17"/>
  <c r="U110" i="17" s="1"/>
  <c r="P16" i="17"/>
  <c r="T16" i="17" s="1"/>
  <c r="U16" i="17" s="1"/>
  <c r="P27" i="17"/>
  <c r="T27" i="17" s="1"/>
  <c r="U27" i="17" s="1"/>
  <c r="C104" i="27"/>
  <c r="H101" i="27"/>
  <c r="I104" i="27" s="1"/>
  <c r="P18" i="45"/>
  <c r="T18" i="45" s="1"/>
  <c r="U18" i="45" s="1"/>
  <c r="P23" i="45"/>
  <c r="T23" i="45" s="1"/>
  <c r="U23" i="45" s="1"/>
  <c r="P118" i="45"/>
  <c r="U118" i="45" s="1"/>
  <c r="P110" i="45"/>
  <c r="U110" i="45" s="1"/>
  <c r="P15" i="45"/>
  <c r="T15" i="45" s="1"/>
  <c r="U15" i="45" s="1"/>
  <c r="P25" i="45"/>
  <c r="T25" i="45" s="1"/>
  <c r="U25" i="45" s="1"/>
  <c r="P20" i="45"/>
  <c r="T20" i="45" s="1"/>
  <c r="U20" i="45" s="1"/>
  <c r="P40" i="45"/>
  <c r="U40" i="45" s="1"/>
  <c r="P43" i="45"/>
  <c r="U43" i="45" s="1"/>
  <c r="P120" i="45"/>
  <c r="U120"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19" i="45"/>
  <c r="U119" i="45" s="1"/>
  <c r="P19" i="45"/>
  <c r="T19" i="45" s="1"/>
  <c r="U19" i="45" s="1"/>
  <c r="P28" i="45"/>
  <c r="T28" i="45" s="1"/>
  <c r="U28" i="45" s="1"/>
  <c r="P42" i="45"/>
  <c r="U42" i="45" s="1"/>
  <c r="P21" i="45"/>
  <c r="T21" i="45" s="1"/>
  <c r="U21" i="45" s="1"/>
  <c r="H101" i="66"/>
  <c r="I104" i="66" s="1"/>
  <c r="C104" i="66"/>
  <c r="P14" i="40"/>
  <c r="P24" i="40"/>
  <c r="T24" i="40" s="1"/>
  <c r="U24" i="40" s="1"/>
  <c r="P18" i="40"/>
  <c r="T18" i="40" s="1"/>
  <c r="U18" i="40" s="1"/>
  <c r="P23" i="40"/>
  <c r="T23" i="40" s="1"/>
  <c r="U23" i="40" s="1"/>
  <c r="P17" i="40"/>
  <c r="T17" i="40" s="1"/>
  <c r="U17" i="40" s="1"/>
  <c r="P40" i="40"/>
  <c r="U40" i="40" s="1"/>
  <c r="P43" i="40"/>
  <c r="U43" i="40" s="1"/>
  <c r="P120" i="40"/>
  <c r="U120" i="40" s="1"/>
  <c r="P20" i="40"/>
  <c r="T20" i="40" s="1"/>
  <c r="U20" i="40" s="1"/>
  <c r="P27" i="40"/>
  <c r="T27" i="40" s="1"/>
  <c r="U27" i="40" s="1"/>
  <c r="P15" i="40"/>
  <c r="T15" i="40" s="1"/>
  <c r="U15" i="40" s="1"/>
  <c r="P29" i="40"/>
  <c r="T29" i="40" s="1"/>
  <c r="U29" i="40" s="1"/>
  <c r="P38" i="40"/>
  <c r="U38" i="40" s="1"/>
  <c r="P41" i="40"/>
  <c r="U41" i="40" s="1"/>
  <c r="P119" i="40"/>
  <c r="U119"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18" i="40"/>
  <c r="U118" i="40" s="1"/>
  <c r="P110" i="40"/>
  <c r="U110" i="40" s="1"/>
  <c r="P25" i="40"/>
  <c r="T25" i="40" s="1"/>
  <c r="U25" i="40" s="1"/>
  <c r="H101" i="26"/>
  <c r="I104" i="26" s="1"/>
  <c r="C104" i="26"/>
  <c r="I85" i="39"/>
  <c r="I90" i="39"/>
  <c r="I92" i="39"/>
  <c r="H88" i="39"/>
  <c r="I88" i="39" s="1"/>
  <c r="I92" i="42"/>
  <c r="H88" i="42"/>
  <c r="I88" i="42" s="1"/>
  <c r="I90" i="42"/>
  <c r="I85" i="42"/>
  <c r="H88" i="31"/>
  <c r="I88" i="31" s="1"/>
  <c r="I85" i="31"/>
  <c r="I90" i="31"/>
  <c r="I92" i="31"/>
  <c r="C104" i="25"/>
  <c r="H101" i="25"/>
  <c r="I104" i="25" s="1"/>
  <c r="I30" i="66"/>
  <c r="I85" i="40"/>
  <c r="I90" i="40"/>
  <c r="I92" i="40"/>
  <c r="H88" i="40"/>
  <c r="I88" i="40" s="1"/>
  <c r="P15" i="21"/>
  <c r="T15" i="21" s="1"/>
  <c r="U15" i="21" s="1"/>
  <c r="P25" i="21"/>
  <c r="T25" i="21" s="1"/>
  <c r="U25" i="21" s="1"/>
  <c r="P20" i="21"/>
  <c r="T20" i="21" s="1"/>
  <c r="U20" i="21" s="1"/>
  <c r="P40" i="21"/>
  <c r="U40" i="21" s="1"/>
  <c r="P43" i="21"/>
  <c r="U43" i="21" s="1"/>
  <c r="P120" i="21"/>
  <c r="U120"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18" i="21"/>
  <c r="U118" i="21" s="1"/>
  <c r="P119" i="21"/>
  <c r="U119" i="21" s="1"/>
  <c r="P110" i="21"/>
  <c r="U110" i="21" s="1"/>
  <c r="P19" i="21"/>
  <c r="T19" i="21" s="1"/>
  <c r="U19" i="21" s="1"/>
  <c r="C104" i="20"/>
  <c r="H101" i="20"/>
  <c r="I104"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19" i="68"/>
  <c r="U119" i="68" s="1"/>
  <c r="P19" i="68"/>
  <c r="T19" i="68" s="1"/>
  <c r="U19" i="68" s="1"/>
  <c r="P118" i="68"/>
  <c r="U118" i="68" s="1"/>
  <c r="P43" i="68"/>
  <c r="U43" i="68" s="1"/>
  <c r="P26" i="68"/>
  <c r="T26" i="68" s="1"/>
  <c r="U26" i="68" s="1"/>
  <c r="P22" i="68"/>
  <c r="T22" i="68" s="1"/>
  <c r="U22" i="68" s="1"/>
  <c r="P110" i="68"/>
  <c r="U110" i="68" s="1"/>
  <c r="P39" i="68"/>
  <c r="U39" i="68" s="1"/>
  <c r="P120" i="68"/>
  <c r="U120" i="68" s="1"/>
  <c r="P28" i="68"/>
  <c r="T28" i="68" s="1"/>
  <c r="U28" i="68" s="1"/>
  <c r="P40" i="68"/>
  <c r="U40" i="68" s="1"/>
  <c r="P14" i="68"/>
  <c r="P42" i="68"/>
  <c r="U42" i="68" s="1"/>
  <c r="I85" i="21"/>
  <c r="I90" i="21"/>
  <c r="I92" i="21"/>
  <c r="H88" i="21"/>
  <c r="I88" i="21" s="1"/>
  <c r="H101" i="18"/>
  <c r="I104" i="18" s="1"/>
  <c r="C104" i="18"/>
  <c r="I92" i="38"/>
  <c r="H88" i="38"/>
  <c r="I88" i="38" s="1"/>
  <c r="I85" i="38"/>
  <c r="I90" i="38"/>
  <c r="T14" i="34"/>
  <c r="U14" i="34" s="1"/>
  <c r="P18" i="43"/>
  <c r="T18" i="43" s="1"/>
  <c r="U18" i="43" s="1"/>
  <c r="P23" i="43"/>
  <c r="T23" i="43" s="1"/>
  <c r="U23" i="43" s="1"/>
  <c r="P118" i="43"/>
  <c r="U118" i="43" s="1"/>
  <c r="P110" i="43"/>
  <c r="U110" i="43" s="1"/>
  <c r="P15" i="43"/>
  <c r="T15" i="43" s="1"/>
  <c r="U15" i="43" s="1"/>
  <c r="P25" i="43"/>
  <c r="T25" i="43" s="1"/>
  <c r="U25" i="43" s="1"/>
  <c r="P20" i="43"/>
  <c r="T20" i="43" s="1"/>
  <c r="U20" i="43" s="1"/>
  <c r="P40" i="43"/>
  <c r="U40" i="43" s="1"/>
  <c r="P43" i="43"/>
  <c r="U43" i="43" s="1"/>
  <c r="P120" i="43"/>
  <c r="U120"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19" i="43"/>
  <c r="U119"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18" i="69"/>
  <c r="U118" i="69" s="1"/>
  <c r="P110" i="69"/>
  <c r="U110" i="69" s="1"/>
  <c r="P15" i="69"/>
  <c r="T15" i="69" s="1"/>
  <c r="U15" i="69" s="1"/>
  <c r="P25" i="69"/>
  <c r="T25" i="69" s="1"/>
  <c r="U25" i="69" s="1"/>
  <c r="P20" i="69"/>
  <c r="T20" i="69" s="1"/>
  <c r="U20" i="69" s="1"/>
  <c r="P40" i="69"/>
  <c r="U40" i="69" s="1"/>
  <c r="P43" i="69"/>
  <c r="U43" i="69" s="1"/>
  <c r="P120" i="69"/>
  <c r="U120"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19" i="69"/>
  <c r="U119" i="69" s="1"/>
  <c r="P27" i="69"/>
  <c r="T27" i="69" s="1"/>
  <c r="U27" i="69" s="1"/>
  <c r="P16" i="69"/>
  <c r="T16" i="69" s="1"/>
  <c r="U16" i="69" s="1"/>
  <c r="I92" i="66"/>
  <c r="H88" i="66"/>
  <c r="I88" i="66" s="1"/>
  <c r="I85" i="66"/>
  <c r="I90" i="66"/>
  <c r="P20" i="55"/>
  <c r="T20" i="55" s="1"/>
  <c r="U20" i="55" s="1"/>
  <c r="P40" i="55"/>
  <c r="U40" i="55" s="1"/>
  <c r="P43" i="55"/>
  <c r="U43" i="55" s="1"/>
  <c r="P120" i="55"/>
  <c r="U120"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19" i="55"/>
  <c r="U119" i="55" s="1"/>
  <c r="P16" i="55"/>
  <c r="T16" i="55" s="1"/>
  <c r="U16" i="55" s="1"/>
  <c r="P26" i="55"/>
  <c r="T26" i="55" s="1"/>
  <c r="U26" i="55" s="1"/>
  <c r="P21" i="55"/>
  <c r="T21" i="55" s="1"/>
  <c r="U21" i="55" s="1"/>
  <c r="P28" i="55"/>
  <c r="T28" i="55" s="1"/>
  <c r="U28" i="55" s="1"/>
  <c r="P39" i="55"/>
  <c r="U39" i="55" s="1"/>
  <c r="P42" i="55"/>
  <c r="U42" i="55" s="1"/>
  <c r="P110" i="55"/>
  <c r="U110" i="55" s="1"/>
  <c r="P23" i="55"/>
  <c r="T23" i="55" s="1"/>
  <c r="U23" i="55" s="1"/>
  <c r="P118" i="55"/>
  <c r="U118" i="55" s="1"/>
  <c r="P18" i="55"/>
  <c r="T18" i="55" s="1"/>
  <c r="U18" i="55" s="1"/>
  <c r="P25" i="55"/>
  <c r="T25" i="55" s="1"/>
  <c r="U25" i="55" s="1"/>
  <c r="P15" i="55"/>
  <c r="T15" i="55" s="1"/>
  <c r="U15" i="55" s="1"/>
  <c r="I85" i="68"/>
  <c r="I90" i="68"/>
  <c r="I92" i="68"/>
  <c r="H88" i="68"/>
  <c r="I88" i="68" s="1"/>
  <c r="I92" i="22"/>
  <c r="I90" i="22"/>
  <c r="I85" i="22"/>
  <c r="H88" i="22"/>
  <c r="I88" i="22" s="1"/>
  <c r="P110" i="67"/>
  <c r="U110" i="67" s="1"/>
  <c r="P15" i="67"/>
  <c r="T15" i="67" s="1"/>
  <c r="U15" i="67" s="1"/>
  <c r="P20" i="67"/>
  <c r="T20" i="67" s="1"/>
  <c r="U20" i="67" s="1"/>
  <c r="P40" i="67"/>
  <c r="U40" i="67" s="1"/>
  <c r="P43" i="67"/>
  <c r="U43" i="67" s="1"/>
  <c r="P120" i="67"/>
  <c r="U120" i="67" s="1"/>
  <c r="P29" i="67"/>
  <c r="T29" i="67" s="1"/>
  <c r="U29" i="67" s="1"/>
  <c r="P17" i="67"/>
  <c r="T17" i="67" s="1"/>
  <c r="U17" i="67" s="1"/>
  <c r="P19" i="67"/>
  <c r="T19" i="67" s="1"/>
  <c r="U19" i="67" s="1"/>
  <c r="P39" i="67"/>
  <c r="U39" i="67" s="1"/>
  <c r="P119" i="67"/>
  <c r="U119" i="67" s="1"/>
  <c r="P24" i="67"/>
  <c r="T24" i="67" s="1"/>
  <c r="U24" i="67" s="1"/>
  <c r="P26" i="67"/>
  <c r="T26" i="67" s="1"/>
  <c r="U26" i="67" s="1"/>
  <c r="P16" i="67"/>
  <c r="T16" i="67" s="1"/>
  <c r="U16" i="67" s="1"/>
  <c r="P18" i="67"/>
  <c r="T18" i="67" s="1"/>
  <c r="U18" i="67" s="1"/>
  <c r="P41" i="67"/>
  <c r="U41" i="67" s="1"/>
  <c r="P118" i="67"/>
  <c r="U118"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19" i="27"/>
  <c r="U119"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18" i="27"/>
  <c r="U118" i="27" s="1"/>
  <c r="P15" i="27"/>
  <c r="T15" i="27" s="1"/>
  <c r="U15" i="27" s="1"/>
  <c r="P25" i="27"/>
  <c r="T25" i="27" s="1"/>
  <c r="U25" i="27" s="1"/>
  <c r="P20" i="27"/>
  <c r="T20" i="27" s="1"/>
  <c r="U20" i="27" s="1"/>
  <c r="P40" i="27"/>
  <c r="U40" i="27" s="1"/>
  <c r="P43" i="27"/>
  <c r="U43" i="27" s="1"/>
  <c r="P120" i="27"/>
  <c r="U120" i="27" s="1"/>
  <c r="P110" i="27"/>
  <c r="U110" i="27" s="1"/>
  <c r="P27" i="27"/>
  <c r="T27" i="27" s="1"/>
  <c r="U27" i="27" s="1"/>
  <c r="C104" i="48"/>
  <c r="P15" i="51"/>
  <c r="T15" i="51" s="1"/>
  <c r="U15" i="51" s="1"/>
  <c r="P25" i="51"/>
  <c r="T25" i="51" s="1"/>
  <c r="U25" i="51" s="1"/>
  <c r="P27" i="51"/>
  <c r="T27" i="51" s="1"/>
  <c r="U27" i="51" s="1"/>
  <c r="P14" i="51"/>
  <c r="P29" i="51"/>
  <c r="T29" i="51" s="1"/>
  <c r="U29" i="51" s="1"/>
  <c r="P24" i="51"/>
  <c r="T24" i="51" s="1"/>
  <c r="U24" i="51" s="1"/>
  <c r="P38" i="51"/>
  <c r="U38" i="51" s="1"/>
  <c r="P41" i="51"/>
  <c r="U41" i="51" s="1"/>
  <c r="P119" i="51"/>
  <c r="U119" i="51" s="1"/>
  <c r="P17" i="51"/>
  <c r="T17" i="51" s="1"/>
  <c r="U17" i="51" s="1"/>
  <c r="P22" i="51"/>
  <c r="T22" i="51" s="1"/>
  <c r="U22" i="51" s="1"/>
  <c r="P42" i="51"/>
  <c r="U42" i="51" s="1"/>
  <c r="P20" i="51"/>
  <c r="T20" i="51" s="1"/>
  <c r="U20" i="51" s="1"/>
  <c r="P118" i="51"/>
  <c r="U118" i="51" s="1"/>
  <c r="P43" i="51"/>
  <c r="U43" i="51" s="1"/>
  <c r="P110" i="51"/>
  <c r="U110" i="51" s="1"/>
  <c r="P28" i="51"/>
  <c r="T28" i="51" s="1"/>
  <c r="U28" i="51" s="1"/>
  <c r="P18" i="51"/>
  <c r="T18" i="51" s="1"/>
  <c r="U18" i="51" s="1"/>
  <c r="P23" i="51"/>
  <c r="T23" i="51" s="1"/>
  <c r="U23" i="51" s="1"/>
  <c r="P120" i="51"/>
  <c r="U120" i="51" s="1"/>
  <c r="P16" i="51"/>
  <c r="T16" i="51" s="1"/>
  <c r="U16" i="51" s="1"/>
  <c r="P26" i="51"/>
  <c r="T26" i="51" s="1"/>
  <c r="U26" i="51" s="1"/>
  <c r="P39" i="51"/>
  <c r="U39" i="51" s="1"/>
  <c r="P21" i="51"/>
  <c r="T21" i="51" s="1"/>
  <c r="U21" i="51" s="1"/>
  <c r="P19" i="51"/>
  <c r="T19" i="51" s="1"/>
  <c r="U19" i="51" s="1"/>
  <c r="P40" i="51"/>
  <c r="U40" i="51" s="1"/>
  <c r="I92" i="23"/>
  <c r="H88" i="23"/>
  <c r="I88" i="23" s="1"/>
  <c r="I85" i="23"/>
  <c r="I90" i="23"/>
  <c r="C104" i="42"/>
  <c r="H101" i="42"/>
  <c r="I104"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18" i="31"/>
  <c r="U118" i="31" s="1"/>
  <c r="P14" i="31"/>
  <c r="P110" i="31"/>
  <c r="U110" i="31" s="1"/>
  <c r="P40" i="31"/>
  <c r="U40" i="31" s="1"/>
  <c r="P43" i="31"/>
  <c r="U43" i="31" s="1"/>
  <c r="P120" i="31"/>
  <c r="U120" i="31" s="1"/>
  <c r="P15" i="31"/>
  <c r="T15" i="31" s="1"/>
  <c r="U15" i="31" s="1"/>
  <c r="P29" i="31"/>
  <c r="T29" i="31" s="1"/>
  <c r="U29" i="31" s="1"/>
  <c r="P38" i="31"/>
  <c r="U38" i="31" s="1"/>
  <c r="P41" i="31"/>
  <c r="U41" i="31" s="1"/>
  <c r="P21" i="31"/>
  <c r="T21" i="31" s="1"/>
  <c r="U21" i="31" s="1"/>
  <c r="P24" i="31"/>
  <c r="T24" i="31" s="1"/>
  <c r="U24" i="31" s="1"/>
  <c r="P119" i="31"/>
  <c r="U119"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18" i="66"/>
  <c r="U118" i="66" s="1"/>
  <c r="P110" i="66"/>
  <c r="U110"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19" i="66"/>
  <c r="U119" i="66" s="1"/>
  <c r="P43" i="66"/>
  <c r="U43" i="66" s="1"/>
  <c r="P120" i="66"/>
  <c r="U120" i="66" s="1"/>
  <c r="P38" i="66"/>
  <c r="U38" i="66" s="1"/>
  <c r="I85" i="55"/>
  <c r="I90" i="55"/>
  <c r="I92" i="55"/>
  <c r="H88" i="55"/>
  <c r="I88" i="55" s="1"/>
  <c r="H101" i="58"/>
  <c r="I104" i="58" s="1"/>
  <c r="C104" i="58"/>
  <c r="C104" i="55"/>
  <c r="H101" i="55"/>
  <c r="I104" i="55" s="1"/>
  <c r="I92" i="58"/>
  <c r="H88" i="58"/>
  <c r="I88" i="58" s="1"/>
  <c r="I90" i="58"/>
  <c r="I85" i="58"/>
  <c r="P18" i="58"/>
  <c r="T18" i="58" s="1"/>
  <c r="U18" i="58" s="1"/>
  <c r="P23" i="58"/>
  <c r="T23" i="58" s="1"/>
  <c r="U23" i="58" s="1"/>
  <c r="P118" i="58"/>
  <c r="U118" i="58" s="1"/>
  <c r="P15" i="58"/>
  <c r="T15" i="58" s="1"/>
  <c r="U15" i="58" s="1"/>
  <c r="P25" i="58"/>
  <c r="T25" i="58" s="1"/>
  <c r="U25" i="58" s="1"/>
  <c r="P20" i="58"/>
  <c r="T20" i="58" s="1"/>
  <c r="U20" i="58" s="1"/>
  <c r="P40" i="58"/>
  <c r="U40" i="58" s="1"/>
  <c r="P43" i="58"/>
  <c r="U43" i="58" s="1"/>
  <c r="P120" i="58"/>
  <c r="U120" i="58" s="1"/>
  <c r="P27" i="58"/>
  <c r="T27" i="58" s="1"/>
  <c r="U27" i="58" s="1"/>
  <c r="P17" i="58"/>
  <c r="T17" i="58" s="1"/>
  <c r="U17" i="58" s="1"/>
  <c r="P22" i="58"/>
  <c r="T22" i="58" s="1"/>
  <c r="U22" i="58" s="1"/>
  <c r="P19" i="58"/>
  <c r="T19" i="58" s="1"/>
  <c r="U19" i="58" s="1"/>
  <c r="P119" i="58"/>
  <c r="U119" i="58" s="1"/>
  <c r="P16" i="58"/>
  <c r="T16" i="58" s="1"/>
  <c r="U16" i="58" s="1"/>
  <c r="P26" i="58"/>
  <c r="T26" i="58" s="1"/>
  <c r="U26" i="58" s="1"/>
  <c r="P29" i="58"/>
  <c r="T29" i="58" s="1"/>
  <c r="U29" i="58" s="1"/>
  <c r="P41" i="58"/>
  <c r="U41" i="58" s="1"/>
  <c r="P110" i="58"/>
  <c r="U110" i="58" s="1"/>
  <c r="P42" i="58"/>
  <c r="U42" i="58" s="1"/>
  <c r="P14" i="58"/>
  <c r="P38" i="58"/>
  <c r="U38" i="58" s="1"/>
  <c r="P21" i="58"/>
  <c r="T21" i="58" s="1"/>
  <c r="U21" i="58" s="1"/>
  <c r="P24" i="58"/>
  <c r="T24" i="58" s="1"/>
  <c r="U24" i="58" s="1"/>
  <c r="P28" i="58"/>
  <c r="T28" i="58" s="1"/>
  <c r="U28" i="58" s="1"/>
  <c r="P39" i="58"/>
  <c r="U39" i="58" s="1"/>
  <c r="I15" i="60"/>
  <c r="I30" i="18"/>
  <c r="H101" i="32"/>
  <c r="I104" i="32" s="1"/>
  <c r="C104" i="32"/>
  <c r="P16" i="38"/>
  <c r="T16" i="38" s="1"/>
  <c r="U16" i="38" s="1"/>
  <c r="P26" i="38"/>
  <c r="T26" i="38" s="1"/>
  <c r="U26" i="38" s="1"/>
  <c r="P28" i="38"/>
  <c r="T28" i="38" s="1"/>
  <c r="U28" i="38" s="1"/>
  <c r="P39" i="38"/>
  <c r="U39" i="38" s="1"/>
  <c r="P42" i="38"/>
  <c r="U42" i="38" s="1"/>
  <c r="P18" i="38"/>
  <c r="T18" i="38" s="1"/>
  <c r="U18" i="38" s="1"/>
  <c r="P23" i="38"/>
  <c r="T23" i="38" s="1"/>
  <c r="U23" i="38" s="1"/>
  <c r="P118" i="38"/>
  <c r="U118" i="38" s="1"/>
  <c r="P110" i="38"/>
  <c r="U110" i="38" s="1"/>
  <c r="P15" i="38"/>
  <c r="T15" i="38" s="1"/>
  <c r="U15" i="38" s="1"/>
  <c r="P25" i="38"/>
  <c r="T25" i="38" s="1"/>
  <c r="U25" i="38" s="1"/>
  <c r="P20" i="38"/>
  <c r="T20" i="38" s="1"/>
  <c r="U20" i="38" s="1"/>
  <c r="P40" i="38"/>
  <c r="U40" i="38" s="1"/>
  <c r="P43" i="38"/>
  <c r="U43" i="38" s="1"/>
  <c r="P120" i="38"/>
  <c r="U120"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19" i="38"/>
  <c r="U119" i="38" s="1"/>
  <c r="H88" i="67"/>
  <c r="I88" i="67" s="1"/>
  <c r="I90" i="67"/>
  <c r="I92" i="67"/>
  <c r="I85" i="67"/>
  <c r="H88" i="77"/>
  <c r="I88" i="77" s="1"/>
  <c r="I85" i="77"/>
  <c r="I90" i="77"/>
  <c r="I92" i="77"/>
  <c r="I14" i="60"/>
  <c r="I92" i="26"/>
  <c r="H88" i="26"/>
  <c r="I88" i="26" s="1"/>
  <c r="I85" i="26"/>
  <c r="I90" i="26"/>
  <c r="C104" i="40"/>
  <c r="P15" i="16"/>
  <c r="T15" i="16" s="1"/>
  <c r="U15" i="16" s="1"/>
  <c r="P17" i="16"/>
  <c r="T17" i="16" s="1"/>
  <c r="U17" i="16" s="1"/>
  <c r="P19" i="16"/>
  <c r="T19" i="16" s="1"/>
  <c r="U19" i="16" s="1"/>
  <c r="P14" i="16"/>
  <c r="P29" i="16"/>
  <c r="T29" i="16" s="1"/>
  <c r="U29" i="16" s="1"/>
  <c r="P24" i="16"/>
  <c r="T24" i="16" s="1"/>
  <c r="U24" i="16" s="1"/>
  <c r="P38" i="16"/>
  <c r="U38" i="16" s="1"/>
  <c r="P41" i="16"/>
  <c r="U41" i="16" s="1"/>
  <c r="P119" i="16"/>
  <c r="U119" i="16" s="1"/>
  <c r="P26" i="16"/>
  <c r="T26" i="16" s="1"/>
  <c r="U26" i="16" s="1"/>
  <c r="P21" i="16"/>
  <c r="T21" i="16" s="1"/>
  <c r="U21" i="16" s="1"/>
  <c r="P28" i="16"/>
  <c r="T28" i="16" s="1"/>
  <c r="U28" i="16" s="1"/>
  <c r="P39" i="16"/>
  <c r="U39" i="16" s="1"/>
  <c r="P42" i="16"/>
  <c r="U42" i="16" s="1"/>
  <c r="P23" i="16"/>
  <c r="T23" i="16" s="1"/>
  <c r="U23" i="16" s="1"/>
  <c r="P118" i="16"/>
  <c r="U118" i="16" s="1"/>
  <c r="P110" i="16"/>
  <c r="U110" i="16" s="1"/>
  <c r="P25" i="16"/>
  <c r="T25" i="16" s="1"/>
  <c r="U25" i="16" s="1"/>
  <c r="P16" i="16"/>
  <c r="T16" i="16" s="1"/>
  <c r="U16" i="16" s="1"/>
  <c r="P20" i="16"/>
  <c r="T20" i="16" s="1"/>
  <c r="U20" i="16" s="1"/>
  <c r="P27" i="16"/>
  <c r="T27" i="16" s="1"/>
  <c r="U27" i="16" s="1"/>
  <c r="P120" i="16"/>
  <c r="U120" i="16" s="1"/>
  <c r="P40" i="16"/>
  <c r="U40" i="16" s="1"/>
  <c r="P18" i="16"/>
  <c r="T18" i="16" s="1"/>
  <c r="U18" i="16" s="1"/>
  <c r="P22" i="16"/>
  <c r="T22" i="16" s="1"/>
  <c r="U22" i="16" s="1"/>
  <c r="P43" i="16"/>
  <c r="U43" i="16" s="1"/>
  <c r="C104" i="28"/>
  <c r="H101" i="28"/>
  <c r="I104"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19" i="30"/>
  <c r="U119"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18" i="30"/>
  <c r="U118" i="30" s="1"/>
  <c r="P110" i="30"/>
  <c r="U110" i="30" s="1"/>
  <c r="P15" i="30"/>
  <c r="T15" i="30" s="1"/>
  <c r="U15" i="30" s="1"/>
  <c r="P25" i="30"/>
  <c r="T25" i="30" s="1"/>
  <c r="U25" i="30" s="1"/>
  <c r="P20" i="30"/>
  <c r="T20" i="30" s="1"/>
  <c r="U20" i="30" s="1"/>
  <c r="P40" i="30"/>
  <c r="U40" i="30" s="1"/>
  <c r="P43" i="30"/>
  <c r="U43" i="30" s="1"/>
  <c r="P27" i="30"/>
  <c r="T27" i="30" s="1"/>
  <c r="U27" i="30" s="1"/>
  <c r="P120" i="30"/>
  <c r="U120" i="30" s="1"/>
  <c r="H88" i="51"/>
  <c r="I88" i="51" s="1"/>
  <c r="I92" i="51"/>
  <c r="I85" i="51"/>
  <c r="I90" i="51"/>
  <c r="I92" i="18"/>
  <c r="H88" i="18"/>
  <c r="I88" i="18" s="1"/>
  <c r="I90" i="18"/>
  <c r="I85" i="18"/>
  <c r="C104" i="70"/>
  <c r="H101" i="70"/>
  <c r="I104" i="70" s="1"/>
  <c r="P17" i="20"/>
  <c r="T17" i="20" s="1"/>
  <c r="U17" i="20" s="1"/>
  <c r="P22" i="20"/>
  <c r="T22" i="20" s="1"/>
  <c r="U22" i="20" s="1"/>
  <c r="P14" i="20"/>
  <c r="P29" i="20"/>
  <c r="T29" i="20" s="1"/>
  <c r="U29" i="20" s="1"/>
  <c r="P24" i="20"/>
  <c r="T24" i="20" s="1"/>
  <c r="U24" i="20" s="1"/>
  <c r="P38" i="20"/>
  <c r="U38" i="20" s="1"/>
  <c r="P41" i="20"/>
  <c r="U41" i="20" s="1"/>
  <c r="P19" i="20"/>
  <c r="T19" i="20" s="1"/>
  <c r="U19" i="20" s="1"/>
  <c r="P119" i="20"/>
  <c r="U119" i="20" s="1"/>
  <c r="P16" i="20"/>
  <c r="T16" i="20" s="1"/>
  <c r="U16" i="20" s="1"/>
  <c r="P26" i="20"/>
  <c r="T26" i="20" s="1"/>
  <c r="U26" i="20" s="1"/>
  <c r="P21" i="20"/>
  <c r="T21" i="20" s="1"/>
  <c r="U21" i="20" s="1"/>
  <c r="P18" i="20"/>
  <c r="T18" i="20" s="1"/>
  <c r="U18" i="20" s="1"/>
  <c r="P23" i="20"/>
  <c r="T23" i="20" s="1"/>
  <c r="U23" i="20" s="1"/>
  <c r="P118" i="20"/>
  <c r="U118" i="20" s="1"/>
  <c r="P110" i="20"/>
  <c r="U110" i="20" s="1"/>
  <c r="P15" i="20"/>
  <c r="T15" i="20" s="1"/>
  <c r="U15" i="20" s="1"/>
  <c r="P25" i="20"/>
  <c r="T25" i="20" s="1"/>
  <c r="U25" i="20" s="1"/>
  <c r="P20" i="20"/>
  <c r="T20" i="20" s="1"/>
  <c r="U20" i="20" s="1"/>
  <c r="P40" i="20"/>
  <c r="U40" i="20" s="1"/>
  <c r="P43" i="20"/>
  <c r="U43" i="20" s="1"/>
  <c r="P120" i="20"/>
  <c r="U120" i="20" s="1"/>
  <c r="P39" i="20"/>
  <c r="U39" i="20" s="1"/>
  <c r="P27" i="20"/>
  <c r="T27" i="20" s="1"/>
  <c r="U27" i="20" s="1"/>
  <c r="P28" i="20"/>
  <c r="T28" i="20" s="1"/>
  <c r="U28" i="20" s="1"/>
  <c r="P42" i="20"/>
  <c r="U42" i="20" s="1"/>
  <c r="P18" i="22"/>
  <c r="T18" i="22" s="1"/>
  <c r="U18" i="22" s="1"/>
  <c r="P23" i="22"/>
  <c r="T23" i="22" s="1"/>
  <c r="U23" i="22" s="1"/>
  <c r="P118" i="22"/>
  <c r="U118" i="22" s="1"/>
  <c r="P15" i="22"/>
  <c r="T15" i="22" s="1"/>
  <c r="U15" i="22" s="1"/>
  <c r="P25" i="22"/>
  <c r="T25" i="22" s="1"/>
  <c r="U25" i="22" s="1"/>
  <c r="P20" i="22"/>
  <c r="T20" i="22" s="1"/>
  <c r="U20" i="22" s="1"/>
  <c r="P40" i="22"/>
  <c r="U40" i="22" s="1"/>
  <c r="P43" i="22"/>
  <c r="U43" i="22" s="1"/>
  <c r="P120" i="22"/>
  <c r="U120"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19" i="22"/>
  <c r="U119" i="22" s="1"/>
  <c r="P41" i="22"/>
  <c r="U41" i="22" s="1"/>
  <c r="P110" i="22"/>
  <c r="U110" i="22" s="1"/>
  <c r="P21" i="22"/>
  <c r="T21" i="22" s="1"/>
  <c r="U21" i="22" s="1"/>
  <c r="P16" i="71"/>
  <c r="T16" i="71" s="1"/>
  <c r="U16" i="71" s="1"/>
  <c r="P26" i="71"/>
  <c r="T26" i="71" s="1"/>
  <c r="U26" i="71" s="1"/>
  <c r="P21" i="71"/>
  <c r="T21" i="71" s="1"/>
  <c r="U21" i="71" s="1"/>
  <c r="P28" i="71"/>
  <c r="T28" i="71" s="1"/>
  <c r="U28" i="71" s="1"/>
  <c r="P39" i="71"/>
  <c r="U39" i="71" s="1"/>
  <c r="P42" i="71"/>
  <c r="U42" i="71" s="1"/>
  <c r="P110" i="71"/>
  <c r="U110" i="71" s="1"/>
  <c r="P17" i="71"/>
  <c r="T17" i="71" s="1"/>
  <c r="U17" i="71" s="1"/>
  <c r="P22" i="71"/>
  <c r="T22" i="71" s="1"/>
  <c r="U22" i="71" s="1"/>
  <c r="P18" i="71"/>
  <c r="T18" i="71" s="1"/>
  <c r="U18" i="71" s="1"/>
  <c r="P38" i="71"/>
  <c r="U38" i="71" s="1"/>
  <c r="P118" i="71"/>
  <c r="U118" i="71" s="1"/>
  <c r="P120" i="71"/>
  <c r="U120"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19" i="71"/>
  <c r="U119" i="71" s="1"/>
  <c r="P23" i="71"/>
  <c r="T23" i="71" s="1"/>
  <c r="U23" i="71" s="1"/>
  <c r="P43" i="71"/>
  <c r="U43" i="71" s="1"/>
  <c r="P15" i="48"/>
  <c r="T15" i="48" s="1"/>
  <c r="U15" i="48" s="1"/>
  <c r="P25" i="48"/>
  <c r="T25" i="48" s="1"/>
  <c r="U25" i="48" s="1"/>
  <c r="P20" i="48"/>
  <c r="T20" i="48" s="1"/>
  <c r="U20" i="48" s="1"/>
  <c r="P40" i="48"/>
  <c r="U40" i="48" s="1"/>
  <c r="P43" i="48"/>
  <c r="U43" i="48" s="1"/>
  <c r="P120" i="48"/>
  <c r="U120"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19" i="48"/>
  <c r="U119" i="48" s="1"/>
  <c r="P110" i="48"/>
  <c r="U110" i="48" s="1"/>
  <c r="P29" i="48"/>
  <c r="T29" i="48" s="1"/>
  <c r="U29" i="48" s="1"/>
  <c r="P118" i="48"/>
  <c r="U118" i="48" s="1"/>
  <c r="I104"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18" i="23"/>
  <c r="U118" i="23" s="1"/>
  <c r="P110" i="23"/>
  <c r="U110" i="23" s="1"/>
  <c r="P15" i="23"/>
  <c r="T15" i="23" s="1"/>
  <c r="U15" i="23" s="1"/>
  <c r="P25" i="23"/>
  <c r="T25" i="23" s="1"/>
  <c r="U25" i="23" s="1"/>
  <c r="P20" i="23"/>
  <c r="T20" i="23" s="1"/>
  <c r="U20" i="23" s="1"/>
  <c r="P40" i="23"/>
  <c r="U40" i="23" s="1"/>
  <c r="P43" i="23"/>
  <c r="U43" i="23" s="1"/>
  <c r="P120" i="23"/>
  <c r="U120"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19" i="23"/>
  <c r="U119" i="23" s="1"/>
  <c r="C104" i="30"/>
  <c r="H101" i="30"/>
  <c r="I104" i="30" s="1"/>
  <c r="P19" i="18"/>
  <c r="T19" i="18" s="1"/>
  <c r="U19" i="18" s="1"/>
  <c r="P16" i="18"/>
  <c r="T16" i="18" s="1"/>
  <c r="U16" i="18" s="1"/>
  <c r="P26" i="18"/>
  <c r="T26" i="18" s="1"/>
  <c r="U26" i="18" s="1"/>
  <c r="P119" i="18"/>
  <c r="U119" i="18" s="1"/>
  <c r="P21" i="18"/>
  <c r="T21" i="18" s="1"/>
  <c r="U21" i="18" s="1"/>
  <c r="P28" i="18"/>
  <c r="T28" i="18" s="1"/>
  <c r="U28" i="18" s="1"/>
  <c r="P39" i="18"/>
  <c r="U39" i="18" s="1"/>
  <c r="P42" i="18"/>
  <c r="U42" i="18" s="1"/>
  <c r="P18" i="18"/>
  <c r="T18" i="18" s="1"/>
  <c r="U18" i="18" s="1"/>
  <c r="P23" i="18"/>
  <c r="T23" i="18" s="1"/>
  <c r="U23" i="18" s="1"/>
  <c r="P118" i="18"/>
  <c r="U118" i="18" s="1"/>
  <c r="P20" i="18"/>
  <c r="T20" i="18" s="1"/>
  <c r="U20" i="18" s="1"/>
  <c r="P40" i="18"/>
  <c r="U40" i="18" s="1"/>
  <c r="P43" i="18"/>
  <c r="U43" i="18" s="1"/>
  <c r="P17" i="18"/>
  <c r="T17" i="18" s="1"/>
  <c r="U17" i="18" s="1"/>
  <c r="P22" i="18"/>
  <c r="T22" i="18" s="1"/>
  <c r="U22" i="18" s="1"/>
  <c r="P14" i="18"/>
  <c r="P29" i="18"/>
  <c r="T29" i="18" s="1"/>
  <c r="U29" i="18" s="1"/>
  <c r="P15" i="18"/>
  <c r="T15" i="18" s="1"/>
  <c r="U15" i="18" s="1"/>
  <c r="P110" i="18"/>
  <c r="U110" i="18" s="1"/>
  <c r="P24" i="18"/>
  <c r="T24" i="18" s="1"/>
  <c r="U24" i="18" s="1"/>
  <c r="P25" i="18"/>
  <c r="T25" i="18" s="1"/>
  <c r="U25" i="18" s="1"/>
  <c r="P41" i="18"/>
  <c r="U41" i="18" s="1"/>
  <c r="P120" i="18"/>
  <c r="U120"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18" i="25"/>
  <c r="U118" i="25" s="1"/>
  <c r="P110" i="25"/>
  <c r="U110" i="25" s="1"/>
  <c r="P22" i="25"/>
  <c r="T22" i="25" s="1"/>
  <c r="U22" i="25" s="1"/>
  <c r="P24" i="25"/>
  <c r="T24" i="25" s="1"/>
  <c r="U24" i="25" s="1"/>
  <c r="P20" i="25"/>
  <c r="T20" i="25" s="1"/>
  <c r="U20" i="25" s="1"/>
  <c r="P40" i="25"/>
  <c r="U40" i="25" s="1"/>
  <c r="P43" i="25"/>
  <c r="U43" i="25" s="1"/>
  <c r="P120" i="25"/>
  <c r="U120" i="25" s="1"/>
  <c r="P14" i="25"/>
  <c r="P27" i="25"/>
  <c r="T27" i="25" s="1"/>
  <c r="U27" i="25" s="1"/>
  <c r="P25" i="25"/>
  <c r="T25" i="25" s="1"/>
  <c r="U25" i="25" s="1"/>
  <c r="P29" i="25"/>
  <c r="T29" i="25" s="1"/>
  <c r="U29" i="25" s="1"/>
  <c r="P38" i="25"/>
  <c r="U38" i="25" s="1"/>
  <c r="P41" i="25"/>
  <c r="U41" i="25" s="1"/>
  <c r="P21" i="25"/>
  <c r="T21" i="25" s="1"/>
  <c r="U21" i="25" s="1"/>
  <c r="P119" i="25"/>
  <c r="U119"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19" i="33"/>
  <c r="U119"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18" i="33"/>
  <c r="U118" i="33" s="1"/>
  <c r="P20" i="33"/>
  <c r="T20" i="33" s="1"/>
  <c r="U20" i="33" s="1"/>
  <c r="P40" i="33"/>
  <c r="U40" i="33" s="1"/>
  <c r="P43" i="33"/>
  <c r="U43" i="33" s="1"/>
  <c r="P120" i="33"/>
  <c r="U120" i="33" s="1"/>
  <c r="P15" i="33"/>
  <c r="T15" i="33" s="1"/>
  <c r="U15" i="33" s="1"/>
  <c r="P27" i="33"/>
  <c r="T27" i="33" s="1"/>
  <c r="U27" i="33" s="1"/>
  <c r="P25" i="33"/>
  <c r="T25" i="33" s="1"/>
  <c r="U25" i="33" s="1"/>
  <c r="P110" i="33"/>
  <c r="U110" i="33" s="1"/>
  <c r="P28" i="57"/>
  <c r="T28" i="57" s="1"/>
  <c r="U28" i="57" s="1"/>
  <c r="P39" i="57"/>
  <c r="U39" i="57" s="1"/>
  <c r="P42" i="57"/>
  <c r="U42" i="57" s="1"/>
  <c r="P110" i="57"/>
  <c r="U110"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19" i="57"/>
  <c r="U119" i="57" s="1"/>
  <c r="P120" i="57"/>
  <c r="U120" i="57" s="1"/>
  <c r="P22" i="57"/>
  <c r="T22" i="57" s="1"/>
  <c r="U22" i="57" s="1"/>
  <c r="P16" i="57"/>
  <c r="T16" i="57" s="1"/>
  <c r="U16" i="57" s="1"/>
  <c r="P26" i="57"/>
  <c r="T26" i="57" s="1"/>
  <c r="U26" i="57" s="1"/>
  <c r="P118" i="57"/>
  <c r="U118"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18" i="77"/>
  <c r="U118" i="77" s="1"/>
  <c r="P110" i="77"/>
  <c r="U110" i="77" s="1"/>
  <c r="P15" i="77"/>
  <c r="T15" i="77" s="1"/>
  <c r="U15" i="77" s="1"/>
  <c r="P25" i="77"/>
  <c r="T25" i="77" s="1"/>
  <c r="U25" i="77" s="1"/>
  <c r="P20" i="77"/>
  <c r="T20" i="77" s="1"/>
  <c r="U20" i="77" s="1"/>
  <c r="P40" i="77"/>
  <c r="U40" i="77" s="1"/>
  <c r="P43" i="77"/>
  <c r="U43" i="77" s="1"/>
  <c r="P120" i="77"/>
  <c r="U120"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19" i="77"/>
  <c r="U119" i="77" s="1"/>
  <c r="P16" i="77"/>
  <c r="T16" i="77" s="1"/>
  <c r="U16" i="77" s="1"/>
  <c r="P26" i="77"/>
  <c r="T26" i="77" s="1"/>
  <c r="U26" i="77" s="1"/>
  <c r="P21" i="77"/>
  <c r="T21" i="77" s="1"/>
  <c r="U21" i="77" s="1"/>
  <c r="P19" i="26"/>
  <c r="T19" i="26" s="1"/>
  <c r="U19" i="26" s="1"/>
  <c r="P119" i="26"/>
  <c r="U119"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18" i="26"/>
  <c r="U118" i="26" s="1"/>
  <c r="P110" i="26"/>
  <c r="U110" i="26" s="1"/>
  <c r="P15" i="26"/>
  <c r="T15" i="26" s="1"/>
  <c r="U15" i="26" s="1"/>
  <c r="P25" i="26"/>
  <c r="T25" i="26" s="1"/>
  <c r="U25" i="26" s="1"/>
  <c r="P20" i="26"/>
  <c r="T20" i="26" s="1"/>
  <c r="U20" i="26" s="1"/>
  <c r="P40" i="26"/>
  <c r="U40" i="26" s="1"/>
  <c r="P43" i="26"/>
  <c r="U43" i="26" s="1"/>
  <c r="P120" i="26"/>
  <c r="U120"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19" i="78"/>
  <c r="U119"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18" i="78"/>
  <c r="U118" i="78" s="1"/>
  <c r="P110" i="78"/>
  <c r="U110" i="78" s="1"/>
  <c r="P15" i="78"/>
  <c r="T15" i="78" s="1"/>
  <c r="U15" i="78" s="1"/>
  <c r="P25" i="78"/>
  <c r="T25" i="78" s="1"/>
  <c r="U25" i="78" s="1"/>
  <c r="P20" i="78"/>
  <c r="T20" i="78" s="1"/>
  <c r="U20" i="78" s="1"/>
  <c r="P40" i="78"/>
  <c r="U40" i="78" s="1"/>
  <c r="P43" i="78"/>
  <c r="U43" i="78" s="1"/>
  <c r="P120" i="78"/>
  <c r="U120"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4" i="31"/>
  <c r="H101" i="31"/>
  <c r="I104" i="31" s="1"/>
  <c r="H101" i="23"/>
  <c r="I104" i="23" s="1"/>
  <c r="C104"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18" i="36"/>
  <c r="U118" i="36" s="1"/>
  <c r="P39" i="36"/>
  <c r="U39" i="36" s="1"/>
  <c r="P43" i="36"/>
  <c r="U43" i="36" s="1"/>
  <c r="P120" i="36"/>
  <c r="U120" i="36" s="1"/>
  <c r="P15" i="36"/>
  <c r="T15" i="36" s="1"/>
  <c r="U15" i="36" s="1"/>
  <c r="P27" i="36"/>
  <c r="T27" i="36" s="1"/>
  <c r="U27" i="36" s="1"/>
  <c r="P40" i="36"/>
  <c r="U40" i="36" s="1"/>
  <c r="P20" i="36"/>
  <c r="T20" i="36" s="1"/>
  <c r="U20" i="36" s="1"/>
  <c r="P25" i="36"/>
  <c r="T25" i="36" s="1"/>
  <c r="U25" i="36" s="1"/>
  <c r="P110" i="36"/>
  <c r="U110" i="36" s="1"/>
  <c r="P16" i="36"/>
  <c r="T16" i="36" s="1"/>
  <c r="U16" i="36" s="1"/>
  <c r="P28" i="36"/>
  <c r="T28" i="36" s="1"/>
  <c r="U28" i="36" s="1"/>
  <c r="P119" i="36"/>
  <c r="U119" i="36" s="1"/>
  <c r="P19" i="36"/>
  <c r="T19" i="36" s="1"/>
  <c r="U19" i="36" s="1"/>
  <c r="P21" i="36"/>
  <c r="T21" i="36" s="1"/>
  <c r="U21" i="36" s="1"/>
  <c r="P26" i="36"/>
  <c r="T26" i="36" s="1"/>
  <c r="U26" i="36" s="1"/>
  <c r="P42" i="36"/>
  <c r="U42" i="36" s="1"/>
  <c r="I92" i="32"/>
  <c r="H88" i="32"/>
  <c r="I88" i="32" s="1"/>
  <c r="I90" i="32"/>
  <c r="I85" i="32"/>
  <c r="H102" i="69"/>
  <c r="I104" i="69" s="1"/>
  <c r="C104" i="69"/>
  <c r="H101" i="67"/>
  <c r="I104" i="67" s="1"/>
  <c r="C104" i="67"/>
  <c r="H101" i="38"/>
  <c r="I104" i="38" s="1"/>
  <c r="C104" i="38"/>
  <c r="C104" i="77"/>
  <c r="H101" i="77"/>
  <c r="I104" i="77" s="1"/>
  <c r="C104" i="24"/>
  <c r="H101" i="24"/>
  <c r="I104" i="24" s="1"/>
  <c r="C104" i="16"/>
  <c r="H101"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0" i="56"/>
  <c r="U120" i="56" s="1"/>
  <c r="P18" i="56"/>
  <c r="T18" i="56" s="1"/>
  <c r="U18" i="56" s="1"/>
  <c r="P40" i="56"/>
  <c r="U40" i="56" s="1"/>
  <c r="P118" i="56"/>
  <c r="U118" i="56" s="1"/>
  <c r="P29" i="56"/>
  <c r="T29" i="56" s="1"/>
  <c r="U29" i="56" s="1"/>
  <c r="P19" i="56"/>
  <c r="T19" i="56" s="1"/>
  <c r="U19" i="56" s="1"/>
  <c r="P110" i="56"/>
  <c r="U110" i="56" s="1"/>
  <c r="P23" i="56"/>
  <c r="T23" i="56" s="1"/>
  <c r="U23" i="56" s="1"/>
  <c r="P119" i="56"/>
  <c r="U119" i="56" s="1"/>
  <c r="P14" i="56"/>
  <c r="P43" i="56"/>
  <c r="U43" i="56" s="1"/>
  <c r="P20" i="56"/>
  <c r="T20" i="56" s="1"/>
  <c r="U20" i="56" s="1"/>
  <c r="C104" i="45"/>
  <c r="H101" i="45"/>
  <c r="I104" i="45" s="1"/>
  <c r="I30" i="23"/>
  <c r="H88" i="70"/>
  <c r="I88" i="70" s="1"/>
  <c r="I92" i="70"/>
  <c r="I90" i="70"/>
  <c r="I85" i="70"/>
  <c r="C104" i="68"/>
  <c r="H101" i="68"/>
  <c r="I104"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18" i="32"/>
  <c r="U118" i="32" s="1"/>
  <c r="P110" i="32"/>
  <c r="U110"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19" i="32"/>
  <c r="U119" i="32" s="1"/>
  <c r="P27" i="32"/>
  <c r="T27" i="32" s="1"/>
  <c r="U27" i="32" s="1"/>
  <c r="P38" i="32"/>
  <c r="U38" i="32" s="1"/>
  <c r="P24" i="32"/>
  <c r="T24" i="32" s="1"/>
  <c r="U24" i="32" s="1"/>
  <c r="P120" i="32"/>
  <c r="U120" i="32" s="1"/>
  <c r="P20" i="24"/>
  <c r="T20" i="24" s="1"/>
  <c r="U20" i="24" s="1"/>
  <c r="P40" i="24"/>
  <c r="U40" i="24" s="1"/>
  <c r="P43" i="24"/>
  <c r="U43" i="24" s="1"/>
  <c r="P120" i="24"/>
  <c r="U120"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18" i="24"/>
  <c r="U118" i="24" s="1"/>
  <c r="P19" i="24"/>
  <c r="T19" i="24" s="1"/>
  <c r="U19" i="24" s="1"/>
  <c r="P28" i="24"/>
  <c r="T28" i="24" s="1"/>
  <c r="U28" i="24" s="1"/>
  <c r="P25" i="24"/>
  <c r="T25" i="24" s="1"/>
  <c r="U25" i="24" s="1"/>
  <c r="P39" i="24"/>
  <c r="U39" i="24" s="1"/>
  <c r="P15" i="24"/>
  <c r="T15" i="24" s="1"/>
  <c r="U15" i="24" s="1"/>
  <c r="P110" i="24"/>
  <c r="U110" i="24" s="1"/>
  <c r="P21" i="24"/>
  <c r="T21" i="24" s="1"/>
  <c r="U21" i="24" s="1"/>
  <c r="P27" i="24"/>
  <c r="T27" i="24" s="1"/>
  <c r="U27" i="24" s="1"/>
  <c r="P119" i="24"/>
  <c r="U119" i="24" s="1"/>
  <c r="P42" i="24"/>
  <c r="U42" i="24" s="1"/>
  <c r="I85" i="75"/>
  <c r="I90" i="75"/>
  <c r="I92" i="75"/>
  <c r="H88" i="75"/>
  <c r="I88" i="75" s="1"/>
  <c r="H101" i="78"/>
  <c r="I104" i="78" s="1"/>
  <c r="C104" i="78"/>
  <c r="H88" i="50"/>
  <c r="I88" i="50" s="1"/>
  <c r="I85" i="50"/>
  <c r="I90" i="50"/>
  <c r="I92" i="50"/>
  <c r="P14" i="7"/>
  <c r="P16" i="7"/>
  <c r="T16" i="7" s="1"/>
  <c r="U16" i="7" s="1"/>
  <c r="P118" i="7"/>
  <c r="U118" i="7" s="1"/>
  <c r="P18" i="7"/>
  <c r="T18" i="7" s="1"/>
  <c r="U18" i="7" s="1"/>
  <c r="P20" i="7"/>
  <c r="T20" i="7" s="1"/>
  <c r="U20" i="7" s="1"/>
  <c r="P22" i="7"/>
  <c r="T22" i="7" s="1"/>
  <c r="U22" i="7" s="1"/>
  <c r="P24" i="7"/>
  <c r="T24" i="7" s="1"/>
  <c r="U24" i="7" s="1"/>
  <c r="P26" i="7"/>
  <c r="T26" i="7" s="1"/>
  <c r="U26" i="7" s="1"/>
  <c r="P28" i="7"/>
  <c r="T28" i="7" s="1"/>
  <c r="U28" i="7" s="1"/>
  <c r="P39" i="7"/>
  <c r="U39" i="7" s="1"/>
  <c r="P42" i="7"/>
  <c r="U42" i="7" s="1"/>
  <c r="P110" i="7"/>
  <c r="U110" i="7" s="1"/>
  <c r="P120" i="7"/>
  <c r="U120" i="7" s="1"/>
  <c r="P15" i="7"/>
  <c r="T15" i="7" s="1"/>
  <c r="U15" i="7" s="1"/>
  <c r="P40" i="7"/>
  <c r="U40" i="7" s="1"/>
  <c r="P43" i="7"/>
  <c r="U43" i="7" s="1"/>
  <c r="P17" i="7"/>
  <c r="T17" i="7" s="1"/>
  <c r="U17" i="7" s="1"/>
  <c r="P19" i="7"/>
  <c r="T19" i="7" s="1"/>
  <c r="U19" i="7" s="1"/>
  <c r="P23" i="7"/>
  <c r="T23" i="7" s="1"/>
  <c r="U23" i="7" s="1"/>
  <c r="P27" i="7"/>
  <c r="T27" i="7" s="1"/>
  <c r="U27" i="7" s="1"/>
  <c r="P38" i="7"/>
  <c r="U38" i="7" s="1"/>
  <c r="P119" i="7"/>
  <c r="U119" i="7" s="1"/>
  <c r="P41" i="7"/>
  <c r="U41" i="7" s="1"/>
  <c r="P21" i="7"/>
  <c r="T21" i="7" s="1"/>
  <c r="U21" i="7" s="1"/>
  <c r="P25" i="7"/>
  <c r="T25" i="7" s="1"/>
  <c r="U25" i="7" s="1"/>
  <c r="P29" i="7"/>
  <c r="T29" i="7" s="1"/>
  <c r="U29" i="7" s="1"/>
  <c r="C74" i="60" l="1"/>
  <c r="H75" i="60" s="1"/>
  <c r="F52" i="38"/>
  <c r="I52" i="38" s="1"/>
  <c r="F52" i="22"/>
  <c r="I52" i="22" s="1"/>
  <c r="F51" i="69"/>
  <c r="I51" i="69" s="1"/>
  <c r="F51" i="37"/>
  <c r="I51" i="37" s="1"/>
  <c r="F52" i="76"/>
  <c r="I52" i="76" s="1"/>
  <c r="F51" i="36"/>
  <c r="I51" i="36" s="1"/>
  <c r="F51" i="68"/>
  <c r="I51" i="68" s="1"/>
  <c r="F52" i="48"/>
  <c r="I52" i="48" s="1"/>
  <c r="F52" i="58"/>
  <c r="I52" i="58" s="1"/>
  <c r="F51" i="40"/>
  <c r="I51" i="40" s="1"/>
  <c r="F52" i="25"/>
  <c r="I52" i="25" s="1"/>
  <c r="F51" i="56"/>
  <c r="I51" i="56" s="1"/>
  <c r="I125" i="56"/>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F52" i="55"/>
  <c r="I52" i="55" s="1"/>
  <c r="U121" i="34"/>
  <c r="F51" i="28"/>
  <c r="I51" i="28" s="1"/>
  <c r="U121" i="52"/>
  <c r="U44" i="34"/>
  <c r="O102" i="52"/>
  <c r="T102" i="52" s="1"/>
  <c r="F52" i="37"/>
  <c r="I52" i="37" s="1"/>
  <c r="H102" i="60"/>
  <c r="F51" i="77"/>
  <c r="I51" i="77" s="1"/>
  <c r="I53" i="77" s="1"/>
  <c r="F52" i="69"/>
  <c r="I52" i="69" s="1"/>
  <c r="F51" i="31"/>
  <c r="I51" i="31" s="1"/>
  <c r="F52" i="34"/>
  <c r="I52" i="34" s="1"/>
  <c r="F51" i="58"/>
  <c r="I51" i="58" s="1"/>
  <c r="F51" i="47"/>
  <c r="I51" i="47" s="1"/>
  <c r="O102" i="34"/>
  <c r="T102" i="34" s="1"/>
  <c r="C105" i="60"/>
  <c r="F51" i="78"/>
  <c r="I51" i="78" s="1"/>
  <c r="I53" i="78" s="1"/>
  <c r="F52" i="24"/>
  <c r="I52" i="24" s="1"/>
  <c r="H103" i="60"/>
  <c r="F52" i="51"/>
  <c r="I52" i="51" s="1"/>
  <c r="F52" i="57"/>
  <c r="I52" i="57" s="1"/>
  <c r="I91" i="60"/>
  <c r="I86" i="60"/>
  <c r="I93" i="60"/>
  <c r="I89" i="60"/>
  <c r="O103" i="34"/>
  <c r="T103" i="34" s="1"/>
  <c r="P30" i="34"/>
  <c r="P78" i="34" s="1"/>
  <c r="T79" i="34" s="1"/>
  <c r="T85" i="34" s="1"/>
  <c r="U85" i="34" s="1"/>
  <c r="P30" i="52"/>
  <c r="P69" i="52" s="1"/>
  <c r="T70" i="52" s="1"/>
  <c r="T88" i="52" s="1"/>
  <c r="U88" i="52" s="1"/>
  <c r="F52" i="36"/>
  <c r="I52" i="36" s="1"/>
  <c r="I53" i="36" s="1"/>
  <c r="F51" i="44"/>
  <c r="I51" i="44" s="1"/>
  <c r="R44" i="34"/>
  <c r="F52" i="68"/>
  <c r="I52" i="68" s="1"/>
  <c r="F52" i="52"/>
  <c r="I52" i="52" s="1"/>
  <c r="I53" i="52" s="1"/>
  <c r="F52" i="56"/>
  <c r="I52" i="56" s="1"/>
  <c r="F52" i="27"/>
  <c r="I52" i="27" s="1"/>
  <c r="U44" i="52"/>
  <c r="I46" i="17"/>
  <c r="O103" i="52"/>
  <c r="T103" i="52" s="1"/>
  <c r="I46" i="66"/>
  <c r="F52" i="71"/>
  <c r="I52" i="71" s="1"/>
  <c r="I53" i="71" s="1"/>
  <c r="T14" i="52"/>
  <c r="U14" i="52" s="1"/>
  <c r="U30" i="52" s="1"/>
  <c r="I46" i="67"/>
  <c r="F52" i="42"/>
  <c r="I52" i="42" s="1"/>
  <c r="F51" i="21"/>
  <c r="I51" i="21" s="1"/>
  <c r="I46" i="18"/>
  <c r="R44" i="52"/>
  <c r="I46" i="7"/>
  <c r="I46" i="32"/>
  <c r="I46" i="26"/>
  <c r="I46" i="20"/>
  <c r="F51" i="35"/>
  <c r="I51" i="35" s="1"/>
  <c r="I46" i="23"/>
  <c r="I46" i="70"/>
  <c r="F51" i="48"/>
  <c r="I51" i="48" s="1"/>
  <c r="F51" i="22"/>
  <c r="I51" i="22" s="1"/>
  <c r="I53" i="22" s="1"/>
  <c r="I46" i="16"/>
  <c r="I46" i="30"/>
  <c r="H94" i="33"/>
  <c r="I94" i="33" s="1"/>
  <c r="H96" i="33"/>
  <c r="I96" i="33" s="1"/>
  <c r="I53" i="43"/>
  <c r="H94" i="43"/>
  <c r="I94" i="43" s="1"/>
  <c r="H96" i="43"/>
  <c r="I96" i="43" s="1"/>
  <c r="H94" i="32"/>
  <c r="I94" i="32" s="1"/>
  <c r="H96" i="32"/>
  <c r="I96" i="32" s="1"/>
  <c r="I53" i="38"/>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3" i="76"/>
  <c r="I53" i="45"/>
  <c r="F51" i="75"/>
  <c r="I51" i="75" s="1"/>
  <c r="F52" i="75"/>
  <c r="I52" i="75" s="1"/>
  <c r="U121" i="50"/>
  <c r="U121" i="35"/>
  <c r="U121" i="42"/>
  <c r="U121" i="68"/>
  <c r="U121" i="55"/>
  <c r="U121" i="20"/>
  <c r="U121" i="44"/>
  <c r="U121" i="75"/>
  <c r="U121" i="25"/>
  <c r="U121" i="30"/>
  <c r="U121" i="16"/>
  <c r="I30" i="60"/>
  <c r="I32" i="60" s="1"/>
  <c r="I47" i="60" s="1"/>
  <c r="U121" i="24"/>
  <c r="T14" i="24"/>
  <c r="U14" i="24" s="1"/>
  <c r="P30" i="24"/>
  <c r="O102" i="26"/>
  <c r="T102" i="26" s="1"/>
  <c r="O103" i="57"/>
  <c r="T103" i="57" s="1"/>
  <c r="O103" i="33"/>
  <c r="T103" i="33" s="1"/>
  <c r="O103" i="25"/>
  <c r="T103" i="25" s="1"/>
  <c r="P30" i="23"/>
  <c r="T14" i="23"/>
  <c r="U14" i="23" s="1"/>
  <c r="U121" i="23"/>
  <c r="U121" i="48"/>
  <c r="U44" i="20"/>
  <c r="R44" i="20"/>
  <c r="P30" i="38"/>
  <c r="T14" i="38"/>
  <c r="U14" i="38" s="1"/>
  <c r="U121" i="38"/>
  <c r="P30" i="66"/>
  <c r="T14" i="66"/>
  <c r="U14" i="66" s="1"/>
  <c r="O102" i="51"/>
  <c r="T102" i="51" s="1"/>
  <c r="P30" i="69"/>
  <c r="T14" i="69"/>
  <c r="U14" i="69" s="1"/>
  <c r="O103" i="21"/>
  <c r="T103" i="21" s="1"/>
  <c r="P30" i="37"/>
  <c r="T14" i="37"/>
  <c r="U14" i="37" s="1"/>
  <c r="O102" i="28"/>
  <c r="T102" i="28" s="1"/>
  <c r="O103" i="56"/>
  <c r="T103" i="56" s="1"/>
  <c r="O103" i="36"/>
  <c r="T103" i="36" s="1"/>
  <c r="O103" i="78"/>
  <c r="T103" i="78" s="1"/>
  <c r="U44" i="26"/>
  <c r="R44" i="26"/>
  <c r="U44" i="33"/>
  <c r="R44" i="33"/>
  <c r="O103" i="18"/>
  <c r="T103" i="18" s="1"/>
  <c r="R44" i="22"/>
  <c r="U44" i="22"/>
  <c r="T14" i="16"/>
  <c r="U14" i="16" s="1"/>
  <c r="P30" i="16"/>
  <c r="O102" i="31"/>
  <c r="T102" i="31" s="1"/>
  <c r="O103" i="27"/>
  <c r="T103" i="27" s="1"/>
  <c r="T14" i="55"/>
  <c r="U14" i="55" s="1"/>
  <c r="P30" i="55"/>
  <c r="O103" i="69"/>
  <c r="T103" i="69" s="1"/>
  <c r="U44" i="43"/>
  <c r="R44" i="43"/>
  <c r="O102" i="40"/>
  <c r="T102" i="40" s="1"/>
  <c r="O102" i="17"/>
  <c r="T102" i="17" s="1"/>
  <c r="T14" i="44"/>
  <c r="U14" i="44" s="1"/>
  <c r="P30" i="44"/>
  <c r="O103" i="37"/>
  <c r="T103" i="37" s="1"/>
  <c r="P30" i="35"/>
  <c r="T14" i="35"/>
  <c r="U14" i="35" s="1"/>
  <c r="O103" i="24"/>
  <c r="T103" i="24" s="1"/>
  <c r="O102" i="32"/>
  <c r="T102" i="32" s="1"/>
  <c r="P30" i="56"/>
  <c r="T14" i="56"/>
  <c r="U14" i="56" s="1"/>
  <c r="U44" i="77"/>
  <c r="R44" i="77"/>
  <c r="O102" i="25"/>
  <c r="T102" i="25" s="1"/>
  <c r="O103" i="23"/>
  <c r="T103" i="23" s="1"/>
  <c r="U121" i="71"/>
  <c r="O102" i="71"/>
  <c r="T102" i="71" s="1"/>
  <c r="O103" i="20"/>
  <c r="T103" i="20" s="1"/>
  <c r="T14" i="30"/>
  <c r="U14" i="30" s="1"/>
  <c r="P30" i="30"/>
  <c r="O103" i="38"/>
  <c r="T103" i="38" s="1"/>
  <c r="U44" i="27"/>
  <c r="R44" i="27"/>
  <c r="P30" i="21"/>
  <c r="T14" i="21"/>
  <c r="U14" i="21" s="1"/>
  <c r="R44" i="45"/>
  <c r="U44" i="45"/>
  <c r="O103" i="17"/>
  <c r="T103" i="17" s="1"/>
  <c r="U121" i="39"/>
  <c r="U44" i="50"/>
  <c r="R44" i="50"/>
  <c r="U44" i="75"/>
  <c r="R44" i="75"/>
  <c r="U121" i="26"/>
  <c r="O102" i="48"/>
  <c r="T102" i="48" s="1"/>
  <c r="R44" i="71"/>
  <c r="U44" i="71"/>
  <c r="O103" i="51"/>
  <c r="T103" i="51" s="1"/>
  <c r="P30" i="67"/>
  <c r="T14" i="67"/>
  <c r="U14" i="67" s="1"/>
  <c r="O102" i="55"/>
  <c r="T102" i="55" s="1"/>
  <c r="T30" i="34"/>
  <c r="U30" i="34"/>
  <c r="O101" i="34"/>
  <c r="T101" i="34" s="1"/>
  <c r="U44" i="68"/>
  <c r="R44" i="68"/>
  <c r="T14" i="47"/>
  <c r="U14" i="47" s="1"/>
  <c r="P30" i="47"/>
  <c r="O102" i="35"/>
  <c r="T102" i="35" s="1"/>
  <c r="O103" i="35"/>
  <c r="T103" i="35" s="1"/>
  <c r="T14" i="76"/>
  <c r="U14" i="76" s="1"/>
  <c r="P30" i="76"/>
  <c r="R44" i="36"/>
  <c r="U44" i="36"/>
  <c r="U44" i="57"/>
  <c r="R44" i="57"/>
  <c r="P30" i="18"/>
  <c r="T14" i="18"/>
  <c r="U14" i="18" s="1"/>
  <c r="O103" i="71"/>
  <c r="T103" i="71" s="1"/>
  <c r="T14" i="20"/>
  <c r="U14" i="20" s="1"/>
  <c r="P30" i="20"/>
  <c r="O102" i="30"/>
  <c r="T102" i="30" s="1"/>
  <c r="O102" i="16"/>
  <c r="T102" i="16" s="1"/>
  <c r="O102" i="66"/>
  <c r="T102" i="66" s="1"/>
  <c r="U121" i="67"/>
  <c r="O103" i="55"/>
  <c r="T103" i="55" s="1"/>
  <c r="O103" i="68"/>
  <c r="T103" i="68" s="1"/>
  <c r="O103" i="42"/>
  <c r="T103" i="42" s="1"/>
  <c r="T14" i="42"/>
  <c r="U14" i="42" s="1"/>
  <c r="P30" i="42"/>
  <c r="O103" i="39"/>
  <c r="T103" i="39" s="1"/>
  <c r="O102" i="47"/>
  <c r="T102" i="47" s="1"/>
  <c r="U121" i="28"/>
  <c r="O102" i="75"/>
  <c r="T102" i="75" s="1"/>
  <c r="I104" i="16"/>
  <c r="P30" i="26"/>
  <c r="T14" i="26"/>
  <c r="U14" i="26" s="1"/>
  <c r="O103" i="7"/>
  <c r="T103" i="7" s="1"/>
  <c r="O102" i="24"/>
  <c r="T102" i="24" s="1"/>
  <c r="U121" i="32"/>
  <c r="O103" i="26"/>
  <c r="T103" i="26" s="1"/>
  <c r="U121" i="57"/>
  <c r="T14" i="33"/>
  <c r="U14" i="33" s="1"/>
  <c r="P30" i="33"/>
  <c r="U44" i="25"/>
  <c r="R44" i="25"/>
  <c r="U44" i="18"/>
  <c r="R44" i="18"/>
  <c r="O102" i="58"/>
  <c r="T102" i="58" s="1"/>
  <c r="U44" i="51"/>
  <c r="R44" i="51"/>
  <c r="P30" i="43"/>
  <c r="T14" i="43"/>
  <c r="U14" i="43" s="1"/>
  <c r="U121" i="43"/>
  <c r="U44" i="39"/>
  <c r="R44" i="39"/>
  <c r="O102" i="37"/>
  <c r="T102" i="37" s="1"/>
  <c r="P30" i="70"/>
  <c r="T14" i="70"/>
  <c r="U14" i="70" s="1"/>
  <c r="O102" i="76"/>
  <c r="T102" i="76" s="1"/>
  <c r="U121" i="7"/>
  <c r="U44" i="78"/>
  <c r="R44" i="78"/>
  <c r="P30" i="77"/>
  <c r="T14" i="77"/>
  <c r="U14" i="77" s="1"/>
  <c r="U121" i="77"/>
  <c r="O102" i="20"/>
  <c r="T102" i="20" s="1"/>
  <c r="U44" i="58"/>
  <c r="R44" i="58"/>
  <c r="U121" i="58"/>
  <c r="T14" i="27"/>
  <c r="U14" i="27" s="1"/>
  <c r="P30" i="27"/>
  <c r="O103" i="67"/>
  <c r="T103" i="67" s="1"/>
  <c r="P30" i="45"/>
  <c r="T14" i="45"/>
  <c r="U14" i="45" s="1"/>
  <c r="U121" i="45"/>
  <c r="P30" i="50"/>
  <c r="T14" i="50"/>
  <c r="U14" i="50" s="1"/>
  <c r="O103" i="28"/>
  <c r="T103" i="28" s="1"/>
  <c r="U44" i="28"/>
  <c r="R44" i="28"/>
  <c r="O103" i="32"/>
  <c r="T103" i="32" s="1"/>
  <c r="O102" i="33"/>
  <c r="T102" i="33" s="1"/>
  <c r="P30" i="48"/>
  <c r="T14" i="48"/>
  <c r="U14" i="48" s="1"/>
  <c r="U44" i="48"/>
  <c r="R44" i="48"/>
  <c r="P30" i="58"/>
  <c r="T14" i="58"/>
  <c r="U14" i="58" s="1"/>
  <c r="P30" i="31"/>
  <c r="T14" i="31"/>
  <c r="U14" i="31" s="1"/>
  <c r="O103" i="31"/>
  <c r="T103" i="31" s="1"/>
  <c r="O102" i="67"/>
  <c r="T102" i="67" s="1"/>
  <c r="O103" i="43"/>
  <c r="T103" i="43" s="1"/>
  <c r="O102" i="21"/>
  <c r="T102" i="21" s="1"/>
  <c r="U121" i="40"/>
  <c r="U121" i="47"/>
  <c r="O102" i="50"/>
  <c r="T102" i="50" s="1"/>
  <c r="O102" i="70"/>
  <c r="T102" i="70" s="1"/>
  <c r="T14" i="7"/>
  <c r="U14" i="7" s="1"/>
  <c r="P30" i="7"/>
  <c r="R44" i="24"/>
  <c r="U44" i="24"/>
  <c r="O102" i="56"/>
  <c r="T102" i="56" s="1"/>
  <c r="T14" i="36"/>
  <c r="U14" i="36" s="1"/>
  <c r="P30" i="36"/>
  <c r="O102" i="78"/>
  <c r="T102" i="78" s="1"/>
  <c r="O102" i="77"/>
  <c r="T102" i="77" s="1"/>
  <c r="O103" i="77"/>
  <c r="T103" i="77" s="1"/>
  <c r="O102" i="57"/>
  <c r="T102" i="57" s="1"/>
  <c r="P30" i="57"/>
  <c r="T14" i="57"/>
  <c r="U14" i="57" s="1"/>
  <c r="R44" i="23"/>
  <c r="U44" i="23"/>
  <c r="O103" i="48"/>
  <c r="T103" i="48" s="1"/>
  <c r="O102" i="22"/>
  <c r="T102" i="22" s="1"/>
  <c r="U121" i="22"/>
  <c r="R44" i="38"/>
  <c r="U44" i="38"/>
  <c r="O102" i="38"/>
  <c r="T102" i="38" s="1"/>
  <c r="O103" i="58"/>
  <c r="T103" i="58" s="1"/>
  <c r="U121" i="66"/>
  <c r="U121" i="31"/>
  <c r="U121" i="51"/>
  <c r="P30" i="51"/>
  <c r="T14" i="51"/>
  <c r="U14" i="51" s="1"/>
  <c r="O102" i="27"/>
  <c r="T102" i="27" s="1"/>
  <c r="U44" i="67"/>
  <c r="R44" i="67"/>
  <c r="R44" i="69"/>
  <c r="U44" i="69"/>
  <c r="O103" i="40"/>
  <c r="T103" i="40" s="1"/>
  <c r="O103" i="45"/>
  <c r="T103" i="45" s="1"/>
  <c r="U44" i="42"/>
  <c r="R44" i="42"/>
  <c r="O102" i="44"/>
  <c r="T102" i="44" s="1"/>
  <c r="O103" i="47"/>
  <c r="T103" i="47" s="1"/>
  <c r="O103" i="50"/>
  <c r="T103" i="50" s="1"/>
  <c r="U121" i="70"/>
  <c r="U44" i="7"/>
  <c r="R44" i="7"/>
  <c r="P30" i="32"/>
  <c r="T14" i="32"/>
  <c r="U14" i="32" s="1"/>
  <c r="O102" i="23"/>
  <c r="T102" i="23" s="1"/>
  <c r="O103" i="30"/>
  <c r="T103" i="30" s="1"/>
  <c r="U44" i="16"/>
  <c r="R44" i="16"/>
  <c r="U44" i="55"/>
  <c r="R44" i="55"/>
  <c r="O102" i="43"/>
  <c r="T102" i="43" s="1"/>
  <c r="T14" i="68"/>
  <c r="U14" i="68" s="1"/>
  <c r="P30" i="68"/>
  <c r="U44" i="40"/>
  <c r="R44" i="40"/>
  <c r="U121" i="17"/>
  <c r="T14" i="39"/>
  <c r="U14" i="39" s="1"/>
  <c r="P30" i="39"/>
  <c r="U44" i="37"/>
  <c r="R44" i="37"/>
  <c r="U44" i="35"/>
  <c r="R44" i="35"/>
  <c r="U121" i="76"/>
  <c r="O102" i="7"/>
  <c r="T102" i="7" s="1"/>
  <c r="U121" i="56"/>
  <c r="P30" i="78"/>
  <c r="T14" i="78"/>
  <c r="U14" i="78" s="1"/>
  <c r="U121" i="33"/>
  <c r="P30" i="25"/>
  <c r="T14" i="25"/>
  <c r="U14" i="25" s="1"/>
  <c r="O102" i="18"/>
  <c r="T102" i="18" s="1"/>
  <c r="O103" i="22"/>
  <c r="T103" i="22" s="1"/>
  <c r="U44" i="30"/>
  <c r="R44" i="30"/>
  <c r="R44" i="66"/>
  <c r="U44" i="66"/>
  <c r="O103" i="66"/>
  <c r="T103" i="66" s="1"/>
  <c r="U44" i="31"/>
  <c r="R44" i="31"/>
  <c r="O102" i="68"/>
  <c r="T102" i="68" s="1"/>
  <c r="U121" i="21"/>
  <c r="R44" i="21"/>
  <c r="U44" i="21"/>
  <c r="T14" i="40"/>
  <c r="U14" i="40" s="1"/>
  <c r="P30" i="40"/>
  <c r="U44" i="17"/>
  <c r="R44" i="17"/>
  <c r="O102" i="42"/>
  <c r="T102" i="42" s="1"/>
  <c r="P30" i="28"/>
  <c r="T14" i="28"/>
  <c r="U14" i="28" s="1"/>
  <c r="T14" i="75"/>
  <c r="U14" i="75" s="1"/>
  <c r="P30" i="75"/>
  <c r="O103" i="70"/>
  <c r="T103" i="70" s="1"/>
  <c r="R44" i="32"/>
  <c r="U44" i="32"/>
  <c r="U44" i="56"/>
  <c r="R44" i="56"/>
  <c r="O102" i="36"/>
  <c r="T102" i="36" s="1"/>
  <c r="U121" i="36"/>
  <c r="U121" i="78"/>
  <c r="U121" i="18"/>
  <c r="T14" i="71"/>
  <c r="U14" i="71" s="1"/>
  <c r="P30" i="71"/>
  <c r="P30" i="22"/>
  <c r="T14" i="22"/>
  <c r="U14" i="22" s="1"/>
  <c r="O103" i="16"/>
  <c r="T103" i="16" s="1"/>
  <c r="U121" i="27"/>
  <c r="O102" i="69"/>
  <c r="T102" i="69" s="1"/>
  <c r="U121" i="69"/>
  <c r="O102" i="45"/>
  <c r="T102" i="45" s="1"/>
  <c r="P30" i="17"/>
  <c r="T14" i="17"/>
  <c r="U14" i="17" s="1"/>
  <c r="O103" i="44"/>
  <c r="T103" i="44" s="1"/>
  <c r="U44" i="44"/>
  <c r="R44" i="44"/>
  <c r="O102" i="39"/>
  <c r="T102" i="39" s="1"/>
  <c r="U44" i="47"/>
  <c r="R44" i="47"/>
  <c r="U121" i="37"/>
  <c r="O103" i="75"/>
  <c r="T103" i="75" s="1"/>
  <c r="U44" i="70"/>
  <c r="R44" i="70"/>
  <c r="O103" i="76"/>
  <c r="T103" i="76" s="1"/>
  <c r="U44" i="76"/>
  <c r="R44" i="76"/>
  <c r="I53" i="48" l="1"/>
  <c r="I53" i="44"/>
  <c r="I53" i="68"/>
  <c r="I53" i="50"/>
  <c r="I53" i="24"/>
  <c r="I53" i="58"/>
  <c r="I53" i="27"/>
  <c r="I53" i="47"/>
  <c r="I53" i="69"/>
  <c r="I53" i="42"/>
  <c r="I53" i="25"/>
  <c r="I53" i="51"/>
  <c r="I53" i="37"/>
  <c r="I53" i="39"/>
  <c r="I53" i="35"/>
  <c r="I125" i="43"/>
  <c r="I127" i="43" s="1"/>
  <c r="H132" i="43" s="1"/>
  <c r="I132" i="43" s="1"/>
  <c r="I125" i="33"/>
  <c r="I127" i="33" s="1"/>
  <c r="H132" i="33" s="1"/>
  <c r="I132" i="33" s="1"/>
  <c r="I53" i="21"/>
  <c r="I53" i="57"/>
  <c r="I53" i="56"/>
  <c r="I127" i="56" s="1"/>
  <c r="H132" i="56" s="1"/>
  <c r="I132" i="56" s="1"/>
  <c r="F52" i="67"/>
  <c r="I52" i="67" s="1"/>
  <c r="F52" i="70"/>
  <c r="I52" i="70" s="1"/>
  <c r="F52" i="23"/>
  <c r="I52" i="23" s="1"/>
  <c r="F51" i="66"/>
  <c r="I51" i="66" s="1"/>
  <c r="F51" i="20"/>
  <c r="I51" i="20" s="1"/>
  <c r="I53" i="28"/>
  <c r="F52" i="26"/>
  <c r="I52" i="26" s="1"/>
  <c r="F51" i="17"/>
  <c r="I51" i="17" s="1"/>
  <c r="F52" i="32"/>
  <c r="I52" i="32" s="1"/>
  <c r="I125"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88" i="34" s="1"/>
  <c r="U88" i="34" s="1"/>
  <c r="T30" i="52"/>
  <c r="P72" i="52" s="1"/>
  <c r="O101"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I105" i="60"/>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I125"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I125"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I125" i="67" s="1"/>
  <c r="H96" i="67"/>
  <c r="I96" i="67" s="1"/>
  <c r="H94" i="16"/>
  <c r="I94" i="16" s="1"/>
  <c r="H96" i="16"/>
  <c r="I96" i="16" s="1"/>
  <c r="H94" i="22"/>
  <c r="I94" i="22" s="1"/>
  <c r="H96" i="22"/>
  <c r="I96" i="22" s="1"/>
  <c r="H94" i="26"/>
  <c r="I94" i="26" s="1"/>
  <c r="I125"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I125"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I125"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I125" i="58" s="1"/>
  <c r="H96" i="58"/>
  <c r="I96" i="58" s="1"/>
  <c r="H94" i="75"/>
  <c r="I94" i="75" s="1"/>
  <c r="H96" i="75"/>
  <c r="H94" i="27"/>
  <c r="I94" i="27" s="1"/>
  <c r="H96" i="27"/>
  <c r="I96" i="27" s="1"/>
  <c r="H94" i="37"/>
  <c r="I94" i="37" s="1"/>
  <c r="H96" i="37"/>
  <c r="I96" i="37" s="1"/>
  <c r="H94" i="20"/>
  <c r="I94" i="20" s="1"/>
  <c r="H96" i="20"/>
  <c r="I96" i="20" s="1"/>
  <c r="P69" i="58"/>
  <c r="T70" i="58" s="1"/>
  <c r="T88" i="58" s="1"/>
  <c r="U88" i="58" s="1"/>
  <c r="P78" i="58"/>
  <c r="T79" i="58" s="1"/>
  <c r="T85" i="58" s="1"/>
  <c r="U85" i="58" s="1"/>
  <c r="P81" i="58"/>
  <c r="T82" i="58" s="1"/>
  <c r="T90" i="58" s="1"/>
  <c r="U90" i="58" s="1"/>
  <c r="P75" i="58"/>
  <c r="T76" i="58" s="1"/>
  <c r="T92" i="58" s="1"/>
  <c r="U92" i="58" s="1"/>
  <c r="P69" i="50"/>
  <c r="T70" i="50" s="1"/>
  <c r="T88" i="50" s="1"/>
  <c r="U88" i="50" s="1"/>
  <c r="P81" i="50"/>
  <c r="T82" i="50" s="1"/>
  <c r="T90" i="50" s="1"/>
  <c r="U90" i="50" s="1"/>
  <c r="P78" i="50"/>
  <c r="T79" i="50" s="1"/>
  <c r="T85" i="50" s="1"/>
  <c r="U85" i="50" s="1"/>
  <c r="P75" i="50"/>
  <c r="T76" i="50" s="1"/>
  <c r="T92" i="50" s="1"/>
  <c r="U92" i="50" s="1"/>
  <c r="P69" i="33"/>
  <c r="T70" i="33" s="1"/>
  <c r="T88" i="33" s="1"/>
  <c r="U88" i="33" s="1"/>
  <c r="P75" i="33"/>
  <c r="T76" i="33" s="1"/>
  <c r="T92" i="33" s="1"/>
  <c r="U92" i="33" s="1"/>
  <c r="P78" i="33"/>
  <c r="T79" i="33" s="1"/>
  <c r="T85" i="33" s="1"/>
  <c r="U85" i="33" s="1"/>
  <c r="P81" i="33"/>
  <c r="T82" i="33" s="1"/>
  <c r="T90" i="33" s="1"/>
  <c r="U90" i="33" s="1"/>
  <c r="P69" i="66"/>
  <c r="T70" i="66" s="1"/>
  <c r="T88" i="66" s="1"/>
  <c r="U88" i="66" s="1"/>
  <c r="P75" i="66"/>
  <c r="T76" i="66" s="1"/>
  <c r="T92" i="66" s="1"/>
  <c r="U92" i="66" s="1"/>
  <c r="P81" i="66"/>
  <c r="T82" i="66" s="1"/>
  <c r="T90" i="66" s="1"/>
  <c r="U90" i="66" s="1"/>
  <c r="P78" i="66"/>
  <c r="T79" i="66" s="1"/>
  <c r="T85" i="66" s="1"/>
  <c r="U85" i="66" s="1"/>
  <c r="P69" i="67"/>
  <c r="T70" i="67" s="1"/>
  <c r="T88" i="67" s="1"/>
  <c r="U88" i="67" s="1"/>
  <c r="P75" i="67"/>
  <c r="T76" i="67" s="1"/>
  <c r="T92" i="67" s="1"/>
  <c r="U92" i="67" s="1"/>
  <c r="P81" i="67"/>
  <c r="T82" i="67" s="1"/>
  <c r="T90" i="67" s="1"/>
  <c r="U90" i="67" s="1"/>
  <c r="P78" i="67"/>
  <c r="T79" i="67" s="1"/>
  <c r="T85" i="67" s="1"/>
  <c r="U85" i="67" s="1"/>
  <c r="P69" i="77"/>
  <c r="T70" i="77" s="1"/>
  <c r="T88" i="77" s="1"/>
  <c r="U88" i="77" s="1"/>
  <c r="P81" i="77"/>
  <c r="T82" i="77" s="1"/>
  <c r="T90" i="77" s="1"/>
  <c r="U90" i="77" s="1"/>
  <c r="P78" i="77"/>
  <c r="T79" i="77" s="1"/>
  <c r="T85" i="77" s="1"/>
  <c r="U85" i="77" s="1"/>
  <c r="P75" i="77"/>
  <c r="T76" i="77" s="1"/>
  <c r="T92" i="77" s="1"/>
  <c r="U92" i="77" s="1"/>
  <c r="P69" i="20"/>
  <c r="T70" i="20" s="1"/>
  <c r="T88" i="20" s="1"/>
  <c r="U88" i="20" s="1"/>
  <c r="P81" i="20"/>
  <c r="T82" i="20" s="1"/>
  <c r="T90" i="20" s="1"/>
  <c r="U90" i="20" s="1"/>
  <c r="P78" i="20"/>
  <c r="T79" i="20" s="1"/>
  <c r="T85" i="20" s="1"/>
  <c r="U85" i="20" s="1"/>
  <c r="P75" i="20"/>
  <c r="T76" i="20" s="1"/>
  <c r="T92" i="20" s="1"/>
  <c r="U92" i="20" s="1"/>
  <c r="P69" i="21"/>
  <c r="T70" i="21" s="1"/>
  <c r="T88" i="21" s="1"/>
  <c r="U88" i="21" s="1"/>
  <c r="P81" i="21"/>
  <c r="T82" i="21" s="1"/>
  <c r="T90" i="21" s="1"/>
  <c r="U90" i="21" s="1"/>
  <c r="P75" i="21"/>
  <c r="T76" i="21" s="1"/>
  <c r="T92" i="21" s="1"/>
  <c r="U92" i="21" s="1"/>
  <c r="P78" i="21"/>
  <c r="T79" i="21" s="1"/>
  <c r="T85" i="21" s="1"/>
  <c r="U85" i="21" s="1"/>
  <c r="P69" i="35"/>
  <c r="T70" i="35" s="1"/>
  <c r="T88" i="35" s="1"/>
  <c r="U88" i="35" s="1"/>
  <c r="P78" i="35"/>
  <c r="T79" i="35" s="1"/>
  <c r="T85" i="35" s="1"/>
  <c r="U85" i="35" s="1"/>
  <c r="P75" i="35"/>
  <c r="T76" i="35" s="1"/>
  <c r="T92" i="35" s="1"/>
  <c r="U92" i="35" s="1"/>
  <c r="P81" i="35"/>
  <c r="T82" i="35" s="1"/>
  <c r="T90" i="35" s="1"/>
  <c r="U90" i="35" s="1"/>
  <c r="P69" i="36"/>
  <c r="T70" i="36" s="1"/>
  <c r="T88" i="36" s="1"/>
  <c r="U88" i="36" s="1"/>
  <c r="P81" i="36"/>
  <c r="T82" i="36" s="1"/>
  <c r="T90" i="36" s="1"/>
  <c r="U90" i="36" s="1"/>
  <c r="P78" i="36"/>
  <c r="T79" i="36" s="1"/>
  <c r="T85" i="36" s="1"/>
  <c r="U85" i="36" s="1"/>
  <c r="P75" i="36"/>
  <c r="T76" i="36" s="1"/>
  <c r="T92" i="36" s="1"/>
  <c r="U92" i="36" s="1"/>
  <c r="P69" i="43"/>
  <c r="T70" i="43" s="1"/>
  <c r="T88" i="43" s="1"/>
  <c r="U88" i="43" s="1"/>
  <c r="P81" i="43"/>
  <c r="T82" i="43" s="1"/>
  <c r="T90" i="43" s="1"/>
  <c r="U90" i="43" s="1"/>
  <c r="P78" i="43"/>
  <c r="T79" i="43" s="1"/>
  <c r="T85" i="43" s="1"/>
  <c r="U85" i="43" s="1"/>
  <c r="P75" i="43"/>
  <c r="T76" i="43" s="1"/>
  <c r="T92" i="43" s="1"/>
  <c r="U92" i="43" s="1"/>
  <c r="P69" i="16"/>
  <c r="T70" i="16" s="1"/>
  <c r="T88" i="16" s="1"/>
  <c r="U88" i="16" s="1"/>
  <c r="P78" i="16"/>
  <c r="T79" i="16" s="1"/>
  <c r="T85" i="16" s="1"/>
  <c r="U85" i="16" s="1"/>
  <c r="P81" i="16"/>
  <c r="T82" i="16" s="1"/>
  <c r="T90" i="16" s="1"/>
  <c r="U90" i="16" s="1"/>
  <c r="P75" i="16"/>
  <c r="T76" i="16" s="1"/>
  <c r="T92" i="16" s="1"/>
  <c r="U92" i="16" s="1"/>
  <c r="P69" i="38"/>
  <c r="T70" i="38" s="1"/>
  <c r="T88" i="38" s="1"/>
  <c r="U88" i="38" s="1"/>
  <c r="P78" i="38"/>
  <c r="T79" i="38" s="1"/>
  <c r="T85" i="38" s="1"/>
  <c r="U85" i="38" s="1"/>
  <c r="P81" i="38"/>
  <c r="T82" i="38" s="1"/>
  <c r="T90" i="38" s="1"/>
  <c r="U90" i="38" s="1"/>
  <c r="P75" i="38"/>
  <c r="T76" i="38" s="1"/>
  <c r="T92" i="38" s="1"/>
  <c r="U92" i="38" s="1"/>
  <c r="P69" i="24"/>
  <c r="T70" i="24" s="1"/>
  <c r="T88" i="24" s="1"/>
  <c r="U88" i="24" s="1"/>
  <c r="P78" i="24"/>
  <c r="T79" i="24" s="1"/>
  <c r="T85" i="24" s="1"/>
  <c r="U85" i="24" s="1"/>
  <c r="P81" i="24"/>
  <c r="T82" i="24" s="1"/>
  <c r="T90" i="24" s="1"/>
  <c r="U90" i="24" s="1"/>
  <c r="P75" i="24"/>
  <c r="T76" i="24" s="1"/>
  <c r="T92" i="24" s="1"/>
  <c r="U92" i="24" s="1"/>
  <c r="P69" i="25"/>
  <c r="T70" i="25" s="1"/>
  <c r="T88" i="25" s="1"/>
  <c r="U88" i="25" s="1"/>
  <c r="P81" i="25"/>
  <c r="T82" i="25" s="1"/>
  <c r="T90" i="25" s="1"/>
  <c r="U90" i="25" s="1"/>
  <c r="P75" i="25"/>
  <c r="T76" i="25" s="1"/>
  <c r="T92" i="25" s="1"/>
  <c r="U92" i="25" s="1"/>
  <c r="P78" i="25"/>
  <c r="T79" i="25" s="1"/>
  <c r="T85" i="25" s="1"/>
  <c r="U85" i="25" s="1"/>
  <c r="P69" i="48"/>
  <c r="T70" i="48" s="1"/>
  <c r="T88" i="48" s="1"/>
  <c r="U88" i="48" s="1"/>
  <c r="P78" i="48"/>
  <c r="T79" i="48" s="1"/>
  <c r="T85" i="48" s="1"/>
  <c r="U85" i="48" s="1"/>
  <c r="P81" i="48"/>
  <c r="T82" i="48" s="1"/>
  <c r="T90" i="48" s="1"/>
  <c r="U90" i="48" s="1"/>
  <c r="P75" i="48"/>
  <c r="T76" i="48" s="1"/>
  <c r="T92" i="48" s="1"/>
  <c r="U92" i="48" s="1"/>
  <c r="P69" i="42"/>
  <c r="T70" i="42" s="1"/>
  <c r="T88" i="42" s="1"/>
  <c r="U88" i="42" s="1"/>
  <c r="P75" i="42"/>
  <c r="T76" i="42" s="1"/>
  <c r="T92" i="42" s="1"/>
  <c r="U92" i="42" s="1"/>
  <c r="P78" i="42"/>
  <c r="T79" i="42" s="1"/>
  <c r="T85" i="42" s="1"/>
  <c r="U85" i="42" s="1"/>
  <c r="P81" i="42"/>
  <c r="T82" i="42" s="1"/>
  <c r="T90" i="42" s="1"/>
  <c r="U90" i="42" s="1"/>
  <c r="P69" i="47"/>
  <c r="T70" i="47" s="1"/>
  <c r="T88" i="47" s="1"/>
  <c r="U88" i="47" s="1"/>
  <c r="P75" i="47"/>
  <c r="T76" i="47" s="1"/>
  <c r="T92" i="47" s="1"/>
  <c r="U92" i="47" s="1"/>
  <c r="P81" i="47"/>
  <c r="T82" i="47" s="1"/>
  <c r="T90" i="47" s="1"/>
  <c r="U90" i="47" s="1"/>
  <c r="P78" i="47"/>
  <c r="T79" i="47" s="1"/>
  <c r="T85" i="47" s="1"/>
  <c r="U85" i="47" s="1"/>
  <c r="P69" i="44"/>
  <c r="T70" i="44" s="1"/>
  <c r="T88" i="44" s="1"/>
  <c r="U88" i="44" s="1"/>
  <c r="P78" i="44"/>
  <c r="T79" i="44" s="1"/>
  <c r="T85" i="44" s="1"/>
  <c r="U85" i="44" s="1"/>
  <c r="P81" i="44"/>
  <c r="T82" i="44" s="1"/>
  <c r="T90" i="44" s="1"/>
  <c r="U90" i="44" s="1"/>
  <c r="P75" i="44"/>
  <c r="T76" i="44" s="1"/>
  <c r="T92" i="44" s="1"/>
  <c r="U92" i="44" s="1"/>
  <c r="P69" i="45"/>
  <c r="T70" i="45" s="1"/>
  <c r="T88" i="45" s="1"/>
  <c r="U88" i="45" s="1"/>
  <c r="P75" i="45"/>
  <c r="T76" i="45" s="1"/>
  <c r="T92" i="45" s="1"/>
  <c r="U92" i="45" s="1"/>
  <c r="P81" i="45"/>
  <c r="T82" i="45" s="1"/>
  <c r="T90" i="45" s="1"/>
  <c r="U90" i="45" s="1"/>
  <c r="P78" i="45"/>
  <c r="T79" i="45" s="1"/>
  <c r="T85" i="45" s="1"/>
  <c r="U85" i="45" s="1"/>
  <c r="P69" i="40"/>
  <c r="T70" i="40" s="1"/>
  <c r="T88" i="40" s="1"/>
  <c r="U88" i="40" s="1"/>
  <c r="P78" i="40"/>
  <c r="T79" i="40" s="1"/>
  <c r="T85" i="40" s="1"/>
  <c r="U85" i="40" s="1"/>
  <c r="P81" i="40"/>
  <c r="T82" i="40" s="1"/>
  <c r="T90" i="40" s="1"/>
  <c r="U90" i="40" s="1"/>
  <c r="P75" i="40"/>
  <c r="T76" i="40" s="1"/>
  <c r="T92" i="40" s="1"/>
  <c r="U92" i="40" s="1"/>
  <c r="P69" i="39"/>
  <c r="T70" i="39" s="1"/>
  <c r="T88" i="39" s="1"/>
  <c r="U88" i="39" s="1"/>
  <c r="P75" i="39"/>
  <c r="T76" i="39" s="1"/>
  <c r="T92" i="39" s="1"/>
  <c r="U92" i="39" s="1"/>
  <c r="P78" i="39"/>
  <c r="T79" i="39" s="1"/>
  <c r="T85" i="39" s="1"/>
  <c r="U85" i="39" s="1"/>
  <c r="P81" i="39"/>
  <c r="T82" i="39" s="1"/>
  <c r="T90" i="39" s="1"/>
  <c r="U90" i="39" s="1"/>
  <c r="P69" i="27"/>
  <c r="T70" i="27" s="1"/>
  <c r="T88" i="27" s="1"/>
  <c r="U88" i="27" s="1"/>
  <c r="P78" i="27"/>
  <c r="T79" i="27" s="1"/>
  <c r="T85" i="27" s="1"/>
  <c r="U85" i="27" s="1"/>
  <c r="P81" i="27"/>
  <c r="T82" i="27" s="1"/>
  <c r="T90" i="27" s="1"/>
  <c r="U90" i="27" s="1"/>
  <c r="P75" i="27"/>
  <c r="T76" i="27" s="1"/>
  <c r="T92" i="27" s="1"/>
  <c r="U92" i="27" s="1"/>
  <c r="P69" i="51"/>
  <c r="T70" i="51" s="1"/>
  <c r="T88" i="51" s="1"/>
  <c r="U88" i="51" s="1"/>
  <c r="P81" i="51"/>
  <c r="T82" i="51" s="1"/>
  <c r="T90" i="51" s="1"/>
  <c r="U90" i="51" s="1"/>
  <c r="P78" i="51"/>
  <c r="T79" i="51" s="1"/>
  <c r="T85" i="51" s="1"/>
  <c r="U85" i="51" s="1"/>
  <c r="P75" i="51"/>
  <c r="T76" i="51" s="1"/>
  <c r="T92" i="51" s="1"/>
  <c r="U92" i="51" s="1"/>
  <c r="P69" i="18"/>
  <c r="T70" i="18" s="1"/>
  <c r="T88" i="18" s="1"/>
  <c r="U88" i="18" s="1"/>
  <c r="P75" i="18"/>
  <c r="T76" i="18" s="1"/>
  <c r="T92" i="18" s="1"/>
  <c r="U92" i="18" s="1"/>
  <c r="P81" i="18"/>
  <c r="T82" i="18" s="1"/>
  <c r="T90" i="18" s="1"/>
  <c r="U90" i="18" s="1"/>
  <c r="P78" i="18"/>
  <c r="T79" i="18" s="1"/>
  <c r="T85" i="18" s="1"/>
  <c r="U85" i="18" s="1"/>
  <c r="P69" i="37"/>
  <c r="T70" i="37" s="1"/>
  <c r="T88" i="37" s="1"/>
  <c r="U88" i="37" s="1"/>
  <c r="P78" i="37"/>
  <c r="T79" i="37" s="1"/>
  <c r="T85" i="37" s="1"/>
  <c r="U85" i="37" s="1"/>
  <c r="P81" i="37"/>
  <c r="T82" i="37" s="1"/>
  <c r="T90" i="37" s="1"/>
  <c r="U90" i="37" s="1"/>
  <c r="P75" i="37"/>
  <c r="T76" i="37" s="1"/>
  <c r="T92" i="37" s="1"/>
  <c r="U92" i="37" s="1"/>
  <c r="P69" i="56"/>
  <c r="T70" i="56" s="1"/>
  <c r="T88" i="56" s="1"/>
  <c r="U88" i="56" s="1"/>
  <c r="P75" i="56"/>
  <c r="T76" i="56" s="1"/>
  <c r="T92" i="56" s="1"/>
  <c r="U92" i="56" s="1"/>
  <c r="P81" i="56"/>
  <c r="T82" i="56" s="1"/>
  <c r="T90" i="56" s="1"/>
  <c r="U90" i="56" s="1"/>
  <c r="P78" i="56"/>
  <c r="T79" i="56" s="1"/>
  <c r="T85" i="56" s="1"/>
  <c r="U85" i="56" s="1"/>
  <c r="P69" i="78"/>
  <c r="T70" i="78" s="1"/>
  <c r="T88" i="78" s="1"/>
  <c r="U88" i="78" s="1"/>
  <c r="P75" i="78"/>
  <c r="T76" i="78" s="1"/>
  <c r="T92" i="78" s="1"/>
  <c r="U92" i="78" s="1"/>
  <c r="P78" i="78"/>
  <c r="T79" i="78" s="1"/>
  <c r="T85" i="78" s="1"/>
  <c r="U85" i="78" s="1"/>
  <c r="P81" i="78"/>
  <c r="T82" i="78" s="1"/>
  <c r="T90" i="78" s="1"/>
  <c r="U90" i="78" s="1"/>
  <c r="P69" i="22"/>
  <c r="T70" i="22" s="1"/>
  <c r="T88" i="22" s="1"/>
  <c r="U88"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T88" i="75" s="1"/>
  <c r="U88" i="75" s="1"/>
  <c r="P81" i="75"/>
  <c r="T82" i="75" s="1"/>
  <c r="T90" i="75" s="1"/>
  <c r="U90" i="75" s="1"/>
  <c r="P75" i="75"/>
  <c r="T76" i="75" s="1"/>
  <c r="T92" i="75" s="1"/>
  <c r="U92" i="75" s="1"/>
  <c r="P78" i="75"/>
  <c r="T79" i="75" s="1"/>
  <c r="T85" i="75" s="1"/>
  <c r="U85" i="75" s="1"/>
  <c r="P69" i="32"/>
  <c r="T70" i="32" s="1"/>
  <c r="T88" i="32" s="1"/>
  <c r="U88" i="32" s="1"/>
  <c r="P78" i="32"/>
  <c r="T79" i="32" s="1"/>
  <c r="T85" i="32" s="1"/>
  <c r="U85" i="32" s="1"/>
  <c r="P81" i="32"/>
  <c r="T82" i="32" s="1"/>
  <c r="T90" i="32" s="1"/>
  <c r="U90" i="32" s="1"/>
  <c r="P75" i="32"/>
  <c r="T76" i="32" s="1"/>
  <c r="T92" i="32" s="1"/>
  <c r="U92" i="32" s="1"/>
  <c r="P69" i="70"/>
  <c r="T70" i="70" s="1"/>
  <c r="T88" i="70" s="1"/>
  <c r="U88" i="70" s="1"/>
  <c r="P81" i="70"/>
  <c r="T82" i="70" s="1"/>
  <c r="T90" i="70" s="1"/>
  <c r="U90" i="70" s="1"/>
  <c r="P78" i="70"/>
  <c r="T79" i="70" s="1"/>
  <c r="T85" i="70" s="1"/>
  <c r="U85" i="70" s="1"/>
  <c r="P75" i="70"/>
  <c r="T76" i="70" s="1"/>
  <c r="T92" i="70" s="1"/>
  <c r="U92" i="70" s="1"/>
  <c r="P69" i="30"/>
  <c r="T70" i="30" s="1"/>
  <c r="T88" i="30" s="1"/>
  <c r="U88" i="30" s="1"/>
  <c r="P78" i="30"/>
  <c r="T79" i="30" s="1"/>
  <c r="T85" i="30" s="1"/>
  <c r="U85" i="30" s="1"/>
  <c r="P81" i="30"/>
  <c r="T82" i="30" s="1"/>
  <c r="T90" i="30" s="1"/>
  <c r="U90" i="30" s="1"/>
  <c r="P75" i="30"/>
  <c r="T76" i="30" s="1"/>
  <c r="T92" i="30" s="1"/>
  <c r="U92" i="30" s="1"/>
  <c r="P69" i="69"/>
  <c r="T70" i="69" s="1"/>
  <c r="T88" i="69" s="1"/>
  <c r="U88" i="69" s="1"/>
  <c r="P81" i="69"/>
  <c r="T82" i="69" s="1"/>
  <c r="T90" i="69" s="1"/>
  <c r="U90" i="69" s="1"/>
  <c r="P75" i="69"/>
  <c r="T76" i="69" s="1"/>
  <c r="T92" i="69" s="1"/>
  <c r="U92" i="69" s="1"/>
  <c r="P78" i="69"/>
  <c r="T79" i="69" s="1"/>
  <c r="T85" i="69" s="1"/>
  <c r="U85" i="69" s="1"/>
  <c r="P69" i="23"/>
  <c r="T70" i="23" s="1"/>
  <c r="T88" i="23" s="1"/>
  <c r="U88" i="23" s="1"/>
  <c r="P81" i="23"/>
  <c r="T82" i="23" s="1"/>
  <c r="T90" i="23" s="1"/>
  <c r="U90" i="23" s="1"/>
  <c r="P78" i="23"/>
  <c r="T79" i="23" s="1"/>
  <c r="T85" i="23" s="1"/>
  <c r="U85" i="23" s="1"/>
  <c r="P75" i="23"/>
  <c r="T76" i="23" s="1"/>
  <c r="T92" i="23" s="1"/>
  <c r="U92" i="23" s="1"/>
  <c r="P69" i="17"/>
  <c r="T70" i="17" s="1"/>
  <c r="T88" i="17" s="1"/>
  <c r="U88" i="17" s="1"/>
  <c r="P75" i="17"/>
  <c r="T76" i="17" s="1"/>
  <c r="T92" i="17" s="1"/>
  <c r="U92" i="17" s="1"/>
  <c r="P78" i="17"/>
  <c r="T79" i="17" s="1"/>
  <c r="T85" i="17" s="1"/>
  <c r="U85" i="17" s="1"/>
  <c r="P81" i="17"/>
  <c r="T82" i="17" s="1"/>
  <c r="T90" i="17" s="1"/>
  <c r="U90" i="17" s="1"/>
  <c r="P69" i="71"/>
  <c r="T70" i="71" s="1"/>
  <c r="T88" i="71" s="1"/>
  <c r="U88" i="71" s="1"/>
  <c r="P81" i="71"/>
  <c r="T82" i="71" s="1"/>
  <c r="T90" i="71" s="1"/>
  <c r="U90" i="71" s="1"/>
  <c r="P78" i="71"/>
  <c r="T79" i="71" s="1"/>
  <c r="T85" i="71" s="1"/>
  <c r="U85" i="71" s="1"/>
  <c r="P75" i="71"/>
  <c r="T76" i="71" s="1"/>
  <c r="T92" i="71" s="1"/>
  <c r="U92" i="71" s="1"/>
  <c r="P69" i="57"/>
  <c r="T70" i="57" s="1"/>
  <c r="T88" i="57" s="1"/>
  <c r="U88" i="57" s="1"/>
  <c r="P81" i="57"/>
  <c r="T82" i="57" s="1"/>
  <c r="T90" i="57" s="1"/>
  <c r="U90" i="57" s="1"/>
  <c r="P75" i="57"/>
  <c r="T76" i="57" s="1"/>
  <c r="T92" i="57" s="1"/>
  <c r="U92" i="57" s="1"/>
  <c r="P78" i="57"/>
  <c r="T79" i="57" s="1"/>
  <c r="T85" i="57" s="1"/>
  <c r="U85" i="57" s="1"/>
  <c r="P69" i="31"/>
  <c r="T70" i="31" s="1"/>
  <c r="T88" i="31" s="1"/>
  <c r="U88" i="31" s="1"/>
  <c r="P81" i="31"/>
  <c r="T82" i="31" s="1"/>
  <c r="T90" i="31" s="1"/>
  <c r="U90" i="31" s="1"/>
  <c r="P75" i="31"/>
  <c r="T76" i="31" s="1"/>
  <c r="T92" i="31" s="1"/>
  <c r="U92" i="31" s="1"/>
  <c r="P78" i="31"/>
  <c r="T79" i="31" s="1"/>
  <c r="T85" i="31" s="1"/>
  <c r="U85" i="31" s="1"/>
  <c r="P69" i="26"/>
  <c r="T70" i="26" s="1"/>
  <c r="P75" i="26"/>
  <c r="T76" i="26" s="1"/>
  <c r="T92" i="26" s="1"/>
  <c r="U92" i="26" s="1"/>
  <c r="P78" i="26"/>
  <c r="T79" i="26" s="1"/>
  <c r="T85" i="26" s="1"/>
  <c r="U85" i="26" s="1"/>
  <c r="P81" i="26"/>
  <c r="T82" i="26" s="1"/>
  <c r="T90" i="26" s="1"/>
  <c r="U90" i="26" s="1"/>
  <c r="R46" i="34"/>
  <c r="P72" i="34"/>
  <c r="P69" i="28"/>
  <c r="T70" i="28" s="1"/>
  <c r="T88" i="28" s="1"/>
  <c r="U88" i="28" s="1"/>
  <c r="P75" i="28"/>
  <c r="T76" i="28" s="1"/>
  <c r="T92" i="28" s="1"/>
  <c r="U92" i="28" s="1"/>
  <c r="P81" i="28"/>
  <c r="T82" i="28" s="1"/>
  <c r="T90" i="28" s="1"/>
  <c r="U90" i="28" s="1"/>
  <c r="P78" i="28"/>
  <c r="T79" i="28" s="1"/>
  <c r="T85" i="28" s="1"/>
  <c r="U85" i="28" s="1"/>
  <c r="P69" i="68"/>
  <c r="T70" i="68" s="1"/>
  <c r="T88" i="68" s="1"/>
  <c r="U88" i="68" s="1"/>
  <c r="P78" i="68"/>
  <c r="T79" i="68" s="1"/>
  <c r="T85" i="68" s="1"/>
  <c r="U85" i="68" s="1"/>
  <c r="P81" i="68"/>
  <c r="T82" i="68" s="1"/>
  <c r="T90" i="68" s="1"/>
  <c r="U90" i="68" s="1"/>
  <c r="P75" i="68"/>
  <c r="T76" i="68" s="1"/>
  <c r="T92" i="68" s="1"/>
  <c r="U92" i="68" s="1"/>
  <c r="P69" i="76"/>
  <c r="T70" i="76" s="1"/>
  <c r="T88" i="76" s="1"/>
  <c r="U88" i="76" s="1"/>
  <c r="P75" i="76"/>
  <c r="T76" i="76" s="1"/>
  <c r="T92" i="76" s="1"/>
  <c r="U92" i="76" s="1"/>
  <c r="P78" i="76"/>
  <c r="T79" i="76" s="1"/>
  <c r="T85" i="76" s="1"/>
  <c r="U85" i="76" s="1"/>
  <c r="P81" i="76"/>
  <c r="T82" i="76" s="1"/>
  <c r="T90" i="76" s="1"/>
  <c r="U90" i="76" s="1"/>
  <c r="P69" i="55"/>
  <c r="T70" i="55" s="1"/>
  <c r="T88" i="55" s="1"/>
  <c r="U88" i="55" s="1"/>
  <c r="P78" i="55"/>
  <c r="T79" i="55" s="1"/>
  <c r="T85" i="55" s="1"/>
  <c r="U85" i="55" s="1"/>
  <c r="P81" i="55"/>
  <c r="T82" i="55" s="1"/>
  <c r="T90" i="55" s="1"/>
  <c r="U90" i="55" s="1"/>
  <c r="P75" i="55"/>
  <c r="T76" i="55" s="1"/>
  <c r="T92" i="55" s="1"/>
  <c r="U92" i="55" s="1"/>
  <c r="P69" i="7"/>
  <c r="T70" i="7" s="1"/>
  <c r="T88" i="7" s="1"/>
  <c r="U88" i="7" s="1"/>
  <c r="P75" i="7"/>
  <c r="T76" i="7" s="1"/>
  <c r="T92" i="7" s="1"/>
  <c r="U92" i="7" s="1"/>
  <c r="I96" i="75"/>
  <c r="I53" i="75"/>
  <c r="T30" i="28"/>
  <c r="P72" i="28" s="1"/>
  <c r="U30" i="28"/>
  <c r="O101" i="28"/>
  <c r="T101" i="28" s="1"/>
  <c r="T30" i="43"/>
  <c r="O101" i="43"/>
  <c r="T101" i="43" s="1"/>
  <c r="U30" i="43"/>
  <c r="O101" i="23"/>
  <c r="T101" i="23" s="1"/>
  <c r="T30" i="23"/>
  <c r="U30" i="23"/>
  <c r="T30" i="22"/>
  <c r="O101" i="22"/>
  <c r="T101" i="22" s="1"/>
  <c r="U30" i="22"/>
  <c r="U30" i="25"/>
  <c r="T30" i="25"/>
  <c r="O101" i="25"/>
  <c r="T101" i="25" s="1"/>
  <c r="U30" i="39"/>
  <c r="O101" i="39"/>
  <c r="T101" i="39" s="1"/>
  <c r="T30" i="39"/>
  <c r="O101" i="51"/>
  <c r="T101" i="51" s="1"/>
  <c r="T30" i="51"/>
  <c r="U30" i="51"/>
  <c r="T30" i="44"/>
  <c r="U30" i="44"/>
  <c r="O101" i="44"/>
  <c r="T101" i="44" s="1"/>
  <c r="T30" i="37"/>
  <c r="U30" i="37"/>
  <c r="O101" i="37"/>
  <c r="T101" i="37" s="1"/>
  <c r="O101" i="66"/>
  <c r="T101" i="66" s="1"/>
  <c r="U30" i="66"/>
  <c r="T30" i="66"/>
  <c r="U30" i="32"/>
  <c r="O101" i="32"/>
  <c r="T101" i="32" s="1"/>
  <c r="T30" i="32"/>
  <c r="U30" i="47"/>
  <c r="O101" i="47"/>
  <c r="T101" i="47" s="1"/>
  <c r="T30" i="47"/>
  <c r="T30" i="48"/>
  <c r="U30" i="48"/>
  <c r="O101" i="48"/>
  <c r="T101" i="48" s="1"/>
  <c r="U30" i="70"/>
  <c r="T30" i="70"/>
  <c r="O101" i="70"/>
  <c r="T101" i="70" s="1"/>
  <c r="T30" i="21"/>
  <c r="O101" i="21"/>
  <c r="T101" i="21" s="1"/>
  <c r="U30" i="21"/>
  <c r="U30" i="30"/>
  <c r="O101" i="30"/>
  <c r="T101" i="30" s="1"/>
  <c r="T30" i="30"/>
  <c r="T30" i="24"/>
  <c r="U30" i="24"/>
  <c r="O101" i="24"/>
  <c r="T101" i="24" s="1"/>
  <c r="T30" i="77"/>
  <c r="U30" i="77"/>
  <c r="O101" i="77"/>
  <c r="T101" i="77" s="1"/>
  <c r="U30" i="33"/>
  <c r="O101" i="33"/>
  <c r="T101" i="33" s="1"/>
  <c r="T30" i="33"/>
  <c r="T30" i="55"/>
  <c r="U30" i="55"/>
  <c r="O101" i="55"/>
  <c r="T101" i="55" s="1"/>
  <c r="T30" i="38"/>
  <c r="O101" i="38"/>
  <c r="T101" i="38" s="1"/>
  <c r="U30" i="38"/>
  <c r="T30" i="31"/>
  <c r="U30" i="31"/>
  <c r="O101" i="31"/>
  <c r="T101" i="31" s="1"/>
  <c r="U30" i="26"/>
  <c r="O101" i="26"/>
  <c r="T101" i="26" s="1"/>
  <c r="T30" i="26"/>
  <c r="U30" i="20"/>
  <c r="O101" i="20"/>
  <c r="T101" i="20" s="1"/>
  <c r="T30" i="20"/>
  <c r="U30" i="76"/>
  <c r="O101" i="76"/>
  <c r="T101" i="76" s="1"/>
  <c r="T30" i="76"/>
  <c r="T30" i="35"/>
  <c r="U30" i="35"/>
  <c r="O101" i="35"/>
  <c r="T101" i="35" s="1"/>
  <c r="U30" i="78"/>
  <c r="O101" i="78"/>
  <c r="T101" i="78" s="1"/>
  <c r="T30" i="78"/>
  <c r="U30" i="27"/>
  <c r="O101" i="27"/>
  <c r="T101" i="27" s="1"/>
  <c r="T30" i="27"/>
  <c r="T30" i="67"/>
  <c r="U30" i="67"/>
  <c r="O101" i="67"/>
  <c r="T101" i="67" s="1"/>
  <c r="O101" i="71"/>
  <c r="T101" i="71" s="1"/>
  <c r="U30" i="71"/>
  <c r="T30" i="71"/>
  <c r="U30" i="68"/>
  <c r="O101" i="68"/>
  <c r="T101" i="68" s="1"/>
  <c r="T30" i="68"/>
  <c r="U30" i="7"/>
  <c r="O101" i="7"/>
  <c r="T101" i="7" s="1"/>
  <c r="T30" i="7"/>
  <c r="T30" i="58"/>
  <c r="U30" i="58"/>
  <c r="O101" i="58"/>
  <c r="T101" i="58" s="1"/>
  <c r="T30" i="50"/>
  <c r="U30" i="50"/>
  <c r="O101" i="50"/>
  <c r="T101" i="50" s="1"/>
  <c r="O101" i="17"/>
  <c r="T101" i="17" s="1"/>
  <c r="T30" i="17"/>
  <c r="U30" i="17"/>
  <c r="T30" i="42"/>
  <c r="U30" i="42"/>
  <c r="O101" i="42"/>
  <c r="T101" i="42" s="1"/>
  <c r="U30" i="18"/>
  <c r="O101" i="18"/>
  <c r="T101" i="18" s="1"/>
  <c r="T30" i="18"/>
  <c r="O101" i="56"/>
  <c r="T101" i="56" s="1"/>
  <c r="T30" i="56"/>
  <c r="U30" i="56"/>
  <c r="O101" i="69"/>
  <c r="T101" i="69" s="1"/>
  <c r="T30" i="69"/>
  <c r="U30" i="69"/>
  <c r="O104" i="34"/>
  <c r="U104" i="34"/>
  <c r="T30" i="40"/>
  <c r="O101" i="40"/>
  <c r="T101" i="40" s="1"/>
  <c r="U30" i="40"/>
  <c r="U30" i="57"/>
  <c r="T30" i="57"/>
  <c r="O101" i="57"/>
  <c r="T101" i="57" s="1"/>
  <c r="T30" i="36"/>
  <c r="O101" i="36"/>
  <c r="T101" i="36" s="1"/>
  <c r="U30" i="36"/>
  <c r="O101" i="75"/>
  <c r="T101" i="75" s="1"/>
  <c r="U30" i="75"/>
  <c r="T30" i="75"/>
  <c r="T30" i="45"/>
  <c r="O101" i="45"/>
  <c r="T101" i="45" s="1"/>
  <c r="U30" i="45"/>
  <c r="U30" i="16"/>
  <c r="O101" i="16"/>
  <c r="T101" i="16" s="1"/>
  <c r="T30" i="16"/>
  <c r="I125" i="69" l="1"/>
  <c r="I125" i="47"/>
  <c r="I125" i="66"/>
  <c r="I125" i="30"/>
  <c r="I125" i="77"/>
  <c r="I125" i="34"/>
  <c r="I125" i="27"/>
  <c r="I125" i="44"/>
  <c r="I125" i="28"/>
  <c r="I53" i="70"/>
  <c r="I53" i="67"/>
  <c r="I125" i="20"/>
  <c r="I125" i="55"/>
  <c r="I127" i="55" s="1"/>
  <c r="H132" i="55" s="1"/>
  <c r="I132" i="55" s="1"/>
  <c r="I125" i="25"/>
  <c r="I125" i="21"/>
  <c r="I125" i="7"/>
  <c r="I125" i="78"/>
  <c r="I53" i="16"/>
  <c r="O104" i="52"/>
  <c r="T101" i="52"/>
  <c r="I53" i="26"/>
  <c r="I53" i="32"/>
  <c r="I127" i="32" s="1"/>
  <c r="H132" i="32" s="1"/>
  <c r="I132" i="32" s="1"/>
  <c r="I53" i="17"/>
  <c r="I125" i="42"/>
  <c r="I127" i="42" s="1"/>
  <c r="H132" i="42" s="1"/>
  <c r="I125" i="40"/>
  <c r="I53" i="23"/>
  <c r="I53" i="20"/>
  <c r="I53" i="30"/>
  <c r="I125" i="37"/>
  <c r="I127" i="37" s="1"/>
  <c r="H132" i="37" s="1"/>
  <c r="I125" i="52"/>
  <c r="I125" i="31"/>
  <c r="I127" i="31" s="1"/>
  <c r="I125" i="71"/>
  <c r="I127" i="71" s="1"/>
  <c r="I125" i="45"/>
  <c r="I127" i="45" s="1"/>
  <c r="H132" i="45" s="1"/>
  <c r="I125" i="51"/>
  <c r="I125" i="17"/>
  <c r="I125" i="18"/>
  <c r="I125" i="38"/>
  <c r="I53" i="18"/>
  <c r="I125" i="22"/>
  <c r="I127" i="22" s="1"/>
  <c r="I125" i="35"/>
  <c r="I127" i="35" s="1"/>
  <c r="H132" i="35" s="1"/>
  <c r="I125" i="76"/>
  <c r="I127" i="76" s="1"/>
  <c r="H132" i="76" s="1"/>
  <c r="I125" i="24"/>
  <c r="I127" i="24" s="1"/>
  <c r="I125" i="68"/>
  <c r="I125" i="39"/>
  <c r="I127" i="39" s="1"/>
  <c r="H132" i="39" s="1"/>
  <c r="I125" i="36"/>
  <c r="I127" i="36" s="1"/>
  <c r="I125" i="75"/>
  <c r="I127" i="75" s="1"/>
  <c r="H132" i="75" s="1"/>
  <c r="I125" i="57"/>
  <c r="I127" i="57" s="1"/>
  <c r="H132" i="57" s="1"/>
  <c r="I132" i="57" s="1"/>
  <c r="I53" i="66"/>
  <c r="I127" i="66" s="1"/>
  <c r="H132" i="66" s="1"/>
  <c r="U104" i="52"/>
  <c r="R46" i="28"/>
  <c r="T73" i="28" s="1"/>
  <c r="T94" i="28" s="1"/>
  <c r="U94" i="28" s="1"/>
  <c r="R46" i="52"/>
  <c r="I127" i="58"/>
  <c r="H132" i="58" s="1"/>
  <c r="I127" i="77"/>
  <c r="H132" i="77" s="1"/>
  <c r="I53" i="60"/>
  <c r="I127" i="50"/>
  <c r="H132" i="50" s="1"/>
  <c r="I127" i="27"/>
  <c r="H132" i="27" s="1"/>
  <c r="I53" i="7"/>
  <c r="I95" i="60"/>
  <c r="F53" i="60"/>
  <c r="F54" i="60"/>
  <c r="I54" i="60"/>
  <c r="I127" i="48"/>
  <c r="H132" i="48" s="1"/>
  <c r="I127" i="44"/>
  <c r="H132" i="44" s="1"/>
  <c r="I127" i="28"/>
  <c r="H132" i="28" s="1"/>
  <c r="I127" i="47"/>
  <c r="H132" i="47" s="1"/>
  <c r="I132" i="47" s="1"/>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4" i="43"/>
  <c r="I138" i="43" s="1"/>
  <c r="I142" i="43" s="1"/>
  <c r="I144" i="43"/>
  <c r="U104" i="69"/>
  <c r="O104" i="69"/>
  <c r="U104" i="7"/>
  <c r="O104" i="7"/>
  <c r="U104" i="35"/>
  <c r="O104" i="35"/>
  <c r="O104" i="26"/>
  <c r="U104" i="26"/>
  <c r="U104" i="38"/>
  <c r="O104" i="38"/>
  <c r="O104" i="24"/>
  <c r="U104" i="24"/>
  <c r="O104" i="21"/>
  <c r="U104" i="21"/>
  <c r="O104" i="28"/>
  <c r="U104" i="28"/>
  <c r="U104" i="31"/>
  <c r="O104" i="31"/>
  <c r="U104" i="77"/>
  <c r="O104" i="77"/>
  <c r="U104" i="43"/>
  <c r="O104" i="43"/>
  <c r="O104" i="55"/>
  <c r="U104" i="55"/>
  <c r="U104" i="48"/>
  <c r="O104" i="48"/>
  <c r="U104" i="22"/>
  <c r="O104" i="22"/>
  <c r="U104" i="57"/>
  <c r="O104" i="57"/>
  <c r="O104" i="39"/>
  <c r="U104" i="39"/>
  <c r="O104" i="56"/>
  <c r="U104" i="56"/>
  <c r="O104" i="17"/>
  <c r="U104" i="17"/>
  <c r="U104" i="50"/>
  <c r="O104" i="50"/>
  <c r="U104" i="71"/>
  <c r="O104" i="71"/>
  <c r="U104" i="32"/>
  <c r="O104" i="32"/>
  <c r="U104" i="66"/>
  <c r="O104" i="66"/>
  <c r="U104" i="25"/>
  <c r="O104" i="25"/>
  <c r="U104" i="23"/>
  <c r="O104" i="23"/>
  <c r="O104" i="42"/>
  <c r="U104" i="42"/>
  <c r="O104" i="27"/>
  <c r="U104" i="27"/>
  <c r="O104" i="76"/>
  <c r="U104" i="76"/>
  <c r="O104" i="37"/>
  <c r="U104" i="37"/>
  <c r="U104" i="67"/>
  <c r="O104" i="67"/>
  <c r="U104" i="47"/>
  <c r="O104" i="47"/>
  <c r="O104" i="58"/>
  <c r="U104" i="58"/>
  <c r="O104" i="68"/>
  <c r="U104" i="68"/>
  <c r="O104" i="33"/>
  <c r="U104" i="33"/>
  <c r="O104" i="16"/>
  <c r="U104" i="16"/>
  <c r="U104" i="45"/>
  <c r="O104" i="45"/>
  <c r="I134" i="33"/>
  <c r="I138" i="33" s="1"/>
  <c r="I142" i="33" s="1"/>
  <c r="O104" i="20"/>
  <c r="U104" i="20"/>
  <c r="O104" i="36"/>
  <c r="U104" i="36"/>
  <c r="I144" i="33"/>
  <c r="O104" i="18"/>
  <c r="U104" i="18"/>
  <c r="O104" i="78"/>
  <c r="U104" i="78"/>
  <c r="O104" i="30"/>
  <c r="U104" i="30"/>
  <c r="O104" i="51"/>
  <c r="U104" i="51"/>
  <c r="O104" i="75"/>
  <c r="U104" i="75"/>
  <c r="O104" i="40"/>
  <c r="U104" i="40"/>
  <c r="O104" i="70"/>
  <c r="U104" i="70"/>
  <c r="U104" i="44"/>
  <c r="O104" i="44"/>
  <c r="T96" i="28" l="1"/>
  <c r="U96" i="28" s="1"/>
  <c r="U125" i="28" s="1"/>
  <c r="I132" i="45"/>
  <c r="I144" i="45" s="1"/>
  <c r="I132" i="28"/>
  <c r="I132" i="75"/>
  <c r="I144" i="75" s="1"/>
  <c r="I132" i="66"/>
  <c r="I132" i="39"/>
  <c r="I144" i="39" s="1"/>
  <c r="I132" i="42"/>
  <c r="I144" i="42" s="1"/>
  <c r="I132" i="44"/>
  <c r="I132" i="77"/>
  <c r="I134" i="77" s="1"/>
  <c r="I138" i="77" s="1"/>
  <c r="I142" i="77" s="1"/>
  <c r="I132" i="76"/>
  <c r="I144" i="76" s="1"/>
  <c r="I132" i="58"/>
  <c r="I132" i="35"/>
  <c r="I144" i="35" s="1"/>
  <c r="I132" i="48"/>
  <c r="I134" i="48" s="1"/>
  <c r="I138" i="48" s="1"/>
  <c r="I142" i="48" s="1"/>
  <c r="I127" i="51"/>
  <c r="H132" i="51" s="1"/>
  <c r="I132" i="27"/>
  <c r="I144" i="27" s="1"/>
  <c r="I132" i="50"/>
  <c r="I144" i="50" s="1"/>
  <c r="I132" i="37"/>
  <c r="I144" i="37" s="1"/>
  <c r="I127" i="78"/>
  <c r="H132" i="78" s="1"/>
  <c r="I55" i="60"/>
  <c r="I127" i="34"/>
  <c r="H132" i="34" s="1"/>
  <c r="I132" i="34" s="1"/>
  <c r="I127" i="18"/>
  <c r="I127" i="38"/>
  <c r="H132" i="38" s="1"/>
  <c r="U53" i="76"/>
  <c r="U53" i="17"/>
  <c r="U53" i="66"/>
  <c r="U53" i="43"/>
  <c r="I127" i="69"/>
  <c r="H132" i="69" s="1"/>
  <c r="U53" i="58"/>
  <c r="I127" i="7"/>
  <c r="I97" i="60"/>
  <c r="I127" i="52"/>
  <c r="H132" i="52" s="1"/>
  <c r="I132" i="52" s="1"/>
  <c r="U53" i="51"/>
  <c r="U53" i="27"/>
  <c r="U53" i="22"/>
  <c r="U53" i="37"/>
  <c r="U53" i="30"/>
  <c r="U53" i="38"/>
  <c r="U53" i="42"/>
  <c r="U53" i="40"/>
  <c r="U53" i="33"/>
  <c r="U53" i="75"/>
  <c r="U53" i="7"/>
  <c r="U53" i="23"/>
  <c r="U53" i="67"/>
  <c r="U53" i="20"/>
  <c r="U53" i="45"/>
  <c r="U53" i="56"/>
  <c r="U53" i="36"/>
  <c r="U53" i="31"/>
  <c r="I134" i="76"/>
  <c r="I138" i="76" s="1"/>
  <c r="I142" i="76" s="1"/>
  <c r="E323" i="64" s="1"/>
  <c r="G323" i="64" s="1"/>
  <c r="U53" i="44"/>
  <c r="U53" i="69"/>
  <c r="U53" i="28"/>
  <c r="I127" i="20"/>
  <c r="U53" i="55"/>
  <c r="I127" i="70"/>
  <c r="H132" i="70" s="1"/>
  <c r="U53" i="39"/>
  <c r="I127" i="67"/>
  <c r="H132" i="67" s="1"/>
  <c r="I132" i="67" s="1"/>
  <c r="U53" i="70"/>
  <c r="U53" i="71"/>
  <c r="U53" i="18"/>
  <c r="U53" i="24"/>
  <c r="U53" i="50"/>
  <c r="U53" i="68"/>
  <c r="U53" i="48"/>
  <c r="I127" i="17"/>
  <c r="U53" i="57"/>
  <c r="U53" i="16"/>
  <c r="U53" i="77"/>
  <c r="U53" i="47"/>
  <c r="U53" i="35"/>
  <c r="I127" i="68"/>
  <c r="H132" i="68" s="1"/>
  <c r="I127" i="23"/>
  <c r="I127" i="30"/>
  <c r="H132" i="30" s="1"/>
  <c r="U53" i="26"/>
  <c r="U53" i="21"/>
  <c r="U53" i="25"/>
  <c r="I127" i="40"/>
  <c r="H132" i="40" s="1"/>
  <c r="I132" i="40" s="1"/>
  <c r="U53" i="32"/>
  <c r="I127" i="21"/>
  <c r="H132" i="21" s="1"/>
  <c r="I132" i="21" s="1"/>
  <c r="I127" i="26"/>
  <c r="U53" i="78"/>
  <c r="I127" i="25"/>
  <c r="H132" i="25" s="1"/>
  <c r="I132"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4" i="57"/>
  <c r="I138" i="57" s="1"/>
  <c r="I142" i="57" s="1"/>
  <c r="I144" i="57"/>
  <c r="E242" i="64"/>
  <c r="G242" i="64" s="1"/>
  <c r="I134" i="75"/>
  <c r="I138" i="75" s="1"/>
  <c r="I142" i="75" s="1"/>
  <c r="E151" i="64"/>
  <c r="G151" i="64" s="1"/>
  <c r="I134" i="47"/>
  <c r="I138" i="47" s="1"/>
  <c r="I142" i="47" s="1"/>
  <c r="I144" i="47"/>
  <c r="I134" i="55"/>
  <c r="I138" i="55" s="1"/>
  <c r="I142" i="55" s="1"/>
  <c r="I134" i="56"/>
  <c r="I138" i="56" s="1"/>
  <c r="I142" i="56" s="1"/>
  <c r="I144" i="56"/>
  <c r="I144" i="55"/>
  <c r="I134" i="32"/>
  <c r="I138" i="32" s="1"/>
  <c r="I142" i="32" s="1"/>
  <c r="I134" i="27"/>
  <c r="I138" i="27" s="1"/>
  <c r="I142" i="27" s="1"/>
  <c r="I144" i="32"/>
  <c r="I134" i="42" l="1"/>
  <c r="I138" i="42" s="1"/>
  <c r="I142" i="42" s="1"/>
  <c r="I134" i="39"/>
  <c r="I138" i="39" s="1"/>
  <c r="I142" i="39" s="1"/>
  <c r="I134" i="37"/>
  <c r="I138" i="37" s="1"/>
  <c r="I142" i="37" s="1"/>
  <c r="E194" i="64" s="1"/>
  <c r="G194" i="64" s="1"/>
  <c r="I134" i="50"/>
  <c r="I138" i="50" s="1"/>
  <c r="I142" i="50" s="1"/>
  <c r="E287" i="64" s="1"/>
  <c r="G287" i="64" s="1"/>
  <c r="I134" i="28"/>
  <c r="I138" i="28" s="1"/>
  <c r="I142" i="28" s="1"/>
  <c r="E123" i="64" s="1"/>
  <c r="G123" i="64" s="1"/>
  <c r="I144" i="77"/>
  <c r="I134" i="44"/>
  <c r="I138" i="44" s="1"/>
  <c r="I142" i="44" s="1"/>
  <c r="E252" i="64" s="1"/>
  <c r="G252" i="64" s="1"/>
  <c r="U127" i="28"/>
  <c r="I130" i="28" s="1"/>
  <c r="I144" i="44"/>
  <c r="I134" i="45"/>
  <c r="I138" i="45" s="1"/>
  <c r="I142" i="45" s="1"/>
  <c r="E260" i="64" s="1"/>
  <c r="G260" i="64" s="1"/>
  <c r="I144" i="28"/>
  <c r="I134" i="35"/>
  <c r="I138" i="35" s="1"/>
  <c r="I142" i="35" s="1"/>
  <c r="E168" i="64" s="1"/>
  <c r="G168" i="64" s="1"/>
  <c r="I134" i="58"/>
  <c r="I138" i="58" s="1"/>
  <c r="I142" i="58" s="1"/>
  <c r="E360" i="64" s="1"/>
  <c r="G360" i="64" s="1"/>
  <c r="I144" i="48"/>
  <c r="E422" i="64"/>
  <c r="G422" i="64" s="1"/>
  <c r="I132" i="69"/>
  <c r="I132" i="30"/>
  <c r="I134" i="30" s="1"/>
  <c r="I138" i="30" s="1"/>
  <c r="I142" i="30" s="1"/>
  <c r="I132" i="38"/>
  <c r="I132" i="70"/>
  <c r="I144" i="70" s="1"/>
  <c r="I144" i="58"/>
  <c r="I144" i="66"/>
  <c r="I132" i="68"/>
  <c r="I144" i="68" s="1"/>
  <c r="I134" i="66"/>
  <c r="I138" i="66" s="1"/>
  <c r="I142" i="66" s="1"/>
  <c r="I132" i="78"/>
  <c r="I144" i="78" s="1"/>
  <c r="I132" i="51"/>
  <c r="U125" i="34"/>
  <c r="U127" i="34" s="1"/>
  <c r="I130" i="34" s="1"/>
  <c r="U125" i="52"/>
  <c r="U127" i="52" s="1"/>
  <c r="I130" i="52" s="1"/>
  <c r="E277" i="64"/>
  <c r="G277" i="64" s="1"/>
  <c r="I144" i="34"/>
  <c r="I144" i="52"/>
  <c r="I134" i="52"/>
  <c r="I138" i="52" s="1"/>
  <c r="I142" i="52" s="1"/>
  <c r="T96" i="30"/>
  <c r="T96" i="58"/>
  <c r="T96" i="66"/>
  <c r="U96" i="66" s="1"/>
  <c r="T96" i="22"/>
  <c r="U96" i="22" s="1"/>
  <c r="I144" i="21"/>
  <c r="I144" i="67"/>
  <c r="I134" i="67"/>
  <c r="I138" i="67" s="1"/>
  <c r="I142" i="67" s="1"/>
  <c r="I144" i="40"/>
  <c r="I134" i="40"/>
  <c r="I138" i="40" s="1"/>
  <c r="I142" i="40" s="1"/>
  <c r="I144"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13" i="64"/>
  <c r="G313" i="64" s="1"/>
  <c r="E333" i="64"/>
  <c r="G333" i="64" s="1"/>
  <c r="E232" i="64"/>
  <c r="G232" i="64" s="1"/>
  <c r="E213" i="64"/>
  <c r="G213" i="64" s="1"/>
  <c r="E114" i="64"/>
  <c r="G114" i="64" s="1"/>
  <c r="E268" i="64"/>
  <c r="G268" i="64" s="1"/>
  <c r="E141" i="64"/>
  <c r="G141" i="64" s="1"/>
  <c r="E344" i="64"/>
  <c r="G344" i="64" s="1"/>
  <c r="U96" i="30" l="1"/>
  <c r="U125" i="30" s="1"/>
  <c r="U127" i="30" s="1"/>
  <c r="I130" i="30" s="1"/>
  <c r="U94" i="77"/>
  <c r="U125" i="77" s="1"/>
  <c r="U127" i="77" s="1"/>
  <c r="I130" i="77" s="1"/>
  <c r="U94" i="31"/>
  <c r="U125" i="31" s="1"/>
  <c r="U127" i="31" s="1"/>
  <c r="I130" i="31" s="1"/>
  <c r="H132" i="31" s="1"/>
  <c r="U96" i="27"/>
  <c r="U125" i="27" s="1"/>
  <c r="U127" i="27" s="1"/>
  <c r="I130" i="27" s="1"/>
  <c r="U96" i="7"/>
  <c r="U125" i="7" s="1"/>
  <c r="U127" i="7" s="1"/>
  <c r="I130" i="7" s="1"/>
  <c r="U96" i="48"/>
  <c r="U125" i="48" s="1"/>
  <c r="U127" i="48" s="1"/>
  <c r="I130" i="48" s="1"/>
  <c r="U96" i="71"/>
  <c r="U125" i="71" s="1"/>
  <c r="U127" i="71" s="1"/>
  <c r="I130" i="71" s="1"/>
  <c r="H132" i="71" s="1"/>
  <c r="I144" i="38"/>
  <c r="U96" i="38"/>
  <c r="U125" i="38" s="1"/>
  <c r="U127" i="38" s="1"/>
  <c r="I130" i="38" s="1"/>
  <c r="U96" i="33"/>
  <c r="U125" i="33" s="1"/>
  <c r="U127" i="33" s="1"/>
  <c r="I130" i="33" s="1"/>
  <c r="U96" i="67"/>
  <c r="U125" i="67" s="1"/>
  <c r="U127" i="67" s="1"/>
  <c r="I130" i="67" s="1"/>
  <c r="U96" i="42"/>
  <c r="U125" i="42" s="1"/>
  <c r="U127" i="42" s="1"/>
  <c r="I130" i="42" s="1"/>
  <c r="U96" i="16"/>
  <c r="U125" i="16" s="1"/>
  <c r="U127" i="16" s="1"/>
  <c r="I130" i="16" s="1"/>
  <c r="U96" i="51"/>
  <c r="U125" i="51" s="1"/>
  <c r="U127" i="51" s="1"/>
  <c r="I130" i="51" s="1"/>
  <c r="U96" i="44"/>
  <c r="U125" i="44" s="1"/>
  <c r="U127" i="44" s="1"/>
  <c r="I130" i="44" s="1"/>
  <c r="U96" i="58"/>
  <c r="U125" i="58" s="1"/>
  <c r="U127" i="58" s="1"/>
  <c r="I130" i="58" s="1"/>
  <c r="I144" i="69"/>
  <c r="U96" i="25"/>
  <c r="U125" i="25" s="1"/>
  <c r="U127" i="25" s="1"/>
  <c r="I130" i="25" s="1"/>
  <c r="I134" i="69"/>
  <c r="I138" i="69" s="1"/>
  <c r="I142" i="69" s="1"/>
  <c r="E385" i="64" s="1"/>
  <c r="G385" i="64" s="1"/>
  <c r="I134" i="38"/>
  <c r="I138" i="38" s="1"/>
  <c r="I142" i="38" s="1"/>
  <c r="E202" i="64" s="1"/>
  <c r="G202" i="64" s="1"/>
  <c r="I134" i="68"/>
  <c r="I138" i="68" s="1"/>
  <c r="I142" i="68" s="1"/>
  <c r="E414" i="64" s="1"/>
  <c r="G414" i="64" s="1"/>
  <c r="I144" i="30"/>
  <c r="I134" i="70"/>
  <c r="I138" i="70" s="1"/>
  <c r="I142" i="70" s="1"/>
  <c r="E441" i="64"/>
  <c r="G441" i="64" s="1"/>
  <c r="I134" i="51"/>
  <c r="I138" i="51" s="1"/>
  <c r="I142" i="51" s="1"/>
  <c r="I144" i="51"/>
  <c r="I134" i="78"/>
  <c r="I138" i="78" s="1"/>
  <c r="I142" i="78" s="1"/>
  <c r="E432" i="64" s="1"/>
  <c r="G432" i="64" s="1"/>
  <c r="E369" i="64"/>
  <c r="G369" i="64" s="1"/>
  <c r="U125" i="24"/>
  <c r="U127" i="24" s="1"/>
  <c r="I130" i="24" s="1"/>
  <c r="H132" i="24" s="1"/>
  <c r="U125" i="55"/>
  <c r="U127" i="55" s="1"/>
  <c r="I130" i="55" s="1"/>
  <c r="U125" i="21"/>
  <c r="U127" i="21" s="1"/>
  <c r="I130" i="21" s="1"/>
  <c r="U125" i="75"/>
  <c r="U127" i="75" s="1"/>
  <c r="I130" i="75" s="1"/>
  <c r="U125" i="43"/>
  <c r="U127" i="43" s="1"/>
  <c r="I130" i="43" s="1"/>
  <c r="U125" i="68"/>
  <c r="U127" i="68" s="1"/>
  <c r="I130" i="68" s="1"/>
  <c r="U125" i="76"/>
  <c r="U127" i="76" s="1"/>
  <c r="I130" i="76" s="1"/>
  <c r="U125" i="22"/>
  <c r="U125" i="47"/>
  <c r="U127" i="47" s="1"/>
  <c r="I130" i="47" s="1"/>
  <c r="U125" i="35"/>
  <c r="U127" i="35" s="1"/>
  <c r="I130" i="35" s="1"/>
  <c r="U125" i="20"/>
  <c r="U125" i="18"/>
  <c r="U125" i="23"/>
  <c r="U125" i="45"/>
  <c r="U127" i="45" s="1"/>
  <c r="I130" i="45" s="1"/>
  <c r="U125" i="56"/>
  <c r="U127" i="56" s="1"/>
  <c r="I130" i="56" s="1"/>
  <c r="U125" i="36"/>
  <c r="U125" i="66"/>
  <c r="U127" i="66" s="1"/>
  <c r="I130" i="66" s="1"/>
  <c r="U125" i="69"/>
  <c r="U127" i="69" s="1"/>
  <c r="I130" i="69" s="1"/>
  <c r="U125" i="70"/>
  <c r="U127" i="70" s="1"/>
  <c r="I130" i="70" s="1"/>
  <c r="U125" i="39"/>
  <c r="U127" i="39" s="1"/>
  <c r="I130" i="39" s="1"/>
  <c r="U125" i="57"/>
  <c r="U127" i="57" s="1"/>
  <c r="I130" i="57" s="1"/>
  <c r="U125" i="37"/>
  <c r="U127" i="37" s="1"/>
  <c r="I130" i="37" s="1"/>
  <c r="U125" i="40"/>
  <c r="U127" i="40" s="1"/>
  <c r="I130" i="40" s="1"/>
  <c r="U125" i="17"/>
  <c r="U125" i="32"/>
  <c r="U127" i="32" s="1"/>
  <c r="I130" i="32" s="1"/>
  <c r="U125" i="50"/>
  <c r="U127" i="50" s="1"/>
  <c r="I130" i="50" s="1"/>
  <c r="U125" i="78"/>
  <c r="U127" i="78" s="1"/>
  <c r="I130" i="78" s="1"/>
  <c r="U125" i="26"/>
  <c r="U127" i="26" s="1"/>
  <c r="I130" i="26" s="1"/>
  <c r="H132" i="26" s="1"/>
  <c r="I134" i="34"/>
  <c r="I138" i="34" s="1"/>
  <c r="I142" i="34" s="1"/>
  <c r="E304" i="64"/>
  <c r="G304" i="64" s="1"/>
  <c r="E223" i="64"/>
  <c r="G223" i="64" s="1"/>
  <c r="I134" i="21"/>
  <c r="I138" i="21" s="1"/>
  <c r="I142" i="21" s="1"/>
  <c r="E376" i="64"/>
  <c r="G376" i="64" s="1"/>
  <c r="I134" i="25"/>
  <c r="I138" i="25" s="1"/>
  <c r="I142" i="25" s="1"/>
  <c r="E395" i="64" l="1"/>
  <c r="G395" i="64" s="1"/>
  <c r="I132" i="24"/>
  <c r="E295" i="64"/>
  <c r="G295" i="64" s="1"/>
  <c r="I132" i="31"/>
  <c r="I134" i="31" s="1"/>
  <c r="I138" i="31" s="1"/>
  <c r="I142" i="31" s="1"/>
  <c r="E132" i="64" s="1"/>
  <c r="G132" i="64" s="1"/>
  <c r="I132" i="26"/>
  <c r="I134" i="26" s="1"/>
  <c r="I138" i="26" s="1"/>
  <c r="I142" i="26" s="1"/>
  <c r="I132" i="71"/>
  <c r="I144" i="71" s="1"/>
  <c r="U127" i="20"/>
  <c r="I130" i="20" s="1"/>
  <c r="H132" i="20" s="1"/>
  <c r="I132" i="20" s="1"/>
  <c r="H132" i="36"/>
  <c r="U127" i="36"/>
  <c r="I130" i="36" s="1"/>
  <c r="U127" i="17"/>
  <c r="I130" i="17" s="1"/>
  <c r="H132" i="17" s="1"/>
  <c r="U127" i="22"/>
  <c r="I130" i="22" s="1"/>
  <c r="H132" i="22" s="1"/>
  <c r="I132" i="22" s="1"/>
  <c r="U127" i="23"/>
  <c r="I130" i="23" s="1"/>
  <c r="H132" i="23" s="1"/>
  <c r="I132" i="23" s="1"/>
  <c r="U127" i="18"/>
  <c r="I130" i="18" s="1"/>
  <c r="E160" i="64"/>
  <c r="G160" i="64" s="1"/>
  <c r="E80" i="64"/>
  <c r="G80" i="64" s="1"/>
  <c r="E70" i="64"/>
  <c r="G70" i="64" s="1"/>
  <c r="I131" i="60" l="1"/>
  <c r="I134" i="24"/>
  <c r="I138" i="24" s="1"/>
  <c r="I142" i="24" s="1"/>
  <c r="E90" i="64" s="1"/>
  <c r="G90" i="64" s="1"/>
  <c r="I144" i="24"/>
  <c r="I134" i="71"/>
  <c r="I138" i="71" s="1"/>
  <c r="I142" i="71" s="1"/>
  <c r="E405" i="64" s="1"/>
  <c r="G405" i="64" s="1"/>
  <c r="I144" i="26"/>
  <c r="I144" i="31"/>
  <c r="E107" i="64"/>
  <c r="G107" i="64" s="1"/>
  <c r="I132" i="17"/>
  <c r="I132" i="36"/>
  <c r="I144" i="23"/>
  <c r="I134" i="22"/>
  <c r="I138" i="22" s="1"/>
  <c r="I142" i="22" s="1"/>
  <c r="E99" i="64" s="1"/>
  <c r="G99" i="64" s="1"/>
  <c r="I144" i="20"/>
  <c r="H132" i="18"/>
  <c r="I132" i="18" s="1"/>
  <c r="I144" i="22"/>
  <c r="I134" i="36" l="1"/>
  <c r="I138" i="36" s="1"/>
  <c r="I142" i="36" s="1"/>
  <c r="I144" i="36"/>
  <c r="I144" i="17"/>
  <c r="I134" i="17"/>
  <c r="I138" i="17" s="1"/>
  <c r="I142" i="17" s="1"/>
  <c r="E43" i="64" s="1"/>
  <c r="G43" i="64" s="1"/>
  <c r="I144" i="18"/>
  <c r="I134" i="20"/>
  <c r="I138" i="20" s="1"/>
  <c r="I142" i="20" s="1"/>
  <c r="I134" i="23"/>
  <c r="I138" i="23" s="1"/>
  <c r="I142" i="23" s="1"/>
  <c r="H132" i="7"/>
  <c r="I132" i="7" s="1"/>
  <c r="E183" i="64" l="1"/>
  <c r="G183" i="64" s="1"/>
  <c r="E175" i="64"/>
  <c r="G175" i="64" s="1"/>
  <c r="E62" i="64"/>
  <c r="G62" i="64" s="1"/>
  <c r="I134" i="18"/>
  <c r="I138" i="18" s="1"/>
  <c r="I142" i="18" s="1"/>
  <c r="E50" i="64" l="1"/>
  <c r="G50" i="64" s="1"/>
  <c r="I134" i="7"/>
  <c r="I144" i="7"/>
  <c r="I138" i="7" l="1"/>
  <c r="I142" i="7" l="1"/>
  <c r="E5" i="64" l="1"/>
  <c r="G5" i="64" s="1"/>
  <c r="I118" i="16" l="1"/>
  <c r="I119" i="16"/>
  <c r="I120" i="16"/>
  <c r="I121" i="16" l="1"/>
  <c r="I125" i="16" s="1"/>
  <c r="I127" i="16" l="1"/>
  <c r="I126" i="60"/>
  <c r="I128" i="60" l="1"/>
  <c r="H132" i="16"/>
  <c r="I132" i="16" s="1"/>
  <c r="H133" i="60" l="1"/>
  <c r="I144" i="16" l="1"/>
  <c r="I133" i="60"/>
  <c r="I134" i="16"/>
  <c r="I135" i="60" s="1"/>
  <c r="I138" i="16" l="1"/>
  <c r="I142" i="16" l="1"/>
  <c r="I143" i="60" s="1"/>
  <c r="I139" i="60"/>
  <c r="E27" i="64" l="1"/>
  <c r="E458" i="64"/>
  <c r="G27" i="64"/>
  <c r="G451" i="64" s="1"/>
  <c r="E451" i="64"/>
  <c r="G458" i="64" l="1"/>
  <c r="G480" i="64" s="1"/>
  <c r="G481" i="64" s="1"/>
  <c r="E480" i="64"/>
  <c r="E481" i="64" s="1"/>
  <c r="G452" i="64"/>
</calcChain>
</file>

<file path=xl/sharedStrings.xml><?xml version="1.0" encoding="utf-8"?>
<sst xmlns="http://schemas.openxmlformats.org/spreadsheetml/2006/main" count="17347" uniqueCount="497">
  <si>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</si>
  <si>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</si>
  <si>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</si>
  <si>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</si>
  <si>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</si>
  <si>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</si>
  <si>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</si>
  <si>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</si>
  <si>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</si>
  <si>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</si>
  <si>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</si>
  <si>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</si>
  <si>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</si>
  <si>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</si>
  <si>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</si>
  <si>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</si>
  <si>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</si>
  <si>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</si>
  <si>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</si>
  <si>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</si>
  <si>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</si>
  <si>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</si>
  <si>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</si>
  <si>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</si>
  <si>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</si>
  <si>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</si>
  <si>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</si>
  <si>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</si>
  <si>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</si>
  <si>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</si>
  <si>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</si>
  <si>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</si>
  <si>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</si>
  <si>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</si>
  <si>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</si>
  <si>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</si>
  <si>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</si>
  <si>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</si>
  <si>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</si>
  <si>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</si>
  <si>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</si>
  <si>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</si>
  <si>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</si>
  <si>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</si>
  <si>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</si>
  <si>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</si>
  <si>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</si>
  <si>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</si>
  <si>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</si>
  <si>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</si>
  <si>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</si>
  <si>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</si>
  <si>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</si>
  <si>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</si>
  <si>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</si>
  <si>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</si>
  <si>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</si>
  <si>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</si>
  <si>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</si>
  <si>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</si>
  <si>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</si>
  <si>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</si>
  <si>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</si>
  <si>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</si>
  <si>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</si>
  <si>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</si>
  <si>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</si>
  <si>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</si>
  <si>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</si>
  <si>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</si>
  <si>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</si>
  <si>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</si>
  <si>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</si>
  <si>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</si>
  <si>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</si>
  <si>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</si>
  <si>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</si>
  <si>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</si>
  <si>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</si>
  <si>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</si>
  <si>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</si>
  <si>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</si>
  <si>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</si>
  <si>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</si>
  <si>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</si>
  <si>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</si>
  <si>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</si>
  <si>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</si>
  <si>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</si>
  <si>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</si>
  <si>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</si>
  <si>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</si>
  <si>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</si>
  <si>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</si>
  <si>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</si>
  <si>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</si>
  <si>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</si>
  <si>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</si>
  <si>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</si>
  <si>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</si>
  <si>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</si>
  <si>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</si>
  <si>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</si>
  <si>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</si>
  <si>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</si>
  <si>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</si>
  <si>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</si>
  <si>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</si>
  <si>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</si>
  <si>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</si>
  <si>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</si>
  <si>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</si>
  <si>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</si>
  <si>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</si>
  <si>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</si>
  <si>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</si>
  <si>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</si>
  <si>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</si>
  <si>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</si>
  <si>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</si>
  <si>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</si>
  <si>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</si>
  <si>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</si>
  <si>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</si>
  <si>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</si>
  <si>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</si>
  <si>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</si>
  <si>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</si>
  <si>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</si>
  <si>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</si>
  <si>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</si>
  <si>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</si>
  <si>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</si>
  <si>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</si>
  <si>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</si>
  <si>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</si>
  <si>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</si>
  <si>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</si>
  <si>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</si>
  <si>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</si>
  <si>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</si>
  <si>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</si>
  <si>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</si>
  <si>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</si>
  <si>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</si>
  <si>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</si>
  <si>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</si>
  <si>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</si>
  <si>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</si>
  <si>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</si>
  <si>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</si>
  <si>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</si>
  <si>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</si>
  <si>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</si>
  <si>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</si>
  <si>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</si>
  <si>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</si>
  <si>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</si>
  <si>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</si>
  <si>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</si>
  <si>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</si>
  <si>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</si>
  <si>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</si>
  <si>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</si>
  <si>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</si>
  <si>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</si>
  <si>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</si>
  <si>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</si>
  <si>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</si>
  <si>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</si>
  <si>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</si>
  <si>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</si>
  <si>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</si>
  <si>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</si>
  <si>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</si>
  <si>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</si>
  <si>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</si>
  <si>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</si>
  <si>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</si>
  <si>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</si>
  <si>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</si>
  <si>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</si>
  <si>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</si>
  <si>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</si>
  <si>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</si>
  <si>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</si>
  <si>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</si>
  <si>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</si>
  <si>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</si>
  <si>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</si>
  <si>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</si>
  <si>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</si>
  <si>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</si>
  <si>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</si>
  <si>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</si>
  <si>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</si>
  <si>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</si>
  <si>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</si>
  <si>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</si>
  <si>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</si>
  <si>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</si>
  <si>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</si>
  <si>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</si>
  <si>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</si>
  <si>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</si>
  <si>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</si>
  <si>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</si>
  <si>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</si>
  <si>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</si>
  <si>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</si>
  <si>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</si>
  <si>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</si>
  <si>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</si>
  <si>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</si>
  <si>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</si>
  <si>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</si>
  <si>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</si>
  <si>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</si>
  <si>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</si>
  <si>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</si>
  <si>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</si>
  <si>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</si>
  <si>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</si>
  <si>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</si>
  <si>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</si>
  <si>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</si>
  <si>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</si>
  <si>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</si>
  <si>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</si>
  <si>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</si>
  <si>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</si>
  <si>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</si>
  <si>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</si>
  <si>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</si>
  <si>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</si>
  <si>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</si>
  <si>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</si>
  <si>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</si>
  <si>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</si>
  <si>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</si>
  <si>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</si>
  <si>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</si>
  <si>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</si>
  <si>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</si>
  <si>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</si>
  <si>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</si>
  <si>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</si>
  <si>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</si>
  <si>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</si>
  <si>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</si>
  <si>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</si>
  <si>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</si>
  <si>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</si>
  <si>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</si>
  <si>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</si>
  <si>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</si>
  <si>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</si>
  <si>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</si>
  <si>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</si>
  <si>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</si>
  <si>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</si>
  <si>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</si>
  <si>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</si>
  <si>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</si>
  <si>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</si>
  <si>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</si>
  <si>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</si>
  <si>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</si>
  <si>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</si>
  <si>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</si>
  <si>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</si>
  <si>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</si>
  <si>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</si>
  <si>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</si>
  <si>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</si>
  <si>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</si>
  <si>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</si>
  <si>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</si>
  <si>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</si>
  <si>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</si>
  <si>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</si>
  <si>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</si>
  <si>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</si>
  <si>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</si>
  <si>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</si>
  <si>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</si>
  <si>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</si>
  <si>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</si>
  <si>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</si>
  <si>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</si>
  <si>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</si>
  <si>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</si>
  <si>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</si>
  <si>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</si>
  <si>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</si>
  <si>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</si>
  <si>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</si>
  <si>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</si>
  <si>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</si>
  <si>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</si>
  <si>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</si>
  <si>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</si>
  <si>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</si>
  <si>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</si>
  <si>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</si>
  <si>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</si>
  <si>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</si>
  <si>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</si>
  <si>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</si>
  <si>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</si>
  <si>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</si>
  <si>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</si>
  <si>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</si>
  <si>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</si>
  <si>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</si>
  <si>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</si>
  <si>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</si>
  <si>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</si>
  <si>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</si>
  <si>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</si>
  <si>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</si>
  <si>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</si>
  <si>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</si>
  <si>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</si>
  <si>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</si>
  <si>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</si>
  <si>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</si>
  <si>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</si>
  <si>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</si>
  <si>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</si>
  <si>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</si>
  <si>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</si>
  <si>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</si>
  <si>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</si>
  <si>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</si>
  <si>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</si>
  <si>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WPB-242548</t>
  </si>
  <si>
    <t>WPB-242343</t>
  </si>
  <si>
    <t>FY21 CSTAG Training</t>
  </si>
  <si>
    <t>TSIA deducted 07/21</t>
  </si>
  <si>
    <t>Unused FY21 TSIA Funds</t>
  </si>
  <si>
    <t>Unused FY21 TSIA add'l adj</t>
  </si>
  <si>
    <t>WPB-245543</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</si>
  <si>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</si>
  <si>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</si>
  <si>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</si>
  <si>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</si>
  <si>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</si>
  <si>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</si>
  <si>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</si>
  <si>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</si>
  <si>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</si>
  <si>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</si>
  <si>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</si>
  <si>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</si>
  <si>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</si>
  <si>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</si>
  <si>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</si>
  <si>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WPB-255860</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</si>
  <si>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</si>
  <si>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</si>
  <si>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</si>
  <si>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</si>
  <si>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</si>
  <si>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</si>
  <si>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</si>
  <si>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</si>
  <si>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</si>
  <si>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</si>
  <si>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</si>
  <si>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</si>
  <si>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</si>
  <si>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</si>
  <si>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</si>
  <si>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</si>
  <si>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</si>
  <si>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</si>
  <si>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</si>
  <si>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</si>
  <si>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</si>
  <si>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</si>
  <si>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</si>
  <si>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</si>
  <si>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</si>
  <si>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</si>
  <si>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</si>
  <si>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</si>
  <si>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</si>
  <si>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</si>
  <si>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</si>
  <si>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</si>
  <si>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</si>
  <si>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</si>
  <si>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</si>
  <si>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</si>
  <si>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</si>
  <si>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</si>
  <si>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</si>
  <si>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</si>
  <si>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</si>
  <si>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</si>
  <si>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</si>
  <si>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</si>
  <si>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</si>
  <si>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</si>
  <si>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</si>
  <si>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</si>
  <si>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</si>
  <si>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</si>
  <si>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</si>
  <si>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</si>
  <si>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</si>
  <si>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</si>
  <si>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</si>
  <si>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</si>
  <si>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</si>
  <si>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</si>
  <si>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</si>
  <si>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</si>
  <si>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</si>
  <si>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</si>
  <si>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</si>
  <si>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</si>
  <si>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</si>
  <si>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</si>
  <si>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</si>
  <si>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</si>
  <si>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</si>
  <si>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</si>
  <si>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</si>
  <si>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</si>
  <si>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</si>
  <si>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</si>
  <si>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</si>
  <si>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</si>
  <si>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</si>
  <si>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</si>
  <si>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</si>
  <si>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WPB-267569</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</si>
  <si>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</si>
  <si>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</si>
  <si>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</si>
  <si>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</si>
  <si>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</si>
  <si>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</si>
  <si>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</si>
  <si>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</si>
  <si>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</si>
  <si>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</si>
  <si>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</si>
  <si>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</si>
  <si>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</si>
  <si>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</si>
  <si>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</si>
  <si>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</si>
  <si>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</si>
  <si>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</si>
  <si>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</si>
  <si>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</si>
  <si>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</si>
  <si>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</si>
  <si>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</si>
  <si>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</si>
  <si>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</si>
  <si>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</si>
  <si>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</si>
  <si>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</si>
  <si>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</si>
  <si>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</si>
  <si>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</si>
  <si>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</si>
  <si>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</si>
  <si>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</si>
  <si>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</si>
  <si>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Aug 2023</t>
  </si>
  <si>
    <t>Based on the FLDOE 2023-24 FEFP Second Calculation</t>
  </si>
  <si>
    <t>FTE AUG 23</t>
  </si>
  <si>
    <r>
      <t>Aug</t>
    </r>
    <r>
      <rPr>
        <b/>
        <sz val="10"/>
        <color indexed="12"/>
        <rFont val="Calibri"/>
        <family val="2"/>
      </rPr>
      <t xml:space="preserve"> 2023 - </t>
    </r>
    <r>
      <rPr>
        <b/>
        <sz val="10"/>
        <rFont val="Calibri"/>
        <family val="2"/>
      </rPr>
      <t xml:space="preserve">FY </t>
    </r>
    <r>
      <rPr>
        <b/>
        <sz val="10"/>
        <color indexed="12"/>
        <rFont val="Calibri"/>
        <family val="2"/>
      </rPr>
      <t xml:space="preserve">2024 </t>
    </r>
    <r>
      <rPr>
        <b/>
        <sz val="10"/>
        <rFont val="Calibri"/>
        <family val="2"/>
      </rPr>
      <t>Charter School FTE Payment</t>
    </r>
  </si>
  <si>
    <r>
      <rPr>
        <b/>
        <sz val="10"/>
        <rFont val="Wingdings 2"/>
        <family val="1"/>
        <charset val="2"/>
      </rPr>
      <t></t>
    </r>
    <r>
      <rPr>
        <b/>
        <sz val="10"/>
        <rFont val="Calibri"/>
        <family val="2"/>
      </rPr>
      <t xml:space="preserve"> </t>
    </r>
    <r>
      <rPr>
        <b/>
        <sz val="10"/>
        <rFont val="Calibri"/>
        <family val="2"/>
        <scheme val="minor"/>
      </rPr>
      <t>Item 1 slightly increased each charter school's August payment.</t>
    </r>
  </si>
  <si>
    <r>
      <rPr>
        <b/>
        <sz val="10"/>
        <rFont val="Wingdings 2"/>
        <family val="1"/>
        <charset val="2"/>
      </rPr>
      <t></t>
    </r>
    <r>
      <rPr>
        <b/>
        <sz val="10"/>
        <rFont val="Calibri"/>
        <family val="2"/>
      </rPr>
      <t xml:space="preserve"> </t>
    </r>
    <r>
      <rPr>
        <b/>
        <sz val="10"/>
        <rFont val="Calibri"/>
        <family val="2"/>
        <scheme val="minor"/>
      </rPr>
      <t>Item 3 decreased each charter school's August payment.</t>
    </r>
  </si>
  <si>
    <t>1. The Aug 2023 FEFP payments are calculated based on the FLDOE's 2023-24 FEFP Second Calculation which was issued after the</t>
  </si>
  <si>
    <t>July payments had been made.</t>
  </si>
  <si>
    <t>2. The FDOE revised the 2023-2024 Charter School Revenue Estimate Worksheet based on the 2023-2024 FEFP Conference</t>
  </si>
  <si>
    <t>Calculation (First Calculation) after the July 2023 charter school FEFP payments were made.  The revised Revenue Estimate</t>
  </si>
  <si>
    <t>Worksheet changed the calculation of the ESE Guaranteed Allocation back to how it was calculated in the prior fiscal year</t>
  </si>
  <si>
    <t>3. In the July revenue calculations paid last month, Item 1B. on the revenue calculation sheet (Classroom Teacher &amp; Other</t>
  </si>
  <si>
    <t>the TSIA for the administrative fee calculation.</t>
  </si>
  <si>
    <t xml:space="preserve">Instructional Personnel Salary Increase (TSIA)) was inadverently included in the total revenue amount before backing out </t>
  </si>
  <si>
    <t>The TSIA in Item 1B is already included in Item 1A. 2023-24 FEFP State and Local Funding. Item 1B is shown on the revenue</t>
  </si>
  <si>
    <t>estimate sheet to know how much TSIA should be deducted from total revenue when calculating the administrative fees.</t>
  </si>
  <si>
    <t>4. Charter School FEFP August payments changed for each school, compared to the July payments, due to the three items</t>
  </si>
  <si>
    <t>discussed above.</t>
  </si>
  <si>
    <t>ESE FTE counts used in calcuating Item 2., the ESE Guaranteed Allocation.</t>
  </si>
  <si>
    <r>
      <t></t>
    </r>
    <r>
      <rPr>
        <b/>
        <sz val="10"/>
        <rFont val="Wingdings 2"/>
        <family val="1"/>
        <charset val="2"/>
      </rPr>
      <t></t>
    </r>
    <r>
      <rPr>
        <b/>
        <sz val="10"/>
        <rFont val="Calibri"/>
        <family val="2"/>
        <scheme val="minor"/>
      </rPr>
      <t xml:space="preserve"> Item 2 either increased or decreased each charter school's August payment depending on the make up of the school's</t>
    </r>
  </si>
  <si>
    <t>WPB-270698</t>
  </si>
  <si>
    <t>WPB-270431</t>
  </si>
  <si>
    <t>WPB-270202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</si>
</sst>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50"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0"/>
      <name val="Wingdings 2"/>
      <family val="1"/>
      <charset val="2"/>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2">
    <xf numFmtId="0" fontId="0" fillId="0" borderId="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165"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0" fillId="0" borderId="0"/>
    <xf numFmtId="9" fontId="1" fillId="0" borderId="0" applyFont="0" applyFill="0" applyBorder="0" applyAlignment="0" applyProtection="0"/>
    <xf numFmtId="9" fontId="10" fillId="0" borderId="0" applyFont="0" applyFill="0" applyBorder="0" applyAlignment="0" applyProtection="0"/>
  </cellStyleXfs>
  <cellXfs count="629">
    <xf numFmtId="0" fontId="0" fillId="0" borderId="0" xfId="0"/>
    <xf numFmtId="0" fontId="11" fillId="0" borderId="0" xfId="0" quotePrefix="1" applyFont="1" applyAlignment="1">
      <alignment horizontal="left"/>
    </xf>
    <xf numFmtId="0" fontId="11" fillId="0" borderId="0" xfId="0" applyFont="1"/>
    <xf numFmtId="0" fontId="12" fillId="0" borderId="0" xfId="0" applyFont="1"/>
    <xf numFmtId="4" fontId="13" fillId="0" borderId="0" xfId="0" applyNumberFormat="1" applyFont="1"/>
    <xf numFmtId="4" fontId="13" fillId="2" borderId="0" xfId="0" applyNumberFormat="1" applyFont="1" applyFill="1"/>
    <xf numFmtId="4" fontId="13" fillId="2" borderId="0" xfId="0" applyNumberFormat="1" applyFont="1" applyFill="1" applyAlignment="1">
      <alignment horizontal="left"/>
    </xf>
    <xf numFmtId="0" fontId="14" fillId="0" borderId="0" xfId="0" applyFont="1" applyAlignment="1">
      <alignment horizontal="center"/>
    </xf>
    <xf numFmtId="7" fontId="15" fillId="0" borderId="0" xfId="0" applyNumberFormat="1" applyFont="1" applyAlignment="1">
      <alignment horizontal="center"/>
    </xf>
    <xf numFmtId="168" fontId="12" fillId="0" borderId="0" xfId="0" applyNumberFormat="1" applyFont="1" applyAlignment="1">
      <alignment wrapText="1"/>
    </xf>
    <xf numFmtId="4" fontId="12" fillId="0" borderId="0" xfId="0" applyNumberFormat="1" applyFont="1" applyAlignment="1">
      <alignment horizontal="center" wrapText="1"/>
    </xf>
    <xf numFmtId="164" fontId="12" fillId="0" borderId="0" xfId="6" applyFont="1" applyBorder="1" applyAlignment="1">
      <alignment horizontal="center" wrapText="1"/>
    </xf>
    <xf numFmtId="0" fontId="14" fillId="2" borderId="0" xfId="0" applyFont="1" applyFill="1" applyAlignment="1">
      <alignment horizontal="center"/>
    </xf>
    <xf numFmtId="7" fontId="15" fillId="2" borderId="0" xfId="0" applyNumberFormat="1" applyFont="1" applyFill="1" applyAlignment="1">
      <alignment horizontal="center"/>
    </xf>
    <xf numFmtId="168" fontId="12" fillId="2" borderId="0" xfId="0" applyNumberFormat="1" applyFont="1" applyFill="1" applyAlignment="1">
      <alignment wrapText="1"/>
    </xf>
    <xf numFmtId="4" fontId="12" fillId="2" borderId="0" xfId="0" applyNumberFormat="1" applyFont="1" applyFill="1" applyAlignment="1">
      <alignment horizontal="center" wrapText="1"/>
    </xf>
    <xf numFmtId="164" fontId="12" fillId="2" borderId="0" xfId="6" applyFont="1" applyFill="1" applyBorder="1" applyAlignment="1">
      <alignment horizontal="center" wrapText="1"/>
    </xf>
    <xf numFmtId="4" fontId="12" fillId="0" borderId="1" xfId="0" applyNumberFormat="1" applyFont="1" applyBorder="1" applyAlignment="1">
      <alignment horizontal="center" wrapText="1"/>
    </xf>
    <xf numFmtId="4" fontId="12" fillId="2" borderId="1" xfId="0" applyNumberFormat="1" applyFont="1" applyFill="1" applyBorder="1" applyAlignment="1">
      <alignment horizontal="center" wrapText="1"/>
    </xf>
    <xf numFmtId="164" fontId="16" fillId="2" borderId="1" xfId="6" applyFont="1" applyFill="1" applyBorder="1" applyAlignment="1">
      <alignment horizontal="center" wrapText="1"/>
    </xf>
    <xf numFmtId="4" fontId="12" fillId="0" borderId="1" xfId="0" quotePrefix="1" applyNumberFormat="1" applyFont="1" applyBorder="1" applyAlignment="1">
      <alignment horizontal="center"/>
    </xf>
    <xf numFmtId="164" fontId="12" fillId="0" borderId="1" xfId="6" quotePrefix="1" applyFont="1" applyBorder="1" applyAlignment="1">
      <alignment horizontal="center"/>
    </xf>
    <xf numFmtId="4" fontId="12" fillId="2" borderId="1" xfId="0" quotePrefix="1" applyNumberFormat="1" applyFont="1" applyFill="1" applyBorder="1" applyAlignment="1">
      <alignment horizontal="center"/>
    </xf>
    <xf numFmtId="164" fontId="12" fillId="2" borderId="1" xfId="6" quotePrefix="1" applyFont="1" applyFill="1" applyBorder="1" applyAlignment="1">
      <alignment horizontal="center"/>
    </xf>
    <xf numFmtId="170" fontId="12" fillId="0" borderId="0" xfId="6" applyNumberFormat="1" applyFont="1" applyBorder="1" applyAlignment="1">
      <alignment horizontal="center"/>
    </xf>
    <xf numFmtId="170" fontId="12" fillId="2" borderId="0" xfId="6" applyNumberFormat="1" applyFont="1" applyFill="1" applyBorder="1" applyAlignment="1">
      <alignment horizontal="center"/>
    </xf>
    <xf numFmtId="0" fontId="12" fillId="0" borderId="0" xfId="0" applyFont="1" applyAlignment="1">
      <alignment horizontal="right"/>
    </xf>
    <xf numFmtId="2" fontId="12" fillId="0" borderId="0" xfId="0" applyNumberFormat="1" applyFont="1" applyAlignment="1">
      <alignment horizontal="center"/>
    </xf>
    <xf numFmtId="0" fontId="12" fillId="2" borderId="0" xfId="0" applyFont="1" applyFill="1" applyAlignment="1">
      <alignment horizontal="right"/>
    </xf>
    <xf numFmtId="2" fontId="17" fillId="2" borderId="0" xfId="0" applyNumberFormat="1" applyFont="1" applyFill="1" applyAlignment="1">
      <alignment horizontal="center"/>
    </xf>
    <xf numFmtId="2" fontId="12" fillId="2" borderId="0" xfId="0" applyNumberFormat="1" applyFont="1" applyFill="1" applyAlignment="1">
      <alignment horizontal="center"/>
    </xf>
    <xf numFmtId="164" fontId="16" fillId="0" borderId="1" xfId="6" applyFont="1" applyBorder="1" applyAlignment="1">
      <alignment horizontal="center" wrapText="1"/>
    </xf>
    <xf numFmtId="169" fontId="12" fillId="0" borderId="0" xfId="0" applyNumberFormat="1" applyFont="1" applyAlignment="1">
      <alignment horizontal="right"/>
    </xf>
    <xf numFmtId="169" fontId="12" fillId="2" borderId="0" xfId="0" applyNumberFormat="1" applyFont="1" applyFill="1" applyAlignment="1">
      <alignment horizontal="right"/>
    </xf>
    <xf numFmtId="169" fontId="17" fillId="0" borderId="0" xfId="0" applyNumberFormat="1" applyFont="1" applyAlignment="1">
      <alignment horizontal="right"/>
    </xf>
    <xf numFmtId="169" fontId="17" fillId="2" borderId="0" xfId="0" applyNumberFormat="1" applyFont="1" applyFill="1" applyAlignment="1">
      <alignment horizontal="right"/>
    </xf>
    <xf numFmtId="0" fontId="12" fillId="0" borderId="1" xfId="0" applyFont="1" applyBorder="1"/>
    <xf numFmtId="0" fontId="12" fillId="0" borderId="0" xfId="0" applyFont="1" applyAlignment="1">
      <alignment horizontal="center"/>
    </xf>
    <xf numFmtId="0" fontId="12" fillId="2" borderId="0" xfId="0" applyFont="1" applyFill="1" applyAlignment="1">
      <alignment horizontal="center"/>
    </xf>
    <xf numFmtId="0" fontId="12" fillId="0" borderId="0" xfId="0" quotePrefix="1" applyFont="1" applyAlignment="1">
      <alignment horizontal="center"/>
    </xf>
    <xf numFmtId="0" fontId="12" fillId="2" borderId="0" xfId="0" quotePrefix="1" applyFont="1" applyFill="1" applyAlignment="1">
      <alignment horizontal="center"/>
    </xf>
    <xf numFmtId="4" fontId="17" fillId="2" borderId="1" xfId="0" applyNumberFormat="1" applyFont="1" applyFill="1" applyBorder="1" applyAlignment="1">
      <alignment horizontal="center"/>
    </xf>
    <xf numFmtId="0" fontId="14" fillId="0" borderId="0" xfId="0" quotePrefix="1" applyFont="1" applyAlignment="1">
      <alignment horizontal="center"/>
    </xf>
    <xf numFmtId="4" fontId="12" fillId="0" borderId="0" xfId="0" quotePrefix="1" applyNumberFormat="1" applyFont="1" applyAlignment="1">
      <alignment horizontal="center"/>
    </xf>
    <xf numFmtId="4" fontId="12" fillId="2" borderId="0" xfId="0" quotePrefix="1" applyNumberFormat="1" applyFont="1" applyFill="1" applyAlignment="1">
      <alignment horizontal="center"/>
    </xf>
    <xf numFmtId="0" fontId="12" fillId="2" borderId="0" xfId="0" applyFont="1" applyFill="1" applyAlignment="1">
      <alignment horizontal="left"/>
    </xf>
    <xf numFmtId="169" fontId="12" fillId="0" borderId="0" xfId="0" applyNumberFormat="1" applyFont="1" applyAlignment="1">
      <alignment horizontal="center"/>
    </xf>
    <xf numFmtId="169" fontId="12" fillId="2" borderId="0" xfId="0" applyNumberFormat="1" applyFont="1" applyFill="1" applyAlignment="1">
      <alignment horizontal="center"/>
    </xf>
    <xf numFmtId="4" fontId="12" fillId="2" borderId="0" xfId="0" applyNumberFormat="1" applyFont="1" applyFill="1" applyAlignment="1">
      <alignment horizontal="center"/>
    </xf>
    <xf numFmtId="16" fontId="12" fillId="0" borderId="0" xfId="0" quotePrefix="1" applyNumberFormat="1" applyFont="1" applyAlignment="1">
      <alignment horizontal="right"/>
    </xf>
    <xf numFmtId="16" fontId="12" fillId="2" borderId="0" xfId="0" quotePrefix="1" applyNumberFormat="1" applyFont="1" applyFill="1" applyAlignment="1">
      <alignment horizontal="right"/>
    </xf>
    <xf numFmtId="0" fontId="12" fillId="2" borderId="0" xfId="0" applyFont="1" applyFill="1"/>
    <xf numFmtId="0" fontId="12" fillId="0" borderId="0" xfId="0" quotePrefix="1" applyFont="1" applyAlignment="1">
      <alignment horizontal="right"/>
    </xf>
    <xf numFmtId="0" fontId="12" fillId="2" borderId="0" xfId="0" quotePrefix="1" applyFont="1" applyFill="1" applyAlignment="1">
      <alignment horizontal="right"/>
    </xf>
    <xf numFmtId="169" fontId="12" fillId="2" borderId="2" xfId="0" applyNumberFormat="1" applyFont="1" applyFill="1" applyBorder="1" applyAlignment="1">
      <alignment horizontal="center"/>
    </xf>
    <xf numFmtId="165" fontId="12" fillId="0" borderId="0" xfId="4" applyFont="1" applyBorder="1" applyAlignment="1">
      <alignment horizontal="right"/>
    </xf>
    <xf numFmtId="165" fontId="12" fillId="2" borderId="0" xfId="4" applyFont="1" applyFill="1" applyBorder="1" applyAlignment="1">
      <alignment horizontal="right"/>
    </xf>
    <xf numFmtId="169" fontId="12" fillId="2" borderId="3" xfId="0" applyNumberFormat="1" applyFont="1" applyFill="1" applyBorder="1" applyAlignment="1">
      <alignment horizontal="center"/>
    </xf>
    <xf numFmtId="38" fontId="12" fillId="2" borderId="0" xfId="0" quotePrefix="1" applyNumberFormat="1" applyFont="1" applyFill="1"/>
    <xf numFmtId="0" fontId="12" fillId="0" borderId="1" xfId="0" applyFont="1" applyBorder="1" applyAlignment="1">
      <alignment horizontal="center"/>
    </xf>
    <xf numFmtId="0" fontId="12" fillId="2" borderId="1" xfId="0" applyFont="1" applyFill="1" applyBorder="1" applyAlignment="1">
      <alignment horizontal="center"/>
    </xf>
    <xf numFmtId="7" fontId="12" fillId="3" borderId="0" xfId="0" applyNumberFormat="1" applyFont="1" applyFill="1"/>
    <xf numFmtId="7" fontId="12" fillId="2" borderId="0" xfId="0" applyNumberFormat="1" applyFont="1" applyFill="1"/>
    <xf numFmtId="7" fontId="12" fillId="3" borderId="1" xfId="0" applyNumberFormat="1" applyFont="1" applyFill="1" applyBorder="1"/>
    <xf numFmtId="7" fontId="12" fillId="2" borderId="1" xfId="0" applyNumberFormat="1" applyFont="1" applyFill="1" applyBorder="1"/>
    <xf numFmtId="0" fontId="18" fillId="0" borderId="0" xfId="0" applyFont="1"/>
    <xf numFmtId="0" fontId="18" fillId="2" borderId="0" xfId="0" applyFont="1" applyFill="1"/>
    <xf numFmtId="170" fontId="12" fillId="2" borderId="3" xfId="0" applyNumberFormat="1" applyFont="1" applyFill="1" applyBorder="1"/>
    <xf numFmtId="3" fontId="12" fillId="0" borderId="0" xfId="0" quotePrefix="1" applyNumberFormat="1" applyFont="1" applyAlignment="1">
      <alignment horizontal="center"/>
    </xf>
    <xf numFmtId="0" fontId="12" fillId="0" borderId="0" xfId="0" applyFont="1" applyAlignment="1">
      <alignment horizontal="left"/>
    </xf>
    <xf numFmtId="0" fontId="18" fillId="4" borderId="4" xfId="0" applyFont="1" applyFill="1" applyBorder="1" applyAlignment="1">
      <alignment horizontal="center"/>
    </xf>
    <xf numFmtId="0" fontId="16" fillId="2" borderId="0" xfId="0" applyFont="1" applyFill="1"/>
    <xf numFmtId="0" fontId="16" fillId="2" borderId="0" xfId="0" quotePrefix="1" applyFont="1" applyFill="1" applyAlignment="1">
      <alignment horizontal="left"/>
    </xf>
    <xf numFmtId="0" fontId="16" fillId="0" borderId="0" xfId="0" applyFont="1" applyAlignment="1">
      <alignment horizontal="left"/>
    </xf>
    <xf numFmtId="171" fontId="12" fillId="0" borderId="0" xfId="0" applyNumberFormat="1" applyFont="1" applyAlignment="1">
      <alignment horizontal="left"/>
    </xf>
    <xf numFmtId="169" fontId="14" fillId="0" borderId="0" xfId="0" applyNumberFormat="1" applyFont="1"/>
    <xf numFmtId="0" fontId="12" fillId="0" borderId="0" xfId="0" applyFont="1" applyAlignment="1">
      <alignment vertical="center"/>
    </xf>
    <xf numFmtId="170" fontId="12" fillId="0" borderId="0" xfId="0" applyNumberFormat="1" applyFont="1" applyAlignment="1">
      <alignment vertical="center"/>
    </xf>
    <xf numFmtId="171" fontId="12" fillId="0" borderId="0" xfId="0" applyNumberFormat="1" applyFont="1" applyAlignment="1">
      <alignment horizontal="left" vertical="center"/>
    </xf>
    <xf numFmtId="0" fontId="14" fillId="0" borderId="0" xfId="0" applyFont="1" applyAlignment="1">
      <alignment vertical="center"/>
    </xf>
    <xf numFmtId="172" fontId="12" fillId="0" borderId="0" xfId="0" applyNumberFormat="1" applyFont="1"/>
    <xf numFmtId="0" fontId="12" fillId="0" borderId="0" xfId="0" quotePrefix="1" applyFont="1" applyAlignment="1">
      <alignment horizontal="left"/>
    </xf>
    <xf numFmtId="0" fontId="19" fillId="0" borderId="3" xfId="0" applyFont="1" applyBorder="1"/>
    <xf numFmtId="4" fontId="12" fillId="2" borderId="0" xfId="0" applyNumberFormat="1" applyFont="1" applyFill="1" applyAlignment="1">
      <alignment horizontal="left"/>
    </xf>
    <xf numFmtId="0" fontId="14" fillId="0" borderId="0" xfId="0" quotePrefix="1" applyFont="1"/>
    <xf numFmtId="0" fontId="14" fillId="0" borderId="0" xfId="0" quotePrefix="1" applyFont="1" applyAlignment="1">
      <alignment horizontal="right"/>
    </xf>
    <xf numFmtId="49" fontId="14" fillId="0" borderId="0" xfId="0" applyNumberFormat="1" applyFont="1"/>
    <xf numFmtId="49" fontId="14" fillId="0" borderId="0" xfId="0" applyNumberFormat="1" applyFont="1" applyProtection="1">
      <protection locked="0"/>
    </xf>
    <xf numFmtId="7" fontId="18" fillId="0" borderId="0" xfId="0" quotePrefix="1" applyNumberFormat="1" applyFont="1" applyAlignment="1">
      <alignment horizontal="center"/>
    </xf>
    <xf numFmtId="7" fontId="18" fillId="0" borderId="0" xfId="0" applyNumberFormat="1" applyFont="1" applyAlignment="1">
      <alignment horizontal="center"/>
    </xf>
    <xf numFmtId="0" fontId="18" fillId="0" borderId="1" xfId="0" applyFont="1" applyBorder="1" applyAlignment="1">
      <alignment horizontal="center"/>
    </xf>
    <xf numFmtId="0" fontId="19" fillId="0" borderId="1" xfId="0" quotePrefix="1" applyFont="1" applyBorder="1"/>
    <xf numFmtId="0" fontId="12" fillId="0" borderId="1" xfId="0" quotePrefix="1" applyFont="1" applyBorder="1" applyAlignment="1">
      <alignment horizontal="center"/>
    </xf>
    <xf numFmtId="172" fontId="12" fillId="0" borderId="1" xfId="0" applyNumberFormat="1" applyFont="1" applyBorder="1"/>
    <xf numFmtId="43" fontId="12" fillId="0" borderId="1" xfId="1" applyFont="1" applyBorder="1" applyAlignment="1"/>
    <xf numFmtId="167" fontId="12" fillId="2" borderId="1" xfId="0" applyNumberFormat="1" applyFont="1" applyFill="1" applyBorder="1"/>
    <xf numFmtId="170" fontId="12" fillId="2" borderId="1" xfId="6" applyNumberFormat="1" applyFont="1" applyFill="1" applyBorder="1" applyAlignment="1"/>
    <xf numFmtId="43" fontId="12" fillId="0" borderId="5" xfId="1" applyFont="1" applyBorder="1" applyAlignment="1"/>
    <xf numFmtId="170" fontId="12" fillId="2" borderId="5" xfId="6" applyNumberFormat="1" applyFont="1" applyFill="1" applyBorder="1" applyAlignment="1"/>
    <xf numFmtId="172" fontId="12" fillId="0" borderId="5" xfId="0" applyNumberFormat="1" applyFont="1" applyBorder="1"/>
    <xf numFmtId="169" fontId="12" fillId="2" borderId="5" xfId="0" applyNumberFormat="1" applyFont="1" applyFill="1" applyBorder="1"/>
    <xf numFmtId="43" fontId="12" fillId="0" borderId="0" xfId="1" applyFont="1" applyBorder="1" applyAlignment="1"/>
    <xf numFmtId="169" fontId="12" fillId="2" borderId="0" xfId="0" applyNumberFormat="1" applyFont="1" applyFill="1"/>
    <xf numFmtId="170" fontId="12" fillId="2" borderId="0" xfId="6" applyNumberFormat="1" applyFont="1" applyFill="1" applyBorder="1" applyAlignment="1"/>
    <xf numFmtId="169" fontId="12" fillId="0" borderId="0" xfId="0" applyNumberFormat="1" applyFont="1"/>
    <xf numFmtId="2" fontId="18" fillId="0" borderId="1" xfId="0" applyNumberFormat="1" applyFont="1" applyBorder="1"/>
    <xf numFmtId="2" fontId="12" fillId="0" borderId="0" xfId="0" applyNumberFormat="1" applyFont="1"/>
    <xf numFmtId="2" fontId="12" fillId="0" borderId="0" xfId="0" quotePrefix="1" applyNumberFormat="1" applyFont="1" applyAlignment="1">
      <alignment horizontal="right"/>
    </xf>
    <xf numFmtId="170" fontId="12" fillId="2" borderId="3" xfId="6" applyNumberFormat="1" applyFont="1" applyFill="1" applyBorder="1" applyAlignment="1"/>
    <xf numFmtId="2" fontId="12" fillId="0" borderId="0" xfId="0" quotePrefix="1" applyNumberFormat="1" applyFont="1" applyAlignment="1">
      <alignment horizontal="center"/>
    </xf>
    <xf numFmtId="43" fontId="20" fillId="4" borderId="1" xfId="1" applyFont="1" applyFill="1" applyBorder="1" applyAlignment="1"/>
    <xf numFmtId="43" fontId="12" fillId="0" borderId="6" xfId="1" applyFont="1" applyBorder="1" applyAlignment="1"/>
    <xf numFmtId="43" fontId="17" fillId="0" borderId="1" xfId="1" applyFont="1" applyBorder="1" applyAlignment="1">
      <alignment horizontal="center"/>
    </xf>
    <xf numFmtId="4" fontId="21" fillId="0" borderId="0" xfId="0" applyNumberFormat="1" applyFont="1"/>
    <xf numFmtId="166" fontId="17" fillId="0" borderId="0" xfId="0" applyNumberFormat="1" applyFont="1" applyAlignment="1">
      <alignment horizontal="center"/>
    </xf>
    <xf numFmtId="166" fontId="17" fillId="0" borderId="0" xfId="0" applyNumberFormat="1" applyFont="1"/>
    <xf numFmtId="43" fontId="12" fillId="0" borderId="0" xfId="1" applyFont="1" applyFill="1" applyBorder="1" applyAlignment="1"/>
    <xf numFmtId="41" fontId="12" fillId="0" borderId="0" xfId="1" applyNumberFormat="1" applyFont="1" applyFill="1" applyBorder="1" applyAlignment="1"/>
    <xf numFmtId="0" fontId="21" fillId="0" borderId="0" xfId="0" applyFont="1"/>
    <xf numFmtId="0" fontId="21" fillId="0" borderId="0" xfId="0" quotePrefix="1" applyFont="1" applyAlignment="1">
      <alignment horizontal="left"/>
    </xf>
    <xf numFmtId="4" fontId="12" fillId="0" borderId="1" xfId="0" applyNumberFormat="1" applyFont="1" applyBorder="1" applyAlignment="1">
      <alignment horizontal="center"/>
    </xf>
    <xf numFmtId="4" fontId="12" fillId="0" borderId="0" xfId="0" applyNumberFormat="1" applyFont="1"/>
    <xf numFmtId="165" fontId="12" fillId="0" borderId="0" xfId="4" quotePrefix="1" applyFont="1" applyBorder="1" applyAlignment="1">
      <alignment horizontal="right"/>
    </xf>
    <xf numFmtId="165" fontId="12" fillId="0" borderId="0" xfId="4" applyFont="1" applyBorder="1" applyAlignment="1"/>
    <xf numFmtId="165" fontId="12" fillId="0" borderId="7" xfId="4" quotePrefix="1" applyFont="1" applyBorder="1" applyAlignment="1">
      <alignment horizontal="right"/>
    </xf>
    <xf numFmtId="4" fontId="12" fillId="2" borderId="0" xfId="0" quotePrefix="1" applyNumberFormat="1" applyFont="1" applyFill="1" applyAlignment="1">
      <alignment horizontal="left"/>
    </xf>
    <xf numFmtId="4" fontId="12" fillId="0" borderId="0" xfId="0" applyNumberFormat="1" applyFont="1" applyAlignment="1">
      <alignment horizontal="center"/>
    </xf>
    <xf numFmtId="0" fontId="18" fillId="0" borderId="0" xfId="0" applyFont="1" applyAlignment="1">
      <alignment horizontal="right"/>
    </xf>
    <xf numFmtId="4" fontId="12" fillId="0" borderId="0" xfId="0" applyNumberFormat="1" applyFont="1" applyAlignment="1">
      <alignment horizontal="left"/>
    </xf>
    <xf numFmtId="38" fontId="12" fillId="0" borderId="0" xfId="0" quotePrefix="1" applyNumberFormat="1" applyFont="1"/>
    <xf numFmtId="0" fontId="18" fillId="2" borderId="0" xfId="0" applyFont="1" applyFill="1" applyAlignment="1">
      <alignment horizontal="right"/>
    </xf>
    <xf numFmtId="0" fontId="18" fillId="2" borderId="0" xfId="0" applyFont="1" applyFill="1" applyAlignment="1">
      <alignment horizontal="center"/>
    </xf>
    <xf numFmtId="170" fontId="12" fillId="2" borderId="8" xfId="0" applyNumberFormat="1" applyFont="1" applyFill="1" applyBorder="1"/>
    <xf numFmtId="43" fontId="12" fillId="0" borderId="8" xfId="1" applyFont="1" applyBorder="1" applyAlignment="1"/>
    <xf numFmtId="170" fontId="12" fillId="0" borderId="0" xfId="0" applyNumberFormat="1" applyFont="1"/>
    <xf numFmtId="0" fontId="14" fillId="0" borderId="0" xfId="0" applyFont="1"/>
    <xf numFmtId="43" fontId="12" fillId="4" borderId="1" xfId="1" applyFont="1" applyFill="1" applyBorder="1" applyAlignment="1"/>
    <xf numFmtId="7" fontId="12" fillId="0" borderId="0" xfId="0" applyNumberFormat="1" applyFont="1" applyAlignment="1">
      <alignment horizontal="center"/>
    </xf>
    <xf numFmtId="170" fontId="12" fillId="2" borderId="0" xfId="0" applyNumberFormat="1" applyFont="1" applyFill="1"/>
    <xf numFmtId="0" fontId="23" fillId="0" borderId="0" xfId="0" applyFont="1"/>
    <xf numFmtId="0" fontId="20" fillId="0" borderId="0" xfId="0" applyFont="1" applyAlignment="1">
      <alignment horizontal="center"/>
    </xf>
    <xf numFmtId="43" fontId="20" fillId="4" borderId="6" xfId="1" applyFont="1" applyFill="1" applyBorder="1" applyAlignment="1"/>
    <xf numFmtId="43" fontId="12" fillId="4" borderId="6" xfId="1" applyFont="1" applyFill="1" applyBorder="1" applyAlignment="1"/>
    <xf numFmtId="43" fontId="20" fillId="4" borderId="0" xfId="1" applyFont="1" applyFill="1" applyBorder="1" applyAlignment="1"/>
    <xf numFmtId="43" fontId="12" fillId="4" borderId="0" xfId="1" applyFont="1" applyFill="1" applyBorder="1" applyAlignment="1"/>
    <xf numFmtId="172" fontId="12" fillId="0" borderId="6" xfId="0" applyNumberFormat="1" applyFont="1" applyBorder="1"/>
    <xf numFmtId="0" fontId="12" fillId="0" borderId="0" xfId="0" applyFont="1" applyAlignment="1">
      <alignment horizontal="left" indent="1"/>
    </xf>
    <xf numFmtId="43" fontId="24" fillId="4" borderId="6" xfId="1" applyFont="1" applyFill="1" applyBorder="1" applyAlignment="1"/>
    <xf numFmtId="4" fontId="18" fillId="0" borderId="6" xfId="0" applyNumberFormat="1" applyFont="1" applyBorder="1"/>
    <xf numFmtId="43" fontId="24" fillId="4" borderId="1" xfId="1" applyFont="1" applyFill="1" applyBorder="1" applyAlignment="1"/>
    <xf numFmtId="43" fontId="24" fillId="4" borderId="0" xfId="1" applyFont="1" applyFill="1" applyBorder="1" applyAlignment="1"/>
    <xf numFmtId="4" fontId="18" fillId="0" borderId="0" xfId="0" applyNumberFormat="1" applyFont="1"/>
    <xf numFmtId="173" fontId="12" fillId="0" borderId="9" xfId="1" applyNumberFormat="1" applyFont="1" applyBorder="1" applyAlignment="1"/>
    <xf numFmtId="41" fontId="12" fillId="0" borderId="0" xfId="1" applyNumberFormat="1" applyFont="1" applyBorder="1" applyAlignment="1"/>
    <xf numFmtId="43" fontId="12" fillId="0" borderId="1" xfId="1" applyFont="1" applyFill="1" applyBorder="1" applyAlignment="1"/>
    <xf numFmtId="43" fontId="12" fillId="5" borderId="8" xfId="1" applyFont="1" applyFill="1" applyBorder="1" applyAlignment="1"/>
    <xf numFmtId="0" fontId="12" fillId="0" borderId="0" xfId="0" applyFont="1" applyAlignment="1">
      <alignment horizontal="left" indent="2"/>
    </xf>
    <xf numFmtId="0" fontId="12" fillId="0" borderId="0" xfId="7" applyFont="1"/>
    <xf numFmtId="0" fontId="25" fillId="0" borderId="0" xfId="9" applyFont="1"/>
    <xf numFmtId="0" fontId="20" fillId="0" borderId="10" xfId="9" applyFont="1" applyBorder="1" applyAlignment="1">
      <alignment horizontal="right"/>
    </xf>
    <xf numFmtId="0" fontId="18" fillId="0" borderId="11" xfId="9" applyFont="1" applyBorder="1"/>
    <xf numFmtId="0" fontId="12" fillId="0" borderId="0" xfId="9" applyFont="1"/>
    <xf numFmtId="0" fontId="26" fillId="0" borderId="0" xfId="9" applyFont="1"/>
    <xf numFmtId="0" fontId="18" fillId="0" borderId="1" xfId="9" applyFont="1" applyBorder="1" applyAlignment="1">
      <alignment horizontal="center"/>
    </xf>
    <xf numFmtId="0" fontId="26" fillId="0" borderId="10" xfId="9" applyFont="1" applyBorder="1"/>
    <xf numFmtId="0" fontId="26" fillId="0" borderId="11" xfId="9" applyFont="1" applyBorder="1" applyAlignment="1">
      <alignment horizontal="center"/>
    </xf>
    <xf numFmtId="44" fontId="25" fillId="0" borderId="0" xfId="9" applyNumberFormat="1" applyFont="1"/>
    <xf numFmtId="0" fontId="26" fillId="0" borderId="0" xfId="9" applyFont="1" applyAlignment="1">
      <alignment horizontal="right"/>
    </xf>
    <xf numFmtId="43" fontId="18" fillId="0" borderId="1" xfId="3" applyFont="1" applyBorder="1"/>
    <xf numFmtId="9" fontId="14" fillId="0" borderId="1" xfId="11" applyFont="1" applyBorder="1"/>
    <xf numFmtId="43" fontId="14" fillId="0" borderId="1" xfId="3" applyFont="1" applyBorder="1"/>
    <xf numFmtId="49" fontId="11" fillId="0" borderId="0" xfId="9" quotePrefix="1" applyNumberFormat="1" applyFont="1" applyAlignment="1">
      <alignment horizontal="left"/>
    </xf>
    <xf numFmtId="0" fontId="12" fillId="0" borderId="0" xfId="7" quotePrefix="1" applyFont="1" applyAlignment="1">
      <alignment horizontal="left"/>
    </xf>
    <xf numFmtId="0" fontId="26" fillId="0" borderId="0" xfId="9" quotePrefix="1" applyFont="1" applyAlignment="1">
      <alignment horizontal="left"/>
    </xf>
    <xf numFmtId="43" fontId="26" fillId="0" borderId="5" xfId="1" applyFont="1" applyBorder="1"/>
    <xf numFmtId="43" fontId="12" fillId="0" borderId="0" xfId="1" quotePrefix="1" applyFont="1" applyBorder="1" applyAlignment="1"/>
    <xf numFmtId="43" fontId="26" fillId="0" borderId="0" xfId="1" applyFont="1" applyBorder="1"/>
    <xf numFmtId="41" fontId="26" fillId="0" borderId="5" xfId="1" applyNumberFormat="1" applyFont="1" applyBorder="1"/>
    <xf numFmtId="41" fontId="26" fillId="0" borderId="0" xfId="1" applyNumberFormat="1" applyFont="1" applyBorder="1"/>
    <xf numFmtId="41" fontId="26" fillId="0" borderId="1" xfId="1" applyNumberFormat="1" applyFont="1" applyBorder="1"/>
    <xf numFmtId="0" fontId="20" fillId="0" borderId="5" xfId="9" applyFont="1" applyBorder="1" applyAlignment="1">
      <alignment horizontal="right"/>
    </xf>
    <xf numFmtId="0" fontId="26" fillId="0" borderId="5" xfId="9" applyFont="1" applyBorder="1"/>
    <xf numFmtId="43" fontId="18" fillId="0" borderId="0" xfId="3" applyFont="1" applyBorder="1"/>
    <xf numFmtId="43" fontId="25" fillId="0" borderId="0" xfId="1" applyFont="1"/>
    <xf numFmtId="0" fontId="26" fillId="0" borderId="0" xfId="9" quotePrefix="1" applyFont="1" applyAlignment="1">
      <alignment horizontal="left" indent="1"/>
    </xf>
    <xf numFmtId="0" fontId="25" fillId="0" borderId="0" xfId="9" quotePrefix="1" applyFont="1" applyAlignment="1">
      <alignment horizontal="left"/>
    </xf>
    <xf numFmtId="43" fontId="25" fillId="0" borderId="0" xfId="1" applyFont="1" applyBorder="1"/>
    <xf numFmtId="43" fontId="12" fillId="0" borderId="6" xfId="1" applyFont="1" applyFill="1" applyBorder="1" applyAlignment="1"/>
    <xf numFmtId="0" fontId="15" fillId="0" borderId="0" xfId="0" applyFont="1"/>
    <xf numFmtId="0" fontId="15" fillId="0" borderId="0" xfId="0" applyFont="1" applyAlignment="1">
      <alignment horizontal="left"/>
    </xf>
    <xf numFmtId="1" fontId="16" fillId="0" borderId="0" xfId="0" quotePrefix="1" applyNumberFormat="1" applyFont="1" applyAlignment="1">
      <alignment horizontal="left"/>
    </xf>
    <xf numFmtId="1" fontId="15" fillId="0" borderId="0" xfId="0" applyNumberFormat="1" applyFont="1" applyAlignment="1">
      <alignment horizontal="center"/>
    </xf>
    <xf numFmtId="0" fontId="15" fillId="0" borderId="0" xfId="0" applyFont="1" applyAlignment="1">
      <alignment horizontal="center"/>
    </xf>
    <xf numFmtId="1" fontId="16" fillId="0" borderId="4" xfId="0" applyNumberFormat="1" applyFont="1" applyBorder="1" applyAlignment="1">
      <alignment horizontal="center"/>
    </xf>
    <xf numFmtId="0" fontId="16" fillId="0" borderId="10" xfId="0" applyFont="1" applyBorder="1" applyAlignment="1">
      <alignment horizontal="center"/>
    </xf>
    <xf numFmtId="0" fontId="16" fillId="0" borderId="0" xfId="0" applyFont="1" applyAlignment="1">
      <alignment horizontal="center"/>
    </xf>
    <xf numFmtId="1" fontId="15" fillId="0" borderId="0" xfId="7" applyNumberFormat="1" applyFont="1" applyAlignment="1">
      <alignment horizontal="center"/>
    </xf>
    <xf numFmtId="0" fontId="15" fillId="0" borderId="0" xfId="0" quotePrefix="1" applyFont="1"/>
    <xf numFmtId="43" fontId="15" fillId="0" borderId="0" xfId="7" applyNumberFormat="1" applyFont="1"/>
    <xf numFmtId="0" fontId="16" fillId="4" borderId="0" xfId="0" applyFont="1" applyFill="1" applyAlignment="1">
      <alignment horizontal="center"/>
    </xf>
    <xf numFmtId="1" fontId="15" fillId="4" borderId="0" xfId="7" applyNumberFormat="1" applyFont="1" applyFill="1" applyAlignment="1">
      <alignment horizontal="center"/>
    </xf>
    <xf numFmtId="43" fontId="15" fillId="4" borderId="0" xfId="7" applyNumberFormat="1" applyFont="1" applyFill="1"/>
    <xf numFmtId="43" fontId="15" fillId="0" borderId="0" xfId="0" applyNumberFormat="1" applyFont="1"/>
    <xf numFmtId="43" fontId="15" fillId="0" borderId="9" xfId="0" applyNumberFormat="1" applyFont="1" applyBorder="1"/>
    <xf numFmtId="49" fontId="16" fillId="0" borderId="0" xfId="2" quotePrefix="1" applyNumberFormat="1" applyFont="1" applyAlignment="1">
      <alignment horizontal="left"/>
    </xf>
    <xf numFmtId="0" fontId="16" fillId="0" borderId="0" xfId="7" applyFont="1"/>
    <xf numFmtId="49" fontId="16" fillId="0" borderId="0" xfId="7" applyNumberFormat="1" applyFont="1" applyAlignment="1">
      <alignment horizontal="left"/>
    </xf>
    <xf numFmtId="49" fontId="16" fillId="0" borderId="0" xfId="2" applyNumberFormat="1" applyFont="1" applyAlignment="1">
      <alignment horizontal="left"/>
    </xf>
    <xf numFmtId="49" fontId="16" fillId="0" borderId="4" xfId="7" quotePrefix="1" applyNumberFormat="1" applyFont="1" applyBorder="1" applyAlignment="1">
      <alignment horizontal="center"/>
    </xf>
    <xf numFmtId="0" fontId="16" fillId="0" borderId="4" xfId="7" quotePrefix="1" applyFont="1" applyBorder="1" applyAlignment="1">
      <alignment horizontal="center"/>
    </xf>
    <xf numFmtId="49" fontId="27" fillId="0" borderId="0" xfId="7" quotePrefix="1" applyNumberFormat="1" applyFont="1" applyAlignment="1">
      <alignment horizontal="center" vertical="center"/>
    </xf>
    <xf numFmtId="177" fontId="27" fillId="0" borderId="0" xfId="7" quotePrefix="1" applyNumberFormat="1" applyFont="1" applyAlignment="1">
      <alignment horizontal="left"/>
    </xf>
    <xf numFmtId="177" fontId="27" fillId="0" borderId="0" xfId="7" applyNumberFormat="1" applyFont="1"/>
    <xf numFmtId="0" fontId="15" fillId="0" borderId="0" xfId="7" applyFont="1"/>
    <xf numFmtId="49" fontId="27" fillId="0" borderId="0" xfId="7" applyNumberFormat="1" applyFont="1" applyAlignment="1">
      <alignment horizontal="center" vertical="center"/>
    </xf>
    <xf numFmtId="0" fontId="15" fillId="0" borderId="0" xfId="7" quotePrefix="1" applyFont="1" applyAlignment="1">
      <alignment horizontal="left"/>
    </xf>
    <xf numFmtId="176" fontId="15" fillId="0" borderId="0" xfId="0" applyNumberFormat="1" applyFont="1"/>
    <xf numFmtId="1" fontId="16" fillId="0" borderId="0" xfId="0" quotePrefix="1" applyNumberFormat="1" applyFont="1"/>
    <xf numFmtId="1" fontId="15" fillId="0" borderId="0" xfId="0" applyNumberFormat="1" applyFont="1"/>
    <xf numFmtId="1" fontId="15" fillId="0" borderId="0" xfId="7" applyNumberFormat="1" applyFont="1"/>
    <xf numFmtId="1" fontId="15" fillId="4" borderId="0" xfId="7" applyNumberFormat="1" applyFont="1" applyFill="1"/>
    <xf numFmtId="1" fontId="16" fillId="0" borderId="10" xfId="0" applyNumberFormat="1" applyFont="1" applyBorder="1" applyAlignment="1">
      <alignment horizontal="center"/>
    </xf>
    <xf numFmtId="7" fontId="14" fillId="0" borderId="0" xfId="0" applyNumberFormat="1" applyFont="1" applyAlignment="1">
      <alignment horizontal="left"/>
    </xf>
    <xf numFmtId="169" fontId="14" fillId="0" borderId="0" xfId="0" applyNumberFormat="1" applyFont="1" applyAlignment="1">
      <alignment horizontal="center"/>
    </xf>
    <xf numFmtId="7" fontId="12" fillId="0" borderId="0" xfId="0" applyNumberFormat="1" applyFont="1"/>
    <xf numFmtId="7" fontId="12" fillId="0" borderId="1" xfId="0" applyNumberFormat="1" applyFont="1" applyBorder="1"/>
    <xf numFmtId="4" fontId="12" fillId="0" borderId="2" xfId="0" applyNumberFormat="1" applyFont="1" applyBorder="1"/>
    <xf numFmtId="4" fontId="13" fillId="0" borderId="2" xfId="0" applyNumberFormat="1" applyFont="1" applyBorder="1" applyAlignment="1">
      <alignment horizontal="left"/>
    </xf>
    <xf numFmtId="4" fontId="13" fillId="0" borderId="2" xfId="0" applyNumberFormat="1" applyFont="1" applyBorder="1"/>
    <xf numFmtId="1" fontId="15" fillId="4" borderId="0" xfId="7" applyNumberFormat="1" applyFont="1" applyFill="1" applyAlignment="1">
      <alignment horizontal="left" indent="1"/>
    </xf>
    <xf numFmtId="0" fontId="16" fillId="0" borderId="0" xfId="0" quotePrefix="1" applyFont="1" applyAlignment="1">
      <alignment horizontal="center"/>
    </xf>
    <xf numFmtId="1" fontId="15" fillId="0" borderId="0" xfId="7" applyNumberFormat="1" applyFont="1" applyAlignment="1">
      <alignment horizontal="left" indent="1"/>
    </xf>
    <xf numFmtId="0" fontId="15" fillId="0" borderId="0" xfId="0" quotePrefix="1" applyFont="1" applyAlignment="1">
      <alignment horizontal="left" indent="1"/>
    </xf>
    <xf numFmtId="0" fontId="15" fillId="4" borderId="0" xfId="0" quotePrefix="1" applyFont="1" applyFill="1" applyAlignment="1">
      <alignment horizontal="left" indent="1"/>
    </xf>
    <xf numFmtId="0" fontId="16" fillId="0" borderId="4" xfId="0" applyFont="1" applyBorder="1" applyAlignment="1">
      <alignment horizontal="center"/>
    </xf>
    <xf numFmtId="4" fontId="13" fillId="0" borderId="0" xfId="0" applyNumberFormat="1" applyFont="1" applyAlignment="1">
      <alignment horizontal="left"/>
    </xf>
    <xf numFmtId="4" fontId="12" fillId="0" borderId="2" xfId="0" applyNumberFormat="1" applyFont="1" applyBorder="1" applyAlignment="1">
      <alignment horizontal="left"/>
    </xf>
    <xf numFmtId="43" fontId="12" fillId="0" borderId="0" xfId="0" applyNumberFormat="1" applyFont="1"/>
    <xf numFmtId="1" fontId="28" fillId="0" borderId="0" xfId="0" quotePrefix="1" applyNumberFormat="1" applyFont="1" applyAlignment="1">
      <alignment horizontal="left"/>
    </xf>
    <xf numFmtId="43" fontId="15" fillId="0" borderId="0" xfId="1" applyFont="1"/>
    <xf numFmtId="43" fontId="16" fillId="0" borderId="0" xfId="1" quotePrefix="1" applyFont="1" applyFill="1" applyBorder="1" applyAlignment="1">
      <alignment horizontal="center"/>
    </xf>
    <xf numFmtId="43" fontId="15" fillId="0" borderId="0" xfId="1" applyFont="1" applyFill="1" applyBorder="1" applyAlignment="1"/>
    <xf numFmtId="0" fontId="15" fillId="0" borderId="0" xfId="0" quotePrefix="1" applyFont="1" applyAlignment="1">
      <alignment horizontal="left"/>
    </xf>
    <xf numFmtId="0" fontId="15" fillId="0" borderId="0" xfId="0" quotePrefix="1" applyFont="1" applyAlignment="1">
      <alignment horizontal="center"/>
    </xf>
    <xf numFmtId="0" fontId="16" fillId="0" borderId="0" xfId="0" quotePrefix="1" applyFont="1" applyAlignment="1">
      <alignment vertical="center"/>
    </xf>
    <xf numFmtId="41" fontId="20" fillId="0" borderId="0" xfId="1" applyNumberFormat="1" applyFont="1" applyFill="1" applyBorder="1"/>
    <xf numFmtId="43" fontId="20" fillId="0" borderId="1" xfId="1" quotePrefix="1" applyFont="1" applyBorder="1" applyAlignment="1"/>
    <xf numFmtId="43" fontId="24" fillId="0" borderId="0" xfId="9" applyNumberFormat="1" applyFont="1"/>
    <xf numFmtId="43" fontId="24" fillId="0" borderId="1" xfId="9" applyNumberFormat="1" applyFont="1" applyBorder="1"/>
    <xf numFmtId="0" fontId="14" fillId="0" borderId="0" xfId="0" quotePrefix="1" applyFont="1" applyAlignment="1">
      <alignment horizontal="left"/>
    </xf>
    <xf numFmtId="43" fontId="20" fillId="0" borderId="1" xfId="1" applyFont="1" applyBorder="1"/>
    <xf numFmtId="16" fontId="12" fillId="0" borderId="0" xfId="0" applyNumberFormat="1" applyFont="1"/>
    <xf numFmtId="0" fontId="16" fillId="0" borderId="0" xfId="0" applyFont="1"/>
    <xf numFmtId="0" fontId="16" fillId="0" borderId="0" xfId="0" quotePrefix="1" applyFont="1" applyAlignment="1">
      <alignment horizontal="left" indent="4"/>
    </xf>
    <xf numFmtId="0" fontId="20" fillId="0" borderId="0" xfId="0" quotePrefix="1" applyFont="1" applyAlignment="1">
      <alignment horizontal="left"/>
    </xf>
    <xf numFmtId="0" fontId="20" fillId="0" borderId="0" xfId="0" applyFont="1"/>
    <xf numFmtId="0" fontId="20" fillId="0" borderId="0" xfId="0" quotePrefix="1" applyFont="1" applyAlignment="1">
      <alignment horizontal="left" indent="4"/>
    </xf>
    <xf numFmtId="0" fontId="12" fillId="4" borderId="4" xfId="0" applyFont="1" applyFill="1" applyBorder="1" applyAlignment="1">
      <alignment horizontal="left"/>
    </xf>
    <xf numFmtId="0" fontId="12" fillId="4" borderId="4" xfId="0" applyFont="1" applyFill="1" applyBorder="1" applyAlignment="1">
      <alignment horizontal="center"/>
    </xf>
    <xf numFmtId="0" fontId="26" fillId="0" borderId="0" xfId="9" quotePrefix="1" applyFont="1" applyAlignment="1">
      <alignment horizontal="right"/>
    </xf>
    <xf numFmtId="43" fontId="29" fillId="0" borderId="0" xfId="1" applyFont="1"/>
    <xf numFmtId="0" fontId="29" fillId="0" borderId="0" xfId="0" applyFont="1"/>
    <xf numFmtId="1" fontId="15" fillId="0" borderId="0" xfId="7" quotePrefix="1" applyNumberFormat="1" applyFont="1" applyAlignment="1">
      <alignment horizontal="left"/>
    </xf>
    <xf numFmtId="1" fontId="15" fillId="4" borderId="0" xfId="7" quotePrefix="1" applyNumberFormat="1" applyFont="1" applyFill="1" applyAlignment="1">
      <alignment horizontal="left"/>
    </xf>
    <xf numFmtId="1" fontId="15" fillId="0" borderId="0" xfId="2" applyNumberFormat="1" applyFont="1" applyFill="1" applyBorder="1" applyAlignment="1">
      <alignment horizontal="center"/>
    </xf>
    <xf numFmtId="1" fontId="15" fillId="0" borderId="0" xfId="2" applyNumberFormat="1" applyFont="1" applyFill="1" applyBorder="1" applyAlignment="1"/>
    <xf numFmtId="1" fontId="15" fillId="0" borderId="0" xfId="2" quotePrefix="1" applyNumberFormat="1" applyFont="1" applyFill="1" applyBorder="1" applyAlignment="1">
      <alignment horizontal="left"/>
    </xf>
    <xf numFmtId="43" fontId="12" fillId="0" borderId="0" xfId="1" applyFont="1" applyBorder="1" applyAlignment="1">
      <alignment horizontal="center"/>
    </xf>
    <xf numFmtId="43" fontId="20" fillId="0" borderId="0" xfId="1" applyFont="1" applyBorder="1"/>
    <xf numFmtId="43" fontId="12" fillId="5" borderId="9" xfId="1" applyFont="1" applyFill="1" applyBorder="1" applyAlignment="1"/>
    <xf numFmtId="0" fontId="15" fillId="0" borderId="0" xfId="0" quotePrefix="1" applyFont="1" applyAlignment="1">
      <alignment horizontal="right"/>
    </xf>
    <xf numFmtId="43" fontId="16" fillId="0" borderId="4" xfId="1" quotePrefix="1" applyFont="1" applyFill="1" applyBorder="1" applyAlignment="1">
      <alignment horizontal="center"/>
    </xf>
    <xf numFmtId="43" fontId="20" fillId="0" borderId="1" xfId="1" applyFont="1" applyBorder="1" applyAlignment="1"/>
    <xf numFmtId="37" fontId="20" fillId="0" borderId="1" xfId="1" applyNumberFormat="1" applyFont="1" applyBorder="1" applyAlignment="1"/>
    <xf numFmtId="37" fontId="20" fillId="0" borderId="1" xfId="1" applyNumberFormat="1" applyFont="1" applyBorder="1" applyAlignment="1">
      <alignment horizontal="center"/>
    </xf>
    <xf numFmtId="43" fontId="20" fillId="0" borderId="1" xfId="1" applyFont="1" applyBorder="1" applyAlignment="1">
      <alignment horizontal="center"/>
    </xf>
    <xf numFmtId="37" fontId="20" fillId="0" borderId="0" xfId="1" applyNumberFormat="1" applyFont="1"/>
    <xf numFmtId="41" fontId="20" fillId="0" borderId="0" xfId="1" applyNumberFormat="1" applyFont="1" applyFill="1" applyBorder="1" applyAlignment="1"/>
    <xf numFmtId="49" fontId="15" fillId="0" borderId="0" xfId="0" quotePrefix="1" applyNumberFormat="1" applyFont="1" applyAlignment="1">
      <alignment horizontal="left" indent="1"/>
    </xf>
    <xf numFmtId="49" fontId="15" fillId="4" borderId="0" xfId="0" quotePrefix="1" applyNumberFormat="1" applyFont="1" applyFill="1"/>
    <xf numFmtId="49" fontId="15" fillId="4" borderId="0" xfId="0" quotePrefix="1" applyNumberFormat="1" applyFont="1" applyFill="1" applyAlignment="1">
      <alignment horizontal="left" indent="1"/>
    </xf>
    <xf numFmtId="49" fontId="15" fillId="4" borderId="0" xfId="7" applyNumberFormat="1" applyFont="1" applyFill="1" applyAlignment="1">
      <alignment horizontal="left" indent="1"/>
    </xf>
    <xf numFmtId="49" fontId="15" fillId="0" borderId="0" xfId="0" applyNumberFormat="1" applyFont="1"/>
    <xf numFmtId="0" fontId="12" fillId="0" borderId="0" xfId="0" quotePrefix="1" applyFont="1" applyAlignment="1">
      <alignment horizontal="left" indent="1"/>
    </xf>
    <xf numFmtId="49" fontId="20" fillId="0" borderId="0" xfId="7" applyNumberFormat="1" applyFont="1"/>
    <xf numFmtId="0" fontId="15" fillId="0" borderId="0" xfId="0" applyFont="1" applyAlignment="1">
      <alignment horizontal="right"/>
    </xf>
    <xf numFmtId="0" fontId="16" fillId="0" borderId="0" xfId="0" quotePrefix="1" applyFont="1" applyAlignment="1">
      <alignment horizontal="left" vertical="top"/>
    </xf>
    <xf numFmtId="0" fontId="11" fillId="0" borderId="0" xfId="0" quotePrefix="1" applyFont="1"/>
    <xf numFmtId="169" fontId="14" fillId="6" borderId="0" xfId="0" applyNumberFormat="1" applyFont="1" applyFill="1" applyAlignment="1">
      <alignment horizontal="center"/>
    </xf>
    <xf numFmtId="4" fontId="20" fillId="6" borderId="1" xfId="0" applyNumberFormat="1" applyFont="1" applyFill="1" applyBorder="1" applyAlignment="1">
      <alignment horizontal="center"/>
    </xf>
    <xf numFmtId="43" fontId="20" fillId="6" borderId="1" xfId="1" applyFont="1" applyFill="1" applyBorder="1" applyAlignment="1"/>
    <xf numFmtId="41" fontId="20" fillId="6" borderId="0" xfId="1" applyNumberFormat="1" applyFont="1" applyFill="1" applyBorder="1" applyAlignment="1"/>
    <xf numFmtId="175" fontId="20" fillId="6" borderId="0" xfId="0" applyNumberFormat="1" applyFont="1" applyFill="1"/>
    <xf numFmtId="38" fontId="20" fillId="6" borderId="0" xfId="0" quotePrefix="1" applyNumberFormat="1" applyFont="1" applyFill="1"/>
    <xf numFmtId="0" fontId="30" fillId="0" borderId="0" xfId="0" applyFont="1"/>
    <xf numFmtId="0" fontId="20" fillId="3" borderId="0" xfId="0" quotePrefix="1" applyFont="1" applyFill="1" applyAlignment="1">
      <alignment horizontal="left"/>
    </xf>
    <xf numFmtId="0" fontId="20" fillId="3" borderId="0" xfId="0" applyFont="1" applyFill="1"/>
    <xf numFmtId="16" fontId="15" fillId="0" borderId="0" xfId="0" applyNumberFormat="1" applyFont="1"/>
    <xf numFmtId="43" fontId="29" fillId="0" borderId="0" xfId="1" applyFont="1" applyFill="1"/>
    <xf numFmtId="43" fontId="15" fillId="0" borderId="0" xfId="1" applyFont="1" applyFill="1"/>
    <xf numFmtId="7" fontId="14" fillId="6" borderId="0" xfId="0" applyNumberFormat="1" applyFont="1" applyFill="1" applyAlignment="1">
      <alignment horizontal="left"/>
    </xf>
    <xf numFmtId="4" fontId="12" fillId="6" borderId="1" xfId="0" applyNumberFormat="1" applyFont="1" applyFill="1" applyBorder="1" applyAlignment="1">
      <alignment horizontal="center"/>
    </xf>
    <xf numFmtId="43" fontId="12" fillId="6" borderId="1" xfId="1" applyFont="1" applyFill="1" applyBorder="1" applyAlignment="1"/>
    <xf numFmtId="41" fontId="12" fillId="6" borderId="0" xfId="1" applyNumberFormat="1" applyFont="1" applyFill="1" applyBorder="1" applyAlignment="1"/>
    <xf numFmtId="4" fontId="12" fillId="6" borderId="0" xfId="0" applyNumberFormat="1" applyFont="1" applyFill="1" applyAlignment="1">
      <alignment horizontal="center"/>
    </xf>
    <xf numFmtId="38" fontId="12" fillId="6" borderId="0" xfId="0" quotePrefix="1" applyNumberFormat="1" applyFont="1" applyFill="1"/>
    <xf numFmtId="164" fontId="12" fillId="0" borderId="0" xfId="6" quotePrefix="1" applyFont="1" applyBorder="1" applyAlignment="1">
      <alignment horizontal="center" wrapText="1"/>
    </xf>
    <xf numFmtId="3" fontId="12" fillId="2" borderId="0" xfId="0" quotePrefix="1" applyNumberFormat="1" applyFont="1" applyFill="1"/>
    <xf numFmtId="0" fontId="8" fillId="0" borderId="0" xfId="0" quotePrefix="1" applyFont="1" applyAlignment="1">
      <alignment horizontal="left"/>
    </xf>
    <xf numFmtId="0" fontId="31" fillId="0" borderId="0" xfId="0" applyFont="1"/>
    <xf numFmtId="0" fontId="12" fillId="7" borderId="0" xfId="0" applyFont="1" applyFill="1"/>
    <xf numFmtId="0" fontId="12" fillId="7" borderId="0" xfId="0" applyFont="1" applyFill="1" applyAlignment="1">
      <alignment horizontal="left"/>
    </xf>
    <xf numFmtId="0" fontId="18" fillId="7" borderId="0" xfId="0" applyFont="1" applyFill="1"/>
    <xf numFmtId="43" fontId="12" fillId="7" borderId="0" xfId="1" applyFont="1" applyFill="1" applyBorder="1" applyAlignment="1"/>
    <xf numFmtId="49" fontId="15" fillId="0" borderId="0" xfId="7" applyNumberFormat="1" applyFont="1"/>
    <xf numFmtId="49" fontId="15" fillId="4" borderId="0" xfId="7" quotePrefix="1" applyNumberFormat="1" applyFont="1" applyFill="1" applyAlignment="1">
      <alignment horizontal="left" indent="1"/>
    </xf>
    <xf numFmtId="9" fontId="13" fillId="0" borderId="0" xfId="11" quotePrefix="1" applyFont="1" applyAlignment="1">
      <alignment horizontal="left"/>
    </xf>
    <xf numFmtId="0" fontId="31" fillId="0" borderId="3" xfId="0" quotePrefix="1" applyFont="1" applyBorder="1" applyAlignment="1">
      <alignment horizontal="center"/>
    </xf>
    <xf numFmtId="0" fontId="32" fillId="0" borderId="0" xfId="0" quotePrefix="1" applyFont="1" applyAlignment="1">
      <alignment horizontal="left"/>
    </xf>
    <xf numFmtId="16" fontId="29" fillId="0" borderId="0" xfId="0" applyNumberFormat="1" applyFont="1"/>
    <xf numFmtId="0" fontId="8" fillId="0" borderId="0" xfId="0" quotePrefix="1" applyFont="1" applyAlignment="1">
      <alignment horizontal="left" indent="1"/>
    </xf>
    <xf numFmtId="0" fontId="16" fillId="0" borderId="0" xfId="0" quotePrefix="1" applyFont="1" applyAlignment="1" applyProtection="1">
      <alignment horizontal="left"/>
      <protection locked="0"/>
    </xf>
    <xf numFmtId="170" fontId="12" fillId="0" borderId="0" xfId="6" quotePrefix="1" applyNumberFormat="1" applyFont="1" applyBorder="1" applyAlignment="1">
      <alignment horizontal="center"/>
    </xf>
    <xf numFmtId="0" fontId="32" fillId="0" borderId="0" xfId="0" quotePrefix="1" applyFont="1" applyAlignment="1">
      <alignment horizontal="left" indent="2"/>
    </xf>
    <xf numFmtId="16" fontId="12" fillId="0" borderId="0" xfId="0" applyNumberFormat="1" applyFont="1" applyAlignment="1">
      <alignment vertical="center"/>
    </xf>
    <xf numFmtId="0" fontId="18" fillId="0" borderId="1" xfId="0" quotePrefix="1" applyFont="1" applyBorder="1" applyAlignment="1">
      <alignment horizontal="center"/>
    </xf>
    <xf numFmtId="164" fontId="20" fillId="0" borderId="0" xfId="6" quotePrefix="1" applyFont="1" applyBorder="1" applyAlignment="1">
      <alignment horizontal="center" wrapText="1"/>
    </xf>
    <xf numFmtId="14" fontId="18" fillId="0" borderId="1" xfId="0" quotePrefix="1" applyNumberFormat="1" applyFont="1" applyBorder="1" applyAlignment="1">
      <alignment horizontal="center"/>
    </xf>
    <xf numFmtId="43" fontId="29" fillId="4" borderId="0" xfId="1" applyFont="1" applyFill="1" applyBorder="1" applyAlignment="1"/>
    <xf numFmtId="43" fontId="29" fillId="0" borderId="0" xfId="1" applyFont="1" applyFill="1" applyBorder="1" applyAlignment="1"/>
    <xf numFmtId="43" fontId="29" fillId="0" borderId="0" xfId="1" applyFont="1" applyFill="1" applyAlignment="1"/>
    <xf numFmtId="43" fontId="29" fillId="0" borderId="0" xfId="1" applyFont="1" applyFill="1" applyBorder="1"/>
    <xf numFmtId="0" fontId="15" fillId="4" borderId="0" xfId="0" applyFont="1" applyFill="1" applyAlignment="1">
      <alignment horizontal="center"/>
    </xf>
    <xf numFmtId="0" fontId="15" fillId="0" borderId="0" xfId="0" quotePrefix="1" applyFont="1" applyAlignment="1">
      <alignment horizontal="left" vertical="top"/>
    </xf>
    <xf numFmtId="17" fontId="18" fillId="0" borderId="0" xfId="0" quotePrefix="1" applyNumberFormat="1" applyFont="1" applyAlignment="1">
      <alignment horizontal="center"/>
    </xf>
    <xf numFmtId="7" fontId="15" fillId="0" borderId="0" xfId="0" quotePrefix="1" applyNumberFormat="1" applyFont="1" applyAlignment="1">
      <alignment horizontal="center"/>
    </xf>
    <xf numFmtId="0" fontId="8" fillId="2" borderId="12" xfId="0" quotePrefix="1" applyFont="1" applyFill="1" applyBorder="1" applyAlignment="1">
      <alignment horizontal="left"/>
    </xf>
    <xf numFmtId="0" fontId="32" fillId="2" borderId="12" xfId="0" quotePrefix="1" applyFont="1" applyFill="1" applyBorder="1" applyAlignment="1">
      <alignment horizontal="left" indent="1"/>
    </xf>
    <xf numFmtId="0" fontId="8" fillId="2" borderId="12" xfId="0" quotePrefix="1" applyFont="1" applyFill="1" applyBorder="1" applyAlignment="1">
      <alignment horizontal="left" indent="1"/>
    </xf>
    <xf numFmtId="0" fontId="32" fillId="2" borderId="12" xfId="0" quotePrefix="1" applyFont="1" applyFill="1" applyBorder="1" applyAlignment="1">
      <alignment horizontal="left" indent="2"/>
    </xf>
    <xf numFmtId="0" fontId="32" fillId="2" borderId="12" xfId="0" quotePrefix="1" applyFont="1" applyFill="1" applyBorder="1" applyAlignment="1">
      <alignment horizontal="left"/>
    </xf>
    <xf numFmtId="0" fontId="8" fillId="2" borderId="13" xfId="0" quotePrefix="1" applyFont="1" applyFill="1" applyBorder="1" applyAlignment="1">
      <alignment horizontal="left"/>
    </xf>
    <xf numFmtId="0" fontId="15" fillId="0" borderId="0" xfId="0" quotePrefix="1" applyFont="1" applyAlignment="1">
      <alignment horizontal="left" vertical="center" indent="1"/>
    </xf>
    <xf numFmtId="49" fontId="15" fillId="0" borderId="0" xfId="7" quotePrefix="1" applyNumberFormat="1" applyFont="1" applyAlignment="1">
      <alignment horizontal="left" indent="1"/>
    </xf>
    <xf numFmtId="0" fontId="30" fillId="0" borderId="0" xfId="0" applyFont="1" applyAlignment="1">
      <alignment horizontal="left"/>
    </xf>
    <xf numFmtId="0" fontId="16" fillId="0" borderId="0" xfId="0" applyFont="1" applyAlignment="1">
      <alignment vertical="center" wrapText="1"/>
    </xf>
    <xf numFmtId="0" fontId="16" fillId="0" borderId="0" xfId="0" quotePrefix="1" applyFont="1" applyAlignment="1" applyProtection="1">
      <alignment horizontal="left" vertical="center"/>
      <protection locked="0"/>
    </xf>
    <xf numFmtId="0" fontId="16" fillId="0" borderId="0" xfId="0" applyFont="1" applyAlignment="1" applyProtection="1">
      <alignment vertical="center"/>
      <protection locked="0"/>
    </xf>
    <xf numFmtId="0" fontId="16" fillId="0" borderId="0" xfId="0" applyFont="1" applyAlignment="1">
      <alignment vertical="center"/>
    </xf>
    <xf numFmtId="0" fontId="16" fillId="0" borderId="0" xfId="0" quotePrefix="1" applyFont="1" applyAlignment="1">
      <alignment horizontal="left" vertical="center"/>
    </xf>
    <xf numFmtId="0" fontId="30" fillId="0" borderId="0" xfId="0" quotePrefix="1" applyFont="1" applyAlignment="1">
      <alignment horizontal="left" vertical="center"/>
    </xf>
    <xf numFmtId="0" fontId="30" fillId="0" borderId="0" xfId="0" applyFont="1" applyAlignment="1">
      <alignment vertical="center"/>
    </xf>
    <xf numFmtId="0" fontId="16" fillId="0" borderId="0" xfId="0" quotePrefix="1" applyFont="1" applyAlignment="1" applyProtection="1">
      <alignment horizontal="left" vertical="center" indent="2"/>
      <protection locked="0"/>
    </xf>
    <xf numFmtId="0" fontId="16" fillId="0" borderId="0" xfId="0" applyFont="1" applyAlignment="1">
      <alignment horizontal="left" vertical="center" indent="2"/>
    </xf>
    <xf numFmtId="0" fontId="16" fillId="0" borderId="0" xfId="0" quotePrefix="1" applyFont="1" applyAlignment="1">
      <alignment horizontal="left" vertical="center" indent="2"/>
    </xf>
    <xf numFmtId="0" fontId="30" fillId="0" borderId="0" xfId="0" quotePrefix="1" applyFont="1" applyAlignment="1">
      <alignment horizontal="left" vertical="center" indent="1"/>
    </xf>
    <xf numFmtId="0" fontId="33" fillId="0" borderId="0" xfId="0" applyFont="1"/>
    <xf numFmtId="0" fontId="33" fillId="0" borderId="0" xfId="0" applyFont="1" applyAlignment="1">
      <alignment vertical="center"/>
    </xf>
    <xf numFmtId="0" fontId="30" fillId="0" borderId="0" xfId="0" applyFont="1" applyAlignment="1">
      <alignment horizontal="left" vertical="center"/>
    </xf>
    <xf numFmtId="0" fontId="33" fillId="0" borderId="0" xfId="0" quotePrefix="1" applyFont="1" applyAlignment="1" applyProtection="1">
      <alignment horizontal="left" vertical="center"/>
      <protection locked="0"/>
    </xf>
    <xf numFmtId="0" fontId="33" fillId="0" borderId="0" xfId="0" quotePrefix="1" applyFont="1" applyAlignment="1" applyProtection="1">
      <alignment horizontal="left"/>
      <protection locked="0"/>
    </xf>
    <xf numFmtId="0" fontId="30" fillId="0" borderId="0" xfId="0" quotePrefix="1" applyFont="1" applyAlignment="1" applyProtection="1">
      <alignment horizontal="left"/>
      <protection locked="0"/>
    </xf>
    <xf numFmtId="0" fontId="30" fillId="0" borderId="0" xfId="0" quotePrefix="1" applyFont="1" applyAlignment="1" applyProtection="1">
      <alignment horizontal="left" indent="1"/>
      <protection locked="0"/>
    </xf>
    <xf numFmtId="0" fontId="30" fillId="0" borderId="0" xfId="0" quotePrefix="1" applyFont="1" applyAlignment="1" applyProtection="1">
      <alignment horizontal="left" vertical="center"/>
      <protection locked="0"/>
    </xf>
    <xf numFmtId="0" fontId="30" fillId="0" borderId="0" xfId="0" quotePrefix="1" applyFont="1" applyAlignment="1" applyProtection="1">
      <alignment horizontal="left" vertical="center" indent="1"/>
      <protection locked="0"/>
    </xf>
    <xf numFmtId="1" fontId="15" fillId="0" borderId="0" xfId="7" quotePrefix="1" applyNumberFormat="1" applyFont="1" applyAlignment="1">
      <alignment horizontal="right"/>
    </xf>
    <xf numFmtId="43" fontId="15" fillId="0" borderId="0" xfId="7" applyNumberFormat="1" applyFont="1" applyAlignment="1">
      <alignment vertical="center"/>
    </xf>
    <xf numFmtId="164" fontId="12" fillId="2" borderId="0" xfId="6" quotePrefix="1" applyFont="1" applyFill="1" applyBorder="1" applyAlignment="1">
      <alignment horizontal="center" wrapText="1"/>
    </xf>
    <xf numFmtId="164" fontId="12" fillId="0" borderId="0" xfId="6" quotePrefix="1" applyFont="1" applyBorder="1" applyAlignment="1">
      <alignment horizontal="center"/>
    </xf>
    <xf numFmtId="16" fontId="16" fillId="0" borderId="0" xfId="0" applyNumberFormat="1" applyFont="1" applyAlignment="1">
      <alignment horizontal="left"/>
    </xf>
    <xf numFmtId="49" fontId="16" fillId="2" borderId="7" xfId="0" quotePrefix="1" applyNumberFormat="1" applyFont="1" applyFill="1" applyBorder="1" applyAlignment="1">
      <alignment horizontal="left"/>
    </xf>
    <xf numFmtId="49" fontId="31" fillId="2" borderId="0" xfId="0" quotePrefix="1" applyNumberFormat="1" applyFont="1" applyFill="1" applyAlignment="1">
      <alignment horizontal="center"/>
    </xf>
    <xf numFmtId="49" fontId="16" fillId="2" borderId="2" xfId="0" applyNumberFormat="1" applyFont="1" applyFill="1" applyBorder="1"/>
    <xf numFmtId="0" fontId="15" fillId="0" borderId="0" xfId="0" quotePrefix="1" applyFont="1" applyAlignment="1">
      <alignment vertical="center"/>
    </xf>
    <xf numFmtId="0" fontId="15" fillId="4" borderId="0" xfId="0" quotePrefix="1" applyFont="1" applyFill="1" applyAlignment="1">
      <alignment horizontal="left" vertical="center" indent="1"/>
    </xf>
    <xf numFmtId="0" fontId="34" fillId="2" borderId="12" xfId="0" applyFont="1" applyFill="1" applyBorder="1"/>
    <xf numFmtId="1" fontId="15" fillId="4" borderId="0" xfId="7" applyNumberFormat="1" applyFont="1" applyFill="1" applyAlignment="1">
      <alignment horizontal="right" indent="1"/>
    </xf>
    <xf numFmtId="1" fontId="15" fillId="0" borderId="0" xfId="7" quotePrefix="1" applyNumberFormat="1" applyFont="1" applyAlignment="1">
      <alignment horizontal="right" indent="1"/>
    </xf>
    <xf numFmtId="0" fontId="15" fillId="0" borderId="0" xfId="0" quotePrefix="1" applyFont="1" applyAlignment="1">
      <alignment horizontal="left" vertical="center"/>
    </xf>
    <xf numFmtId="0" fontId="8" fillId="0" borderId="16" xfId="0" quotePrefix="1" applyFont="1" applyBorder="1" applyAlignment="1">
      <alignment horizontal="left" indent="1"/>
    </xf>
    <xf numFmtId="0" fontId="20" fillId="4" borderId="4" xfId="0" applyFont="1" applyFill="1" applyBorder="1" applyAlignment="1">
      <alignment horizontal="center"/>
    </xf>
    <xf numFmtId="1" fontId="15" fillId="4" borderId="0" xfId="2" applyNumberFormat="1" applyFont="1" applyFill="1" applyBorder="1" applyAlignment="1">
      <alignment horizontal="center"/>
    </xf>
    <xf numFmtId="1" fontId="15" fillId="4" borderId="0" xfId="2" quotePrefix="1" applyNumberFormat="1" applyFont="1" applyFill="1" applyBorder="1" applyAlignment="1">
      <alignment horizontal="left"/>
    </xf>
    <xf numFmtId="49" fontId="16" fillId="2" borderId="17" xfId="0" quotePrefix="1" applyNumberFormat="1" applyFont="1" applyFill="1" applyBorder="1" applyAlignment="1">
      <alignment horizontal="left" indent="1"/>
    </xf>
    <xf numFmtId="0" fontId="16" fillId="2" borderId="7" xfId="0" quotePrefix="1" applyFont="1" applyFill="1" applyBorder="1" applyAlignment="1">
      <alignment horizontal="left" indent="1"/>
    </xf>
    <xf numFmtId="0" fontId="12" fillId="2" borderId="0" xfId="0" quotePrefix="1" applyFont="1" applyFill="1" applyAlignment="1">
      <alignment horizontal="left"/>
    </xf>
    <xf numFmtId="0" fontId="14" fillId="2" borderId="0" xfId="0" applyFont="1" applyFill="1" applyAlignment="1">
      <alignment horizontal="left"/>
    </xf>
    <xf numFmtId="0" fontId="16" fillId="0" borderId="0" xfId="0" quotePrefix="1" applyFont="1" applyAlignment="1" applyProtection="1">
      <alignment horizontal="left" indent="2"/>
      <protection locked="0"/>
    </xf>
    <xf numFmtId="0" fontId="16" fillId="0" borderId="0" xfId="0" applyFont="1" applyProtection="1">
      <protection locked="0"/>
    </xf>
    <xf numFmtId="0" fontId="14" fillId="2" borderId="0" xfId="0" quotePrefix="1" applyFont="1" applyFill="1" applyAlignment="1">
      <alignment horizontal="left"/>
    </xf>
    <xf numFmtId="164" fontId="35" fillId="0" borderId="1" xfId="6" quotePrefix="1" applyFont="1" applyBorder="1" applyAlignment="1">
      <alignment horizontal="center"/>
    </xf>
    <xf numFmtId="0" fontId="40" fillId="0" borderId="0" xfId="0" applyFont="1" applyAlignment="1">
      <alignment horizontal="left" indent="2"/>
    </xf>
    <xf numFmtId="0" fontId="40" fillId="0" borderId="0" xfId="0" quotePrefix="1" applyFont="1" applyAlignment="1">
      <alignment horizontal="left" vertical="center" indent="2"/>
    </xf>
    <xf numFmtId="0" fontId="12" fillId="0" borderId="0" xfId="0" applyFont="1" applyAlignment="1">
      <alignment horizontal="left" vertical="center" indent="2"/>
    </xf>
    <xf numFmtId="169" fontId="17" fillId="0" borderId="0" xfId="0" applyNumberFormat="1" applyFont="1" applyAlignment="1">
      <alignment horizontal="left" vertical="center" indent="2"/>
    </xf>
    <xf numFmtId="2" fontId="12" fillId="0" borderId="0" xfId="0" applyNumberFormat="1" applyFont="1" applyAlignment="1">
      <alignment horizontal="left" vertical="center" indent="2"/>
    </xf>
    <xf numFmtId="43" fontId="12" fillId="0" borderId="0" xfId="1" applyFont="1" applyBorder="1" applyAlignment="1">
      <alignment horizontal="left" vertical="center" indent="2"/>
    </xf>
    <xf numFmtId="0" fontId="12" fillId="2" borderId="0" xfId="0" applyFont="1" applyFill="1" applyAlignment="1">
      <alignment horizontal="left" vertical="center" indent="2"/>
    </xf>
    <xf numFmtId="169" fontId="17" fillId="2" borderId="0" xfId="0" applyNumberFormat="1" applyFont="1" applyFill="1" applyAlignment="1">
      <alignment horizontal="left" vertical="center" indent="2"/>
    </xf>
    <xf numFmtId="2" fontId="12" fillId="2" borderId="0" xfId="0" applyNumberFormat="1" applyFont="1" applyFill="1" applyAlignment="1">
      <alignment horizontal="left" vertical="center" indent="2"/>
    </xf>
    <xf numFmtId="0" fontId="40" fillId="0" borderId="0" xfId="0" applyFont="1" applyAlignment="1">
      <alignment horizontal="left" vertical="top" indent="2"/>
    </xf>
    <xf numFmtId="0" fontId="12" fillId="0" borderId="0" xfId="0" quotePrefix="1" applyFont="1"/>
    <xf numFmtId="44" fontId="12" fillId="0" borderId="0" xfId="1" applyNumberFormat="1" applyFont="1" applyAlignment="1">
      <alignment horizontal="right"/>
    </xf>
    <xf numFmtId="10" fontId="12" fillId="0" borderId="0" xfId="10" applyNumberFormat="1" applyFont="1" applyAlignment="1">
      <alignment horizontal="center"/>
    </xf>
    <xf numFmtId="43" fontId="12" fillId="2" borderId="0" xfId="1" applyFont="1" applyFill="1" applyBorder="1" applyAlignment="1"/>
    <xf numFmtId="0" fontId="40" fillId="2" borderId="0" xfId="0" quotePrefix="1" applyFont="1" applyFill="1" applyAlignment="1">
      <alignment horizontal="left" vertical="center" indent="2"/>
    </xf>
    <xf numFmtId="43" fontId="12" fillId="2" borderId="0" xfId="1" applyFont="1" applyFill="1" applyBorder="1" applyAlignment="1">
      <alignment horizontal="left" vertical="center" indent="2"/>
    </xf>
    <xf numFmtId="0" fontId="40" fillId="2" borderId="0" xfId="0" quotePrefix="1" applyFont="1" applyFill="1" applyAlignment="1">
      <alignment horizontal="left" vertical="top" indent="2"/>
    </xf>
    <xf numFmtId="0" fontId="40" fillId="2" borderId="0" xfId="0" applyFont="1" applyFill="1" applyAlignment="1">
      <alignment horizontal="left" indent="2"/>
    </xf>
    <xf numFmtId="0" fontId="12" fillId="2" borderId="0" xfId="0" quotePrefix="1" applyFont="1" applyFill="1"/>
    <xf numFmtId="44" fontId="12" fillId="2" borderId="0" xfId="1" applyNumberFormat="1" applyFont="1" applyFill="1" applyAlignment="1">
      <alignment horizontal="right"/>
    </xf>
    <xf numFmtId="2" fontId="12" fillId="2" borderId="0" xfId="0" quotePrefix="1" applyNumberFormat="1" applyFont="1" applyFill="1" applyAlignment="1">
      <alignment horizontal="center"/>
    </xf>
    <xf numFmtId="10" fontId="12" fillId="2" borderId="0" xfId="10" applyNumberFormat="1" applyFont="1" applyFill="1" applyAlignment="1">
      <alignment horizontal="center"/>
    </xf>
    <xf numFmtId="43" fontId="12" fillId="2" borderId="5" xfId="1" applyFont="1" applyFill="1" applyBorder="1" applyAlignment="1"/>
    <xf numFmtId="0" fontId="40" fillId="2" borderId="0" xfId="0" applyFont="1" applyFill="1" applyAlignment="1">
      <alignment horizontal="left" vertical="top" indent="2"/>
    </xf>
    <xf numFmtId="181" fontId="17" fillId="0" borderId="1" xfId="1" applyNumberFormat="1" applyFont="1" applyBorder="1" applyAlignment="1">
      <alignment horizontal="center"/>
    </xf>
    <xf numFmtId="0" fontId="35" fillId="0" borderId="0" xfId="0" applyFont="1"/>
    <xf numFmtId="0" fontId="35" fillId="2" borderId="0" xfId="0" applyFont="1" applyFill="1"/>
    <xf numFmtId="0" fontId="35" fillId="2" borderId="0" xfId="0" quotePrefix="1" applyFont="1" applyFill="1" applyAlignment="1">
      <alignment horizontal="left"/>
    </xf>
    <xf numFmtId="0" fontId="35" fillId="0" borderId="0" xfId="0" quotePrefix="1" applyFont="1" applyAlignment="1">
      <alignment horizontal="left"/>
    </xf>
    <xf numFmtId="43" fontId="12" fillId="0" borderId="0" xfId="1" applyFont="1"/>
    <xf numFmtId="41" fontId="12" fillId="2" borderId="1" xfId="0" applyNumberFormat="1" applyFont="1" applyFill="1" applyBorder="1"/>
    <xf numFmtId="41" fontId="12" fillId="2" borderId="0" xfId="0" applyNumberFormat="1" applyFont="1" applyFill="1"/>
    <xf numFmtId="166" fontId="12" fillId="2" borderId="0" xfId="0" applyNumberFormat="1" applyFont="1" applyFill="1" applyAlignment="1">
      <alignment horizontal="center"/>
    </xf>
    <xf numFmtId="166" fontId="12" fillId="0" borderId="0" xfId="0" applyNumberFormat="1" applyFont="1" applyAlignment="1">
      <alignment horizontal="center"/>
    </xf>
    <xf numFmtId="0" fontId="3" fillId="0" borderId="0" xfId="0" quotePrefix="1" applyFont="1" applyAlignment="1">
      <alignment horizontal="left"/>
    </xf>
    <xf numFmtId="43" fontId="14" fillId="0" borderId="0" xfId="1" applyFont="1" applyFill="1" applyBorder="1" applyAlignment="1"/>
    <xf numFmtId="0" fontId="14" fillId="0" borderId="0" xfId="0" applyFont="1" applyAlignment="1">
      <alignment horizontal="right"/>
    </xf>
    <xf numFmtId="7" fontId="42" fillId="0" borderId="0" xfId="0" quotePrefix="1" applyNumberFormat="1" applyFont="1" applyAlignment="1">
      <alignment horizontal="center"/>
    </xf>
    <xf numFmtId="17" fontId="42" fillId="0" borderId="0" xfId="0" quotePrefix="1" applyNumberFormat="1" applyFont="1" applyAlignment="1">
      <alignment horizontal="center"/>
    </xf>
    <xf numFmtId="7" fontId="42" fillId="0" borderId="0" xfId="0" applyNumberFormat="1" applyFont="1" applyAlignment="1">
      <alignment horizontal="center"/>
    </xf>
    <xf numFmtId="2" fontId="14" fillId="0" borderId="0" xfId="0" quotePrefix="1" applyNumberFormat="1" applyFont="1" applyAlignment="1">
      <alignment horizontal="center"/>
    </xf>
    <xf numFmtId="0" fontId="43" fillId="0" borderId="0" xfId="0" quotePrefix="1" applyFont="1" applyAlignment="1">
      <alignment horizontal="center"/>
    </xf>
    <xf numFmtId="0" fontId="12" fillId="0" borderId="0" xfId="0" quotePrefix="1" applyFont="1" applyAlignment="1">
      <alignment horizontal="left" wrapText="1"/>
    </xf>
    <xf numFmtId="2" fontId="37" fillId="0" borderId="0" xfId="0" applyNumberFormat="1" applyFont="1" applyAlignment="1">
      <alignment horizontal="left" indent="3"/>
    </xf>
    <xf numFmtId="2" fontId="22" fillId="2" borderId="0" xfId="0" applyNumberFormat="1" applyFont="1" applyFill="1" applyAlignment="1">
      <alignment horizontal="left"/>
    </xf>
    <xf numFmtId="0" fontId="12" fillId="2" borderId="0" xfId="0" quotePrefix="1" applyFont="1" applyFill="1" applyAlignment="1">
      <alignment horizontal="left" wrapText="1"/>
    </xf>
    <xf numFmtId="7" fontId="18" fillId="0" borderId="1" xfId="0" quotePrefix="1" applyNumberFormat="1" applyFont="1" applyBorder="1" applyAlignment="1">
      <alignment horizontal="center"/>
    </xf>
    <xf numFmtId="43" fontId="29" fillId="0" borderId="0" xfId="7" applyNumberFormat="1" applyFont="1"/>
    <xf numFmtId="49" fontId="15" fillId="0" borderId="0" xfId="0" quotePrefix="1" applyNumberFormat="1" applyFont="1" applyFill="1" applyAlignment="1">
      <alignment horizontal="left" indent="1"/>
    </xf>
    <xf numFmtId="0" fontId="16" fillId="2" borderId="7" xfId="0" quotePrefix="1" applyFont="1" applyFill="1" applyBorder="1" applyAlignment="1">
      <alignment horizontal="left"/>
    </xf>
    <xf numFmtId="0" fontId="12" fillId="0" borderId="1" xfId="0" quotePrefix="1" applyFont="1" applyBorder="1" applyAlignment="1">
      <alignment horizontal="center"/>
    </xf>
    <xf numFmtId="0" fontId="12" fillId="0" borderId="0" xfId="0" applyFont="1" applyAlignment="1">
      <alignment horizontal="left"/>
    </xf>
    <xf numFmtId="0" fontId="12" fillId="0" borderId="1" xfId="0" applyFont="1" applyBorder="1" applyAlignment="1">
      <alignment horizontal="center"/>
    </xf>
    <xf numFmtId="0" fontId="12" fillId="0" borderId="0" xfId="0" quotePrefix="1" applyFont="1" applyAlignment="1">
      <alignment horizontal="left"/>
    </xf>
    <xf numFmtId="0" fontId="12" fillId="0" borderId="0" xfId="0" applyFont="1" applyAlignment="1">
      <alignment horizontal="center"/>
    </xf>
    <xf numFmtId="0" fontId="12" fillId="0" borderId="0" xfId="0" quotePrefix="1" applyFont="1" applyAlignment="1">
      <alignment horizontal="center"/>
    </xf>
    <xf numFmtId="0" fontId="12" fillId="0" borderId="0" xfId="0" applyFont="1" applyAlignment="1">
      <alignment horizontal="right"/>
    </xf>
    <xf numFmtId="0" fontId="12" fillId="2" borderId="0" xfId="0" applyFont="1" applyFill="1" applyAlignment="1">
      <alignment horizontal="left"/>
    </xf>
    <xf numFmtId="166" fontId="17" fillId="2" borderId="0" xfId="0" applyNumberFormat="1" applyFont="1" applyFill="1" applyAlignment="1">
      <alignment horizontal="left"/>
    </xf>
    <xf numFmtId="0" fontId="12" fillId="2" borderId="0" xfId="0" applyFont="1" applyFill="1" applyAlignment="1">
      <alignment horizontal="right"/>
    </xf>
    <xf numFmtId="0" fontId="12" fillId="2" borderId="0" xfId="0" applyFont="1" applyFill="1" applyAlignment="1">
      <alignment horizontal="center"/>
    </xf>
    <xf numFmtId="0" fontId="12" fillId="2" borderId="1" xfId="0" quotePrefix="1" applyFont="1" applyFill="1" applyBorder="1" applyAlignment="1">
      <alignment horizontal="center"/>
    </xf>
    <xf numFmtId="0" fontId="12" fillId="0" borderId="0" xfId="0" quotePrefix="1" applyFont="1" applyAlignment="1">
      <alignment horizontal="left"/>
    </xf>
    <xf numFmtId="0" fontId="12" fillId="2" borderId="0" xfId="0" applyFont="1" applyFill="1" applyAlignment="1">
      <alignment horizontal="left"/>
    </xf>
    <xf numFmtId="0" fontId="12" fillId="2" borderId="0" xfId="0" quotePrefix="1" applyFont="1" applyFill="1" applyAlignment="1">
      <alignment horizontal="left"/>
    </xf>
    <xf numFmtId="0" fontId="44" fillId="0" borderId="0" xfId="0" quotePrefix="1" applyFont="1" applyAlignment="1">
      <alignment horizontal="center"/>
    </xf>
    <xf numFmtId="0" fontId="44" fillId="0" borderId="1" xfId="0" quotePrefix="1" applyFont="1" applyBorder="1" applyAlignment="1">
      <alignment horizontal="center"/>
    </xf>
    <xf numFmtId="7" fontId="12" fillId="0" borderId="0" xfId="0" quotePrefix="1" applyNumberFormat="1" applyFont="1" applyAlignment="1">
      <alignment horizontal="center"/>
    </xf>
    <xf numFmtId="170" fontId="44" fillId="6" borderId="0" xfId="6" applyNumberFormat="1" applyFont="1" applyFill="1" applyBorder="1" applyAlignment="1"/>
    <xf numFmtId="0" fontId="14" fillId="0" borderId="0" xfId="0" applyFont="1" applyFill="1" applyBorder="1"/>
    <xf numFmtId="0" fontId="12" fillId="2" borderId="1" xfId="0" applyFont="1" applyFill="1" applyBorder="1"/>
    <xf numFmtId="170" fontId="44" fillId="2" borderId="1" xfId="6" applyNumberFormat="1" applyFont="1" applyFill="1" applyBorder="1" applyAlignment="1"/>
    <xf numFmtId="0" fontId="15" fillId="2" borderId="0" xfId="0" quotePrefix="1" applyFont="1" applyFill="1" applyAlignment="1">
      <alignment horizontal="left"/>
    </xf>
    <xf numFmtId="0" fontId="14" fillId="2" borderId="0" xfId="0" quotePrefix="1" applyFont="1" applyFill="1" applyAlignment="1">
      <alignment horizontal="center"/>
    </xf>
    <xf numFmtId="166" fontId="17" fillId="2" borderId="0" xfId="0" applyNumberFormat="1" applyFont="1" applyFill="1" applyAlignment="1">
      <alignment horizontal="center"/>
    </xf>
    <xf numFmtId="7" fontId="14" fillId="2" borderId="0" xfId="0" quotePrefix="1" applyNumberFormat="1" applyFont="1" applyFill="1" applyBorder="1" applyAlignment="1">
      <alignment horizontal="center"/>
    </xf>
    <xf numFmtId="17" fontId="14" fillId="2" borderId="0" xfId="0" quotePrefix="1" applyNumberFormat="1" applyFont="1" applyFill="1" applyBorder="1" applyAlignment="1">
      <alignment horizontal="center"/>
    </xf>
    <xf numFmtId="7" fontId="14" fillId="2" borderId="0" xfId="0" applyNumberFormat="1" applyFont="1" applyFill="1" applyBorder="1" applyAlignment="1">
      <alignment horizontal="center"/>
    </xf>
    <xf numFmtId="0" fontId="14" fillId="2" borderId="0" xfId="0" quotePrefix="1" applyFont="1" applyFill="1" applyBorder="1" applyAlignment="1">
      <alignment horizontal="center"/>
    </xf>
    <xf numFmtId="169" fontId="12" fillId="2" borderId="0" xfId="0" quotePrefix="1" applyNumberFormat="1" applyFont="1" applyFill="1" applyBorder="1" applyAlignment="1">
      <alignment horizontal="center"/>
    </xf>
    <xf numFmtId="2" fontId="12" fillId="2" borderId="0" xfId="0" quotePrefix="1" applyNumberFormat="1" applyFont="1" applyFill="1" applyBorder="1" applyAlignment="1">
      <alignment horizontal="center"/>
    </xf>
    <xf numFmtId="0" fontId="44" fillId="2" borderId="1" xfId="0" quotePrefix="1" applyFont="1" applyFill="1" applyBorder="1" applyAlignment="1">
      <alignment horizontal="center"/>
    </xf>
    <xf numFmtId="44" fontId="12" fillId="2" borderId="8" xfId="0" applyNumberFormat="1" applyFont="1" applyFill="1" applyBorder="1"/>
    <xf numFmtId="164" fontId="12" fillId="2" borderId="5" xfId="6" applyNumberFormat="1" applyFont="1" applyFill="1" applyBorder="1" applyAlignment="1"/>
    <xf numFmtId="164" fontId="12" fillId="2" borderId="1" xfId="6" applyNumberFormat="1" applyFont="1" applyFill="1" applyBorder="1" applyAlignment="1"/>
    <xf numFmtId="164" fontId="12" fillId="2" borderId="1" xfId="0" applyNumberFormat="1" applyFont="1" applyFill="1" applyBorder="1"/>
    <xf numFmtId="164" fontId="12" fillId="2" borderId="6" xfId="6" applyNumberFormat="1" applyFont="1" applyFill="1" applyBorder="1" applyAlignment="1"/>
    <xf numFmtId="164" fontId="12" fillId="2" borderId="3" xfId="6" applyNumberFormat="1" applyFont="1" applyFill="1" applyBorder="1" applyAlignment="1"/>
    <xf numFmtId="164" fontId="12" fillId="2" borderId="0" xfId="6" applyNumberFormat="1" applyFont="1" applyFill="1" applyBorder="1" applyAlignment="1"/>
    <xf numFmtId="164" fontId="12" fillId="2" borderId="0" xfId="0" applyNumberFormat="1" applyFont="1" applyFill="1"/>
    <xf numFmtId="4" fontId="12" fillId="2" borderId="1" xfId="0" applyNumberFormat="1" applyFont="1" applyFill="1" applyBorder="1"/>
    <xf numFmtId="164" fontId="12" fillId="2" borderId="8" xfId="0" applyNumberFormat="1" applyFont="1" applyFill="1" applyBorder="1"/>
    <xf numFmtId="0" fontId="45" fillId="0" borderId="0" xfId="0" quotePrefix="1" applyFont="1" applyAlignment="1">
      <alignment horizontal="left" vertical="center" indent="2"/>
    </xf>
    <xf numFmtId="0" fontId="45" fillId="0" borderId="0" xfId="0" applyFont="1" applyAlignment="1">
      <alignment horizontal="left" vertical="top" indent="2"/>
    </xf>
    <xf numFmtId="0" fontId="45" fillId="0" borderId="0" xfId="0" quotePrefix="1" applyFont="1" applyAlignment="1">
      <alignment horizontal="left" vertical="top" indent="2"/>
    </xf>
    <xf numFmtId="0" fontId="12" fillId="0" borderId="1" xfId="0" quotePrefix="1" applyFont="1" applyBorder="1" applyAlignment="1">
      <alignment horizontal="center"/>
    </xf>
    <xf numFmtId="0" fontId="12" fillId="0" borderId="0" xfId="0" applyFont="1" applyAlignment="1">
      <alignment horizontal="left"/>
    </xf>
    <xf numFmtId="2" fontId="12" fillId="0" borderId="0" xfId="0" applyNumberFormat="1" applyFont="1" applyAlignment="1">
      <alignment horizontal="center"/>
    </xf>
    <xf numFmtId="0" fontId="12" fillId="0" borderId="1" xfId="0" applyFont="1" applyBorder="1" applyAlignment="1">
      <alignment horizontal="center"/>
    </xf>
    <xf numFmtId="0" fontId="12" fillId="0" borderId="0" xfId="0" quotePrefix="1" applyFont="1" applyAlignment="1">
      <alignment horizontal="left"/>
    </xf>
    <xf numFmtId="0" fontId="12" fillId="0" borderId="0" xfId="0" applyFont="1" applyAlignment="1">
      <alignment horizontal="center"/>
    </xf>
    <xf numFmtId="0" fontId="12" fillId="0" borderId="0" xfId="0" quotePrefix="1" applyFont="1" applyAlignment="1">
      <alignment horizontal="center"/>
    </xf>
    <xf numFmtId="0" fontId="12" fillId="0" borderId="0" xfId="0" applyFont="1" applyAlignment="1">
      <alignment horizontal="right"/>
    </xf>
    <xf numFmtId="0" fontId="46" fillId="0" borderId="0" xfId="0" applyFont="1" applyAlignment="1">
      <alignment horizontal="left" vertical="center"/>
    </xf>
    <xf numFmtId="0" fontId="48" fillId="0" borderId="0" xfId="0" applyFont="1" applyAlignment="1">
      <alignment horizontal="left" vertical="center" wrapText="1"/>
    </xf>
    <xf numFmtId="49" fontId="15" fillId="0" borderId="0" xfId="0" quotePrefix="1" applyNumberFormat="1" applyFont="1" applyFill="1"/>
    <xf numFmtId="49" fontId="29" fillId="4" borderId="0" xfId="0" quotePrefix="1" applyNumberFormat="1" applyFont="1" applyFill="1" applyAlignment="1">
      <alignment horizontal="left"/>
    </xf>
    <xf numFmtId="0" fontId="16" fillId="2" borderId="7" xfId="0" quotePrefix="1" applyFont="1" applyFill="1" applyBorder="1" applyAlignment="1">
      <alignment horizontal="left" indent="2"/>
    </xf>
    <xf numFmtId="49" fontId="31" fillId="2" borderId="0" xfId="0" quotePrefix="1" applyNumberFormat="1" applyFont="1" applyFill="1" applyBorder="1" applyAlignment="1">
      <alignment horizontal="center"/>
    </xf>
    <xf numFmtId="0" fontId="31" fillId="2" borderId="23" xfId="0" applyFont="1" applyFill="1" applyBorder="1"/>
    <xf numFmtId="0" fontId="31" fillId="2" borderId="14" xfId="0" applyFont="1" applyFill="1" applyBorder="1"/>
    <xf numFmtId="0" fontId="16" fillId="2" borderId="15" xfId="0" applyFont="1" applyFill="1" applyBorder="1"/>
    <xf numFmtId="0" fontId="32" fillId="2" borderId="13" xfId="0" quotePrefix="1" applyFont="1" applyFill="1" applyBorder="1" applyAlignment="1">
      <alignment horizontal="left" indent="2"/>
    </xf>
    <xf numFmtId="0" fontId="16" fillId="0" borderId="0" xfId="0" quotePrefix="1" applyFont="1" applyAlignment="1">
      <alignment horizontal="center"/>
    </xf>
    <xf numFmtId="0" fontId="31" fillId="0" borderId="18" xfId="0" quotePrefix="1" applyFont="1" applyBorder="1" applyAlignment="1">
      <alignment horizontal="center"/>
    </xf>
    <xf numFmtId="0" fontId="31" fillId="0" borderId="19" xfId="0" quotePrefix="1" applyFont="1" applyBorder="1" applyAlignment="1">
      <alignment horizontal="center"/>
    </xf>
    <xf numFmtId="0" fontId="31" fillId="0" borderId="20" xfId="0" quotePrefix="1" applyFont="1" applyBorder="1" applyAlignment="1">
      <alignment horizontal="center"/>
    </xf>
    <xf numFmtId="49" fontId="31" fillId="0" borderId="4" xfId="7" quotePrefix="1" applyNumberFormat="1" applyFont="1" applyBorder="1" applyAlignment="1">
      <alignment horizontal="center"/>
    </xf>
    <xf numFmtId="49" fontId="31" fillId="0" borderId="4" xfId="7" applyNumberFormat="1" applyFont="1" applyBorder="1" applyAlignment="1">
      <alignment horizontal="center"/>
    </xf>
    <xf numFmtId="0" fontId="47" fillId="0" borderId="0" xfId="0" applyFont="1" applyFill="1" applyAlignment="1">
      <alignment horizontal="left" vertical="center" wrapText="1"/>
    </xf>
    <xf numFmtId="0" fontId="46" fillId="0" borderId="0" xfId="0" applyFont="1" applyFill="1" applyAlignment="1">
      <alignment horizontal="left" vertical="center" wrapText="1"/>
    </xf>
    <xf numFmtId="0" fontId="48"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xf>
    <xf numFmtId="174" fontId="12" fillId="0" borderId="0" xfId="0" applyNumberFormat="1" applyFont="1"/>
    <xf numFmtId="0" fontId="12" fillId="0" borderId="0" xfId="0" quotePrefix="1" applyFont="1" applyAlignment="1">
      <alignment horizontal="left"/>
    </xf>
    <xf numFmtId="0" fontId="12" fillId="0" borderId="0" xfId="0" applyFont="1" applyAlignment="1">
      <alignment horizontal="left"/>
    </xf>
    <xf numFmtId="0" fontId="46" fillId="0" borderId="0" xfId="0" applyFont="1" applyAlignment="1">
      <alignment horizontal="left" vertical="center" wrapText="1"/>
    </xf>
    <xf numFmtId="3" fontId="12" fillId="0" borderId="0" xfId="0" quotePrefix="1" applyNumberFormat="1" applyFont="1" applyAlignment="1">
      <alignment horizontal="center"/>
    </xf>
    <xf numFmtId="0" fontId="12" fillId="0" borderId="0" xfId="0" applyFont="1" applyAlignment="1">
      <alignment horizontal="right"/>
    </xf>
    <xf numFmtId="0" fontId="12" fillId="0" borderId="0" xfId="0" applyFont="1" applyAlignment="1">
      <alignment horizontal="left" indent="2"/>
    </xf>
    <xf numFmtId="7" fontId="12" fillId="0" borderId="0" xfId="0" applyNumberFormat="1" applyFont="1" applyAlignment="1">
      <alignment horizontal="right"/>
    </xf>
    <xf numFmtId="0" fontId="12" fillId="9" borderId="1" xfId="0" applyFont="1" applyFill="1" applyBorder="1" applyAlignment="1">
      <alignment horizontal="center"/>
    </xf>
    <xf numFmtId="0" fontId="12" fillId="0" borderId="0" xfId="0" applyFont="1" applyAlignment="1">
      <alignment horizontal="left" wrapText="1"/>
    </xf>
    <xf numFmtId="0" fontId="35" fillId="0" borderId="0" xfId="0" quotePrefix="1" applyFont="1" applyAlignment="1">
      <alignment horizontal="center"/>
    </xf>
    <xf numFmtId="0" fontId="12" fillId="0" borderId="0" xfId="0" applyFont="1" applyAlignment="1">
      <alignment horizontal="center"/>
    </xf>
    <xf numFmtId="0" fontId="12" fillId="0" borderId="1" xfId="0" applyFont="1" applyBorder="1" applyAlignment="1">
      <alignment horizontal="center"/>
    </xf>
    <xf numFmtId="174" fontId="12" fillId="0" borderId="9" xfId="0" applyNumberFormat="1" applyFont="1" applyBorder="1"/>
    <xf numFmtId="0" fontId="35" fillId="0" borderId="0" xfId="0" quotePrefix="1" applyFont="1" applyAlignment="1">
      <alignment horizontal="right"/>
    </xf>
    <xf numFmtId="0" fontId="12" fillId="0" borderId="0" xfId="0" quotePrefix="1" applyFont="1" applyAlignment="1">
      <alignment horizontal="center"/>
    </xf>
    <xf numFmtId="0" fontId="12" fillId="0" borderId="0" xfId="0" quotePrefix="1" applyFont="1" applyAlignment="1">
      <alignment horizontal="left" wrapText="1"/>
    </xf>
    <xf numFmtId="0" fontId="14" fillId="0" borderId="6" xfId="0" applyFont="1" applyBorder="1" applyAlignment="1">
      <alignment horizontal="left" vertical="center" wrapText="1"/>
    </xf>
    <xf numFmtId="0" fontId="14" fillId="0" borderId="0" xfId="0" applyFont="1" applyAlignment="1">
      <alignment horizontal="left" vertical="center" wrapText="1"/>
    </xf>
    <xf numFmtId="168" fontId="12" fillId="0" borderId="0" xfId="0" applyNumberFormat="1" applyFont="1" applyAlignment="1">
      <alignment horizontal="center"/>
    </xf>
    <xf numFmtId="0" fontId="12" fillId="0" borderId="0" xfId="0" quotePrefix="1" applyFont="1" applyAlignment="1">
      <alignment horizontal="left" indent="2"/>
    </xf>
    <xf numFmtId="2" fontId="12" fillId="0" borderId="0" xfId="0" applyNumberFormat="1" applyFont="1" applyAlignment="1">
      <alignment horizontal="center"/>
    </xf>
    <xf numFmtId="0" fontId="12" fillId="0" borderId="1" xfId="0" applyFont="1" applyBorder="1" applyAlignment="1">
      <alignment horizontal="left" wrapText="1"/>
    </xf>
    <xf numFmtId="0" fontId="12" fillId="0" borderId="6" xfId="0" applyFont="1" applyBorder="1" applyAlignment="1">
      <alignment horizontal="left"/>
    </xf>
    <xf numFmtId="168" fontId="12" fillId="0" borderId="6" xfId="0" applyNumberFormat="1" applyFont="1" applyBorder="1" applyAlignment="1">
      <alignment horizontal="center"/>
    </xf>
    <xf numFmtId="0" fontId="13" fillId="0" borderId="7" xfId="0" applyFont="1" applyBorder="1" applyAlignment="1">
      <alignment horizontal="left"/>
    </xf>
    <xf numFmtId="0" fontId="13" fillId="0" borderId="0" xfId="0" applyFont="1" applyAlignment="1">
      <alignment horizontal="left"/>
    </xf>
    <xf numFmtId="4" fontId="12" fillId="0" borderId="0" xfId="0" applyNumberFormat="1" applyFont="1"/>
    <xf numFmtId="4" fontId="13" fillId="0" borderId="0" xfId="0" applyNumberFormat="1" applyFont="1" applyAlignment="1">
      <alignment horizontal="left"/>
    </xf>
    <xf numFmtId="4" fontId="12" fillId="0" borderId="0" xfId="0" quotePrefix="1" applyNumberFormat="1" applyFont="1" applyAlignment="1">
      <alignment horizontal="left"/>
    </xf>
    <xf numFmtId="168" fontId="12" fillId="0" borderId="0" xfId="0" applyNumberFormat="1" applyFont="1" applyAlignment="1">
      <alignment horizontal="center" wrapText="1"/>
    </xf>
    <xf numFmtId="168" fontId="12" fillId="0" borderId="1" xfId="0" applyNumberFormat="1" applyFont="1" applyBorder="1" applyAlignment="1">
      <alignment horizontal="center" wrapText="1"/>
    </xf>
    <xf numFmtId="0" fontId="12" fillId="0" borderId="1" xfId="0" quotePrefix="1" applyFont="1" applyBorder="1" applyAlignment="1">
      <alignment horizontal="center"/>
    </xf>
    <xf numFmtId="168" fontId="12" fillId="0" borderId="1" xfId="0" quotePrefix="1" applyNumberFormat="1" applyFont="1" applyBorder="1" applyAlignment="1">
      <alignment horizontal="center"/>
    </xf>
    <xf numFmtId="0" fontId="46" fillId="0" borderId="0" xfId="0" applyFont="1" applyAlignment="1">
      <alignment horizontal="left" vertical="center"/>
    </xf>
    <xf numFmtId="0" fontId="35" fillId="0" borderId="0" xfId="0" applyFont="1" applyAlignment="1">
      <alignment horizontal="right"/>
    </xf>
    <xf numFmtId="0" fontId="12" fillId="0" borderId="6" xfId="0" applyFont="1" applyBorder="1" applyAlignment="1">
      <alignment horizontal="left" indent="2"/>
    </xf>
    <xf numFmtId="7" fontId="12" fillId="0" borderId="6" xfId="0" applyNumberFormat="1" applyFont="1" applyBorder="1" applyAlignment="1">
      <alignment horizontal="right"/>
    </xf>
    <xf numFmtId="2" fontId="37" fillId="0" borderId="0" xfId="0" applyNumberFormat="1" applyFont="1" applyAlignment="1">
      <alignment horizontal="left" indent="3"/>
    </xf>
    <xf numFmtId="4" fontId="12" fillId="0" borderId="0" xfId="0" quotePrefix="1" applyNumberFormat="1" applyFont="1" applyAlignment="1">
      <alignment horizontal="center"/>
    </xf>
    <xf numFmtId="168" fontId="12" fillId="6" borderId="0" xfId="0" applyNumberFormat="1" applyFont="1" applyFill="1" applyAlignment="1">
      <alignment horizontal="center"/>
    </xf>
    <xf numFmtId="2" fontId="38" fillId="0" borderId="0" xfId="0" applyNumberFormat="1" applyFont="1" applyAlignment="1">
      <alignment horizontal="center" wrapText="1"/>
    </xf>
    <xf numFmtId="2" fontId="38" fillId="0" borderId="1" xfId="0" applyNumberFormat="1" applyFont="1" applyBorder="1" applyAlignment="1">
      <alignment horizontal="center" wrapText="1"/>
    </xf>
    <xf numFmtId="168" fontId="12" fillId="6" borderId="6" xfId="0" applyNumberFormat="1" applyFont="1" applyFill="1" applyBorder="1" applyAlignment="1">
      <alignment horizontal="center"/>
    </xf>
    <xf numFmtId="0" fontId="36" fillId="0" borderId="7" xfId="0" applyFont="1" applyBorder="1" applyAlignment="1">
      <alignment horizontal="left"/>
    </xf>
    <xf numFmtId="0" fontId="36" fillId="0" borderId="0" xfId="0" applyFont="1" applyAlignment="1">
      <alignment horizontal="left"/>
    </xf>
    <xf numFmtId="0" fontId="11" fillId="2" borderId="0" xfId="0" applyFont="1" applyFill="1" applyAlignment="1">
      <alignment horizontal="center"/>
    </xf>
    <xf numFmtId="0" fontId="12" fillId="2" borderId="0" xfId="0" applyFont="1" applyFill="1" applyAlignment="1">
      <alignment horizontal="center"/>
    </xf>
    <xf numFmtId="4" fontId="12" fillId="2" borderId="0" xfId="0" applyNumberFormat="1" applyFont="1" applyFill="1" applyAlignment="1">
      <alignment horizontal="left"/>
    </xf>
    <xf numFmtId="4" fontId="13" fillId="2" borderId="0" xfId="0" applyNumberFormat="1" applyFont="1" applyFill="1" applyAlignment="1">
      <alignment horizontal="left"/>
    </xf>
    <xf numFmtId="4" fontId="12" fillId="0" borderId="0" xfId="0" applyNumberFormat="1" applyFont="1" applyAlignment="1">
      <alignment horizontal="left"/>
    </xf>
    <xf numFmtId="0" fontId="14" fillId="2" borderId="0" xfId="0" applyFont="1" applyFill="1" applyAlignment="1">
      <alignment horizontal="center"/>
    </xf>
    <xf numFmtId="7" fontId="15" fillId="2" borderId="0" xfId="0" applyNumberFormat="1" applyFont="1" applyFill="1" applyAlignment="1">
      <alignment horizontal="center"/>
    </xf>
    <xf numFmtId="0" fontId="12" fillId="2" borderId="0" xfId="0" applyFont="1" applyFill="1" applyAlignment="1">
      <alignment horizontal="left"/>
    </xf>
    <xf numFmtId="2" fontId="18" fillId="2" borderId="5" xfId="0" applyNumberFormat="1" applyFont="1" applyFill="1" applyBorder="1" applyAlignment="1">
      <alignment horizontal="center"/>
    </xf>
    <xf numFmtId="168" fontId="12" fillId="2" borderId="0" xfId="0" applyNumberFormat="1" applyFont="1" applyFill="1" applyAlignment="1">
      <alignment horizontal="center"/>
    </xf>
    <xf numFmtId="0" fontId="12" fillId="2" borderId="1" xfId="0" quotePrefix="1" applyFont="1" applyFill="1" applyBorder="1" applyAlignment="1">
      <alignment horizontal="center"/>
    </xf>
    <xf numFmtId="0" fontId="19" fillId="2" borderId="1" xfId="0" quotePrefix="1" applyFont="1" applyFill="1" applyBorder="1" applyAlignment="1">
      <alignment horizontal="center"/>
    </xf>
    <xf numFmtId="168" fontId="12" fillId="2" borderId="1" xfId="0" quotePrefix="1" applyNumberFormat="1" applyFont="1" applyFill="1" applyBorder="1" applyAlignment="1">
      <alignment horizontal="center"/>
    </xf>
    <xf numFmtId="0" fontId="12" fillId="2" borderId="6" xfId="0" applyFont="1" applyFill="1" applyBorder="1" applyAlignment="1">
      <alignment horizontal="left"/>
    </xf>
    <xf numFmtId="168" fontId="12" fillId="2" borderId="6" xfId="0" applyNumberFormat="1" applyFont="1" applyFill="1" applyBorder="1" applyAlignment="1">
      <alignment horizontal="center"/>
    </xf>
    <xf numFmtId="0" fontId="14" fillId="2" borderId="0" xfId="0" quotePrefix="1" applyFont="1" applyFill="1" applyAlignment="1">
      <alignment horizontal="left"/>
    </xf>
    <xf numFmtId="0" fontId="14" fillId="2" borderId="0" xfId="0" applyFont="1" applyFill="1" applyAlignment="1">
      <alignment horizontal="left"/>
    </xf>
    <xf numFmtId="169" fontId="14" fillId="2" borderId="0" xfId="0" applyNumberFormat="1" applyFont="1" applyFill="1" applyAlignment="1">
      <alignment horizontal="left"/>
    </xf>
    <xf numFmtId="168" fontId="12" fillId="2" borderId="0" xfId="0" applyNumberFormat="1" applyFont="1" applyFill="1" applyAlignment="1">
      <alignment horizontal="center" wrapText="1"/>
    </xf>
    <xf numFmtId="0" fontId="12" fillId="2" borderId="1" xfId="0" applyFont="1" applyFill="1" applyBorder="1" applyAlignment="1">
      <alignment horizontal="left" wrapText="1"/>
    </xf>
    <xf numFmtId="0" fontId="19" fillId="2" borderId="1" xfId="0" applyFont="1" applyFill="1" applyBorder="1" applyAlignment="1">
      <alignment horizontal="center" wrapText="1"/>
    </xf>
    <xf numFmtId="168" fontId="12" fillId="2" borderId="1" xfId="0" applyNumberFormat="1" applyFont="1" applyFill="1" applyBorder="1" applyAlignment="1">
      <alignment horizontal="center" wrapText="1"/>
    </xf>
    <xf numFmtId="0" fontId="18" fillId="2" borderId="5" xfId="0" applyFont="1" applyFill="1" applyBorder="1" applyAlignment="1">
      <alignment horizontal="center"/>
    </xf>
    <xf numFmtId="2" fontId="18" fillId="2" borderId="1" xfId="0" applyNumberFormat="1" applyFont="1" applyFill="1" applyBorder="1" applyAlignment="1">
      <alignment horizontal="center"/>
    </xf>
    <xf numFmtId="0" fontId="12" fillId="2" borderId="1" xfId="0" applyFont="1" applyFill="1" applyBorder="1" applyAlignment="1">
      <alignment horizontal="left"/>
    </xf>
    <xf numFmtId="168" fontId="12" fillId="2" borderId="1" xfId="0" applyNumberFormat="1" applyFont="1" applyFill="1" applyBorder="1" applyAlignment="1">
      <alignment horizontal="center"/>
    </xf>
    <xf numFmtId="0" fontId="12" fillId="2" borderId="6" xfId="0" applyFont="1" applyFill="1" applyBorder="1" applyAlignment="1">
      <alignment horizontal="right"/>
    </xf>
    <xf numFmtId="2" fontId="17" fillId="2" borderId="1" xfId="0" applyNumberFormat="1" applyFont="1" applyFill="1" applyBorder="1" applyAlignment="1">
      <alignment horizontal="center"/>
    </xf>
    <xf numFmtId="2" fontId="12" fillId="2" borderId="0" xfId="0" applyNumberFormat="1" applyFont="1" applyFill="1" applyAlignment="1">
      <alignment horizontal="center"/>
    </xf>
    <xf numFmtId="0" fontId="12" fillId="2" borderId="0" xfId="0" applyFont="1" applyFill="1" applyAlignment="1">
      <alignment horizontal="left" wrapText="1"/>
    </xf>
    <xf numFmtId="0" fontId="12" fillId="2" borderId="0" xfId="0" quotePrefix="1" applyFont="1" applyFill="1" applyAlignment="1">
      <alignment horizontal="left"/>
    </xf>
    <xf numFmtId="0" fontId="21" fillId="2" borderId="0" xfId="0" applyFont="1" applyFill="1" applyAlignment="1">
      <alignment horizontal="right"/>
    </xf>
    <xf numFmtId="0" fontId="21" fillId="2" borderId="0" xfId="0" quotePrefix="1" applyFont="1" applyFill="1" applyAlignment="1">
      <alignment horizontal="center"/>
    </xf>
    <xf numFmtId="0" fontId="21" fillId="2" borderId="0" xfId="0" applyFont="1" applyFill="1" applyAlignment="1">
      <alignment horizontal="center"/>
    </xf>
    <xf numFmtId="4" fontId="21" fillId="2" borderId="0" xfId="0" applyNumberFormat="1" applyFont="1" applyFill="1" applyAlignment="1">
      <alignment horizontal="left"/>
    </xf>
    <xf numFmtId="168" fontId="12" fillId="2" borderId="0" xfId="0" quotePrefix="1" applyNumberFormat="1" applyFont="1" applyFill="1" applyAlignment="1">
      <alignment horizontal="left"/>
    </xf>
    <xf numFmtId="168" fontId="12" fillId="2" borderId="0" xfId="0" applyNumberFormat="1" applyFont="1" applyFill="1" applyAlignment="1">
      <alignment horizontal="left"/>
    </xf>
    <xf numFmtId="166" fontId="17" fillId="2" borderId="0" xfId="0" applyNumberFormat="1" applyFont="1" applyFill="1" applyAlignment="1">
      <alignment horizontal="left"/>
    </xf>
    <xf numFmtId="168" fontId="16" fillId="2" borderId="0" xfId="0" quotePrefix="1" applyNumberFormat="1" applyFont="1" applyFill="1" applyAlignment="1">
      <alignment horizontal="left"/>
    </xf>
    <xf numFmtId="168" fontId="16" fillId="2" borderId="0" xfId="0" applyNumberFormat="1" applyFont="1" applyFill="1" applyAlignment="1">
      <alignment horizontal="left"/>
    </xf>
    <xf numFmtId="168" fontId="41" fillId="2" borderId="0" xfId="0" quotePrefix="1" applyNumberFormat="1" applyFont="1" applyFill="1" applyAlignment="1">
      <alignment horizontal="left"/>
    </xf>
    <xf numFmtId="168" fontId="41" fillId="2" borderId="0" xfId="0" applyNumberFormat="1" applyFont="1" applyFill="1" applyAlignment="1">
      <alignment horizontal="left"/>
    </xf>
    <xf numFmtId="0" fontId="12" fillId="2" borderId="0" xfId="0" quotePrefix="1" applyFont="1" applyFill="1" applyAlignment="1">
      <alignment horizontal="left" wrapText="1"/>
    </xf>
    <xf numFmtId="0" fontId="12" fillId="2" borderId="1" xfId="0" applyFont="1" applyFill="1" applyBorder="1" applyAlignment="1">
      <alignment horizontal="center"/>
    </xf>
    <xf numFmtId="0" fontId="18" fillId="2" borderId="1" xfId="0" applyFont="1" applyFill="1" applyBorder="1" applyAlignment="1">
      <alignment horizontal="center"/>
    </xf>
    <xf numFmtId="169" fontId="35" fillId="2" borderId="0" xfId="0" applyNumberFormat="1" applyFont="1" applyFill="1" applyAlignment="1">
      <alignment horizontal="center"/>
    </xf>
    <xf numFmtId="165" fontId="12" fillId="2" borderId="7" xfId="4" applyFont="1" applyFill="1" applyBorder="1" applyAlignment="1">
      <alignment horizontal="right"/>
    </xf>
    <xf numFmtId="165" fontId="12" fillId="2" borderId="0" xfId="4" applyFont="1" applyFill="1" applyBorder="1" applyAlignment="1">
      <alignment horizontal="right"/>
    </xf>
    <xf numFmtId="2" fontId="22" fillId="2" borderId="0" xfId="0" applyNumberFormat="1" applyFont="1" applyFill="1" applyAlignment="1">
      <alignment horizontal="left"/>
    </xf>
    <xf numFmtId="4" fontId="12" fillId="2" borderId="0" xfId="0" quotePrefix="1" applyNumberFormat="1" applyFont="1" applyFill="1" applyAlignment="1">
      <alignment horizontal="left"/>
    </xf>
    <xf numFmtId="0" fontId="16" fillId="2" borderId="0" xfId="0" applyFont="1" applyFill="1" applyAlignment="1">
      <alignment horizontal="left"/>
    </xf>
    <xf numFmtId="0" fontId="16" fillId="0" borderId="0" xfId="0" applyFont="1" applyAlignment="1">
      <alignment horizontal="left"/>
    </xf>
    <xf numFmtId="0" fontId="12" fillId="2" borderId="0" xfId="0" applyFont="1" applyFill="1" applyAlignment="1">
      <alignment horizontal="right"/>
    </xf>
    <xf numFmtId="0" fontId="30" fillId="2" borderId="0" xfId="0" applyFont="1" applyFill="1" applyAlignment="1">
      <alignment horizontal="left"/>
    </xf>
    <xf numFmtId="7" fontId="12" fillId="2" borderId="6" xfId="0" applyNumberFormat="1" applyFont="1" applyFill="1" applyBorder="1" applyAlignment="1">
      <alignment horizontal="right"/>
    </xf>
    <xf numFmtId="7" fontId="12" fillId="2" borderId="0" xfId="0" applyNumberFormat="1" applyFont="1" applyFill="1" applyAlignment="1">
      <alignment horizontal="right"/>
    </xf>
    <xf numFmtId="0" fontId="18" fillId="2" borderId="0" xfId="0" applyFont="1" applyFill="1" applyAlignment="1">
      <alignment horizontal="right"/>
    </xf>
    <xf numFmtId="0" fontId="14" fillId="2" borderId="6" xfId="0" applyFont="1" applyFill="1" applyBorder="1" applyAlignment="1">
      <alignment horizontal="left" vertical="center" wrapText="1"/>
    </xf>
    <xf numFmtId="0" fontId="14" fillId="2" borderId="0" xfId="0" applyFont="1" applyFill="1" applyAlignment="1">
      <alignment horizontal="left" vertical="center" wrapText="1"/>
    </xf>
    <xf numFmtId="2" fontId="19" fillId="2" borderId="1" xfId="0" applyNumberFormat="1" applyFont="1" applyFill="1" applyBorder="1" applyAlignment="1">
      <alignment horizontal="center"/>
    </xf>
    <xf numFmtId="4" fontId="18" fillId="2" borderId="1" xfId="0" applyNumberFormat="1" applyFont="1" applyFill="1" applyBorder="1" applyAlignment="1">
      <alignment horizontal="center" wrapText="1"/>
    </xf>
    <xf numFmtId="4" fontId="18" fillId="2" borderId="5" xfId="0" applyNumberFormat="1" applyFont="1" applyFill="1" applyBorder="1" applyAlignment="1">
      <alignment horizontal="center" wrapText="1"/>
    </xf>
    <xf numFmtId="4" fontId="18" fillId="2" borderId="21" xfId="0" applyNumberFormat="1" applyFont="1" applyFill="1" applyBorder="1" applyAlignment="1">
      <alignment horizontal="center" wrapText="1"/>
    </xf>
    <xf numFmtId="2" fontId="12" fillId="2" borderId="22" xfId="0" applyNumberFormat="1" applyFont="1" applyFill="1" applyBorder="1" applyAlignment="1">
      <alignment horizontal="center"/>
    </xf>
    <xf numFmtId="0" fontId="3" fillId="2" borderId="0" xfId="0" quotePrefix="1" applyFont="1" applyFill="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7" fontId="12" fillId="8" borderId="6" xfId="0" applyNumberFormat="1" applyFont="1" applyFill="1" applyBorder="1" applyAlignment="1">
      <alignment horizontal="right"/>
    </xf>
  </cellXfs>
  <cellStyles count="12">
    <cellStyle name="Comma" xfId="1" builtinId="3"/>
    <cellStyle name="Comma 2" xfId="2"/>
    <cellStyle name="Comma 3 8" xfId="3"/>
    <cellStyle name="Comma_charter school revenue frame" xfId="4"/>
    <cellStyle name="Currency 2 8" xfId="5"/>
    <cellStyle name="Currency_charter school revenue frame" xfId="6"/>
    <cellStyle name="Normal" xfId="0" builtinId="0"/>
    <cellStyle name="Normal 2" xfId="7"/>
    <cellStyle name="Normal 2 2" xfId="8"/>
    <cellStyle name="Normal 3 8" xfId="9"/>
    <cellStyle name="Percent" xfId="10" builtinId="5"/>
    <cellStyle name="Percent 3 8" xfId="11"/>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142874</xdr:colOff>
      <xdr:row>490</xdr:row>
      <xdr:rowOff>85724</xdr:rowOff>
    </xdr:from>
    <xdr:to>
      <xdr:col>6</xdr:col>
      <xdr:colOff>828674</xdr:colOff>
      <xdr:row>502</xdr:row>
      <xdr:rowOff>37687</xdr:rowOff>
    </xdr:to>
    <xdr:pic>
      <xdr:nvPicPr>
        <xdr:cNvPr id="5" name="Picture 4"/>
        <xdr:cNvPicPr>
          <a:picLocks noChangeAspect="1"/>
        </xdr:cNvPicPr>
      </xdr:nvPicPr>
      <xdr:blipFill>
        <a:blip xmlns:r="http://schemas.openxmlformats.org/officeDocument/2006/relationships" r:embed="rId1"/>
        <a:stretch>
          <a:fillRect/>
        </a:stretch>
      </xdr:blipFill>
      <xdr:spPr>
        <a:xfrm>
          <a:off x="828674" y="14011274"/>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39"/>
  <sheetViews>
    <sheetView showGridLines="0" tabSelected="1" zoomScaleNormal="100" workbookViewId="0">
      <pane ySplit="4" topLeftCell="A493" activePane="bottomLeft" state="frozen"/>
      <selection activeCell="E26" sqref="E26"/>
      <selection pane="bottomLeft" activeCell="C520" sqref="C520"/>
    </sheetView>
  </sheetViews>
  <sheetFormatPr defaultRowHeight="12.75" customHeight="1" x14ac:dyDescent="0.2"/>
  <cols>
    <col min="1" max="1" width="3" style="188" bestFit="1" customWidth="1"/>
    <col min="2" max="2" width="7.28515625" style="188" customWidth="1"/>
    <col min="3" max="3" width="43.28515625" style="188" customWidth="1"/>
    <col min="4" max="4" width="18.5703125"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477</v>
      </c>
      <c r="C1" s="217"/>
      <c r="I1" s="244"/>
    </row>
    <row r="2" spans="1:9" ht="12.75" customHeight="1" x14ac:dyDescent="0.2">
      <c r="B2" s="238" t="str">
        <f>'1461'!A3</f>
        <v>Based on the FLDOE 2023-24 FEFP Second Calculation</v>
      </c>
      <c r="C2" s="218"/>
      <c r="E2" s="230"/>
      <c r="F2" s="240"/>
      <c r="G2" s="230"/>
      <c r="I2" s="253"/>
    </row>
    <row r="3" spans="1:9" ht="12.75" customHeight="1" thickBot="1" x14ac:dyDescent="0.25">
      <c r="B3" s="191"/>
      <c r="C3" s="218"/>
      <c r="E3" s="230"/>
      <c r="F3" s="504"/>
      <c r="G3" s="504"/>
      <c r="I3" s="253"/>
    </row>
    <row r="4" spans="1:9" ht="12.75" customHeight="1" thickBot="1" x14ac:dyDescent="0.25">
      <c r="A4" s="192"/>
      <c r="B4" s="193" t="s">
        <v>157</v>
      </c>
      <c r="C4" s="221" t="s">
        <v>227</v>
      </c>
      <c r="D4" s="194" t="s">
        <v>158</v>
      </c>
      <c r="E4" s="234" t="s">
        <v>2</v>
      </c>
      <c r="F4" s="271" t="s">
        <v>252</v>
      </c>
      <c r="G4" s="234" t="s">
        <v>232</v>
      </c>
      <c r="I4" s="317" t="s">
        <v>279</v>
      </c>
    </row>
    <row r="5" spans="1:9" s="261" customFormat="1" ht="12.75" customHeight="1" x14ac:dyDescent="0.2">
      <c r="A5" s="199">
        <v>1</v>
      </c>
      <c r="B5" s="200" t="s">
        <v>159</v>
      </c>
      <c r="C5" s="220" t="s">
        <v>191</v>
      </c>
      <c r="D5" s="497" t="s">
        <v>476</v>
      </c>
      <c r="E5" s="201">
        <f>'1461'!I$142</f>
        <v>497434.56</v>
      </c>
      <c r="F5" s="328"/>
      <c r="G5" s="201">
        <f>SUBTOTAL(109,E5:F26)</f>
        <v>486784.73000000004</v>
      </c>
      <c r="H5" s="260"/>
      <c r="I5" s="336"/>
    </row>
    <row r="6" spans="1:9" s="261" customFormat="1" ht="12.75" hidden="1" customHeight="1" x14ac:dyDescent="0.2">
      <c r="A6" s="199"/>
      <c r="B6" s="200"/>
      <c r="C6" s="220"/>
      <c r="D6" s="233" t="s">
        <v>280</v>
      </c>
      <c r="E6" s="201"/>
      <c r="F6" s="328"/>
      <c r="G6" s="201"/>
      <c r="H6" s="260"/>
      <c r="I6" s="337"/>
    </row>
    <row r="7" spans="1:9" s="261" customFormat="1" ht="12.75" hidden="1" customHeight="1" x14ac:dyDescent="0.2">
      <c r="A7" s="199"/>
      <c r="B7" s="200"/>
      <c r="C7" s="220"/>
      <c r="D7" s="374" t="s">
        <v>339</v>
      </c>
      <c r="E7" s="201"/>
      <c r="F7" s="328"/>
      <c r="G7" s="201"/>
      <c r="H7" s="260"/>
      <c r="I7" s="337"/>
    </row>
    <row r="8" spans="1:9" s="261" customFormat="1" ht="12.75" hidden="1" customHeight="1" x14ac:dyDescent="0.2">
      <c r="A8" s="199"/>
      <c r="B8" s="200"/>
      <c r="C8" s="220"/>
      <c r="D8" s="233" t="s">
        <v>282</v>
      </c>
      <c r="E8" s="201"/>
      <c r="F8" s="328"/>
      <c r="G8" s="201"/>
      <c r="H8" s="260"/>
      <c r="I8" s="375"/>
    </row>
    <row r="9" spans="1:9" s="261" customFormat="1" ht="12.75" hidden="1" customHeight="1" x14ac:dyDescent="0.2">
      <c r="A9" s="199"/>
      <c r="B9" s="200"/>
      <c r="C9" s="220"/>
      <c r="D9" s="233" t="s">
        <v>281</v>
      </c>
      <c r="E9" s="201"/>
      <c r="F9" s="328"/>
      <c r="G9" s="201"/>
      <c r="H9" s="260"/>
      <c r="I9" s="375"/>
    </row>
    <row r="10" spans="1:9" s="261" customFormat="1" ht="12.75" hidden="1" customHeight="1" x14ac:dyDescent="0.2">
      <c r="A10" s="199"/>
      <c r="B10" s="200"/>
      <c r="C10" s="220"/>
      <c r="D10" s="233" t="s">
        <v>290</v>
      </c>
      <c r="E10" s="201"/>
      <c r="F10" s="328"/>
      <c r="G10" s="201"/>
      <c r="H10" s="260"/>
      <c r="I10" s="337"/>
    </row>
    <row r="11" spans="1:9" s="261" customFormat="1" ht="12.75" hidden="1" customHeight="1" x14ac:dyDescent="0.2">
      <c r="A11" s="199"/>
      <c r="B11" s="200"/>
      <c r="C11" s="220"/>
      <c r="D11" s="233" t="s">
        <v>259</v>
      </c>
      <c r="E11" s="201"/>
      <c r="F11" s="328"/>
      <c r="G11" s="201"/>
      <c r="H11" s="260"/>
      <c r="I11" s="340"/>
    </row>
    <row r="12" spans="1:9" s="261" customFormat="1" ht="12.75" customHeight="1" x14ac:dyDescent="0.2">
      <c r="A12" s="199"/>
      <c r="B12" s="200"/>
      <c r="C12" s="229"/>
      <c r="D12" s="281" t="s">
        <v>286</v>
      </c>
      <c r="E12" s="201"/>
      <c r="F12" s="328">
        <v>0</v>
      </c>
      <c r="G12" s="201"/>
      <c r="H12" s="260"/>
      <c r="I12" s="340"/>
    </row>
    <row r="13" spans="1:9" s="261" customFormat="1" ht="12.75" customHeight="1" x14ac:dyDescent="0.2">
      <c r="A13" s="199"/>
      <c r="B13" s="200"/>
      <c r="C13" s="229"/>
      <c r="D13" s="281" t="s">
        <v>230</v>
      </c>
      <c r="E13" s="201"/>
      <c r="F13" s="328">
        <v>-8454.5</v>
      </c>
      <c r="G13" s="201"/>
      <c r="H13" s="260"/>
      <c r="I13" s="338" t="s">
        <v>306</v>
      </c>
    </row>
    <row r="14" spans="1:9" s="261" customFormat="1" ht="12.75" customHeight="1" x14ac:dyDescent="0.2">
      <c r="A14" s="199"/>
      <c r="B14" s="200"/>
      <c r="C14" s="229"/>
      <c r="D14" s="281" t="s">
        <v>231</v>
      </c>
      <c r="E14" s="201"/>
      <c r="F14" s="328">
        <v>-135.16</v>
      </c>
      <c r="G14" s="201"/>
      <c r="H14" s="260"/>
      <c r="I14" s="338"/>
    </row>
    <row r="15" spans="1:9" s="261" customFormat="1" ht="12.75" customHeight="1" x14ac:dyDescent="0.2">
      <c r="A15" s="199"/>
      <c r="B15" s="200"/>
      <c r="C15" s="229"/>
      <c r="D15" s="315" t="s">
        <v>435</v>
      </c>
      <c r="E15" s="201"/>
      <c r="F15" s="328">
        <v>-94.48</v>
      </c>
      <c r="G15" s="201"/>
      <c r="H15" s="260"/>
      <c r="I15" s="338"/>
    </row>
    <row r="16" spans="1:9" s="261" customFormat="1" ht="12.75" customHeight="1" thickBot="1" x14ac:dyDescent="0.25">
      <c r="A16" s="199"/>
      <c r="B16" s="200"/>
      <c r="C16" s="229"/>
      <c r="D16" s="281" t="s">
        <v>313</v>
      </c>
      <c r="E16" s="201"/>
      <c r="F16" s="328">
        <v>-90</v>
      </c>
      <c r="G16" s="201"/>
      <c r="H16" s="260"/>
      <c r="I16" s="503"/>
    </row>
    <row r="17" spans="1:12" s="261" customFormat="1" ht="12.75" hidden="1" customHeight="1" x14ac:dyDescent="0.2">
      <c r="A17" s="199"/>
      <c r="B17" s="200"/>
      <c r="C17" s="376" t="s">
        <v>347</v>
      </c>
      <c r="D17" s="315" t="s">
        <v>332</v>
      </c>
      <c r="E17" s="201"/>
      <c r="F17" s="328"/>
      <c r="G17" s="201"/>
      <c r="H17" s="260"/>
      <c r="I17" s="339"/>
    </row>
    <row r="18" spans="1:12" s="261" customFormat="1" ht="12.75" hidden="1" customHeight="1" x14ac:dyDescent="0.2">
      <c r="A18" s="199"/>
      <c r="B18" s="200"/>
      <c r="C18" s="229"/>
      <c r="D18" s="315" t="s">
        <v>334</v>
      </c>
      <c r="E18" s="201"/>
      <c r="F18" s="328"/>
      <c r="G18" s="201"/>
      <c r="H18" s="260"/>
      <c r="I18" s="340"/>
    </row>
    <row r="19" spans="1:12" s="261" customFormat="1" ht="12.75" hidden="1" customHeight="1" x14ac:dyDescent="0.2">
      <c r="A19" s="199"/>
      <c r="B19" s="200"/>
      <c r="C19" s="229"/>
      <c r="D19" s="315" t="s">
        <v>336</v>
      </c>
      <c r="E19" s="201"/>
      <c r="F19" s="328"/>
      <c r="G19" s="201"/>
      <c r="H19" s="260"/>
      <c r="I19" s="340"/>
    </row>
    <row r="20" spans="1:12" s="261" customFormat="1" ht="12.75" hidden="1" customHeight="1" x14ac:dyDescent="0.2">
      <c r="A20" s="199"/>
      <c r="B20" s="200"/>
      <c r="C20" s="229"/>
      <c r="D20" s="315" t="s">
        <v>342</v>
      </c>
      <c r="E20" s="201"/>
      <c r="F20" s="328"/>
      <c r="G20" s="201"/>
      <c r="H20" s="260"/>
      <c r="I20" s="340"/>
    </row>
    <row r="21" spans="1:12" s="261" customFormat="1" ht="12.75" hidden="1" customHeight="1" x14ac:dyDescent="0.2">
      <c r="A21" s="199"/>
      <c r="B21" s="200"/>
      <c r="C21" s="229"/>
      <c r="D21" s="315" t="s">
        <v>344</v>
      </c>
      <c r="E21" s="201"/>
      <c r="F21" s="328"/>
      <c r="G21" s="201"/>
      <c r="H21" s="260"/>
      <c r="I21" s="336"/>
    </row>
    <row r="22" spans="1:12" s="261" customFormat="1" ht="12.75" hidden="1" customHeight="1" x14ac:dyDescent="0.2">
      <c r="A22" s="199"/>
      <c r="B22" s="200"/>
      <c r="C22" s="229"/>
      <c r="D22" s="315" t="s">
        <v>345</v>
      </c>
      <c r="E22" s="201"/>
      <c r="F22" s="328"/>
      <c r="G22" s="201"/>
      <c r="H22" s="260"/>
      <c r="I22" s="338"/>
    </row>
    <row r="23" spans="1:12" s="261" customFormat="1" ht="12.75" hidden="1" customHeight="1" thickBot="1" x14ac:dyDescent="0.25">
      <c r="A23" s="199"/>
      <c r="B23" s="200"/>
      <c r="C23" s="229"/>
      <c r="D23" s="315" t="s">
        <v>346</v>
      </c>
      <c r="E23" s="201"/>
      <c r="F23" s="328"/>
      <c r="G23" s="201"/>
      <c r="H23" s="260"/>
      <c r="I23" s="341"/>
    </row>
    <row r="24" spans="1:12" s="261" customFormat="1" ht="12.75" hidden="1" customHeight="1" x14ac:dyDescent="0.2">
      <c r="A24" s="199"/>
      <c r="B24" s="200"/>
      <c r="C24" s="229"/>
      <c r="D24" s="315" t="s">
        <v>349</v>
      </c>
      <c r="E24" s="201"/>
      <c r="F24" s="328"/>
      <c r="G24" s="201"/>
      <c r="H24" s="260"/>
      <c r="I24" s="379"/>
    </row>
    <row r="25" spans="1:12" s="261" customFormat="1" ht="12.75" hidden="1" customHeight="1" x14ac:dyDescent="0.2">
      <c r="A25" s="199"/>
      <c r="B25" s="200"/>
      <c r="C25" s="229"/>
      <c r="D25" s="315" t="s">
        <v>350</v>
      </c>
      <c r="E25" s="201"/>
      <c r="F25" s="328"/>
      <c r="G25" s="201"/>
      <c r="H25" s="260"/>
    </row>
    <row r="26" spans="1:12" s="261" customFormat="1" ht="12.75" customHeight="1" x14ac:dyDescent="0.2">
      <c r="A26" s="199"/>
      <c r="B26" s="200"/>
      <c r="C26" s="229"/>
      <c r="D26" s="315" t="s">
        <v>494</v>
      </c>
      <c r="E26" s="201"/>
      <c r="F26" s="328">
        <v>-1875.69</v>
      </c>
      <c r="G26" s="201"/>
      <c r="H26" s="260"/>
      <c r="I26" s="320"/>
    </row>
    <row r="27" spans="1:12" s="261" customFormat="1" ht="12.75" customHeight="1" x14ac:dyDescent="0.2">
      <c r="A27" s="195">
        <f>1+A5</f>
        <v>2</v>
      </c>
      <c r="B27" s="196" t="s">
        <v>160</v>
      </c>
      <c r="C27" s="219" t="s">
        <v>193</v>
      </c>
      <c r="D27" s="496" t="str">
        <f>$D$5</f>
        <v>FTE AUG 23</v>
      </c>
      <c r="E27" s="198">
        <f>'1571'!I$142</f>
        <v>768922.08</v>
      </c>
      <c r="F27" s="329"/>
      <c r="G27" s="198">
        <f>SUBTOTAL(109,E27:F42)</f>
        <v>759806.05999999994</v>
      </c>
      <c r="H27" s="260"/>
      <c r="I27" s="323"/>
    </row>
    <row r="28" spans="1:12" s="261" customFormat="1" ht="12.75" hidden="1" customHeight="1" x14ac:dyDescent="0.2">
      <c r="A28" s="195"/>
      <c r="B28" s="196"/>
      <c r="C28" s="365"/>
      <c r="D28" s="232" t="s">
        <v>280</v>
      </c>
      <c r="E28" s="198"/>
      <c r="F28" s="329"/>
      <c r="G28" s="198"/>
      <c r="H28" s="260"/>
      <c r="I28" s="323"/>
    </row>
    <row r="29" spans="1:12" s="261" customFormat="1" ht="12.75" hidden="1" customHeight="1" x14ac:dyDescent="0.2">
      <c r="A29" s="195"/>
      <c r="B29" s="196"/>
      <c r="C29" s="219"/>
      <c r="D29" s="342" t="s">
        <v>339</v>
      </c>
      <c r="E29" s="198"/>
      <c r="F29" s="329"/>
      <c r="G29" s="198"/>
      <c r="H29" s="260"/>
      <c r="I29" s="323"/>
    </row>
    <row r="30" spans="1:12" s="261" customFormat="1" ht="12.75" hidden="1" customHeight="1" x14ac:dyDescent="0.2">
      <c r="A30" s="195"/>
      <c r="B30" s="196"/>
      <c r="C30" s="241"/>
      <c r="D30" s="342" t="s">
        <v>338</v>
      </c>
      <c r="E30" s="198"/>
      <c r="F30" s="329"/>
      <c r="G30" s="198"/>
      <c r="H30" s="260"/>
      <c r="I30" s="323"/>
    </row>
    <row r="31" spans="1:12" s="261" customFormat="1" ht="12.75" hidden="1" customHeight="1" x14ac:dyDescent="0.2">
      <c r="A31" s="195"/>
      <c r="B31" s="196"/>
      <c r="C31" s="219"/>
      <c r="D31" s="232" t="s">
        <v>282</v>
      </c>
      <c r="E31" s="198"/>
      <c r="F31" s="329"/>
      <c r="G31" s="198"/>
      <c r="H31" s="260"/>
      <c r="I31" s="323"/>
      <c r="L31" s="319">
        <v>44630</v>
      </c>
    </row>
    <row r="32" spans="1:12" s="261" customFormat="1" ht="12.75" hidden="1" customHeight="1" x14ac:dyDescent="0.2">
      <c r="A32" s="195"/>
      <c r="B32" s="196"/>
      <c r="C32" s="219"/>
      <c r="D32" s="232" t="s">
        <v>281</v>
      </c>
      <c r="E32" s="198"/>
      <c r="F32" s="329"/>
      <c r="G32" s="198"/>
      <c r="H32" s="260"/>
      <c r="I32" s="323"/>
      <c r="L32" s="319">
        <f>L31-60</f>
        <v>44570</v>
      </c>
    </row>
    <row r="33" spans="1:13" s="261" customFormat="1" ht="12.75" hidden="1" customHeight="1" x14ac:dyDescent="0.2">
      <c r="A33" s="195"/>
      <c r="B33" s="196"/>
      <c r="C33" s="219"/>
      <c r="D33" s="232" t="s">
        <v>290</v>
      </c>
      <c r="E33" s="198"/>
      <c r="F33" s="329"/>
      <c r="G33" s="198"/>
      <c r="H33" s="260"/>
      <c r="I33" s="323"/>
    </row>
    <row r="34" spans="1:13" s="261" customFormat="1" ht="12.75" hidden="1" customHeight="1" x14ac:dyDescent="0.2">
      <c r="A34" s="195"/>
      <c r="B34" s="196"/>
      <c r="C34" s="219"/>
      <c r="D34" s="232" t="s">
        <v>259</v>
      </c>
      <c r="E34" s="198"/>
      <c r="F34" s="329"/>
      <c r="G34" s="198"/>
      <c r="H34" s="260"/>
      <c r="I34" s="323"/>
    </row>
    <row r="35" spans="1:13" s="261" customFormat="1" ht="12.75" customHeight="1" x14ac:dyDescent="0.2">
      <c r="A35" s="195"/>
      <c r="B35" s="196"/>
      <c r="C35" s="231"/>
      <c r="D35" s="278" t="s">
        <v>230</v>
      </c>
      <c r="E35" s="198"/>
      <c r="F35" s="329">
        <v>-8454.5</v>
      </c>
      <c r="G35" s="198"/>
      <c r="H35" s="260"/>
      <c r="I35" s="323"/>
    </row>
    <row r="36" spans="1:13" s="261" customFormat="1" ht="12.75" customHeight="1" x14ac:dyDescent="0.2">
      <c r="A36" s="195"/>
      <c r="B36" s="196"/>
      <c r="C36" s="231"/>
      <c r="D36" s="278" t="s">
        <v>231</v>
      </c>
      <c r="E36" s="198"/>
      <c r="F36" s="329">
        <v>-152.04</v>
      </c>
      <c r="G36" s="198"/>
      <c r="H36" s="260"/>
      <c r="I36" s="320"/>
    </row>
    <row r="37" spans="1:13" s="261" customFormat="1" ht="12.75" customHeight="1" x14ac:dyDescent="0.2">
      <c r="A37" s="195"/>
      <c r="B37" s="196"/>
      <c r="C37" s="231"/>
      <c r="D37" s="278" t="s">
        <v>435</v>
      </c>
      <c r="E37" s="198"/>
      <c r="F37" s="329">
        <v>-94.48</v>
      </c>
      <c r="G37" s="198"/>
      <c r="H37" s="260"/>
      <c r="I37" s="320"/>
    </row>
    <row r="38" spans="1:13" s="261" customFormat="1" ht="12.75" customHeight="1" x14ac:dyDescent="0.2">
      <c r="A38" s="195"/>
      <c r="B38" s="196"/>
      <c r="C38" s="231"/>
      <c r="D38" s="278" t="s">
        <v>313</v>
      </c>
      <c r="E38" s="198"/>
      <c r="F38" s="329">
        <v>-90</v>
      </c>
      <c r="G38" s="198"/>
      <c r="H38" s="260"/>
      <c r="I38" s="320"/>
    </row>
    <row r="39" spans="1:13" s="261" customFormat="1" ht="12.75" hidden="1" customHeight="1" x14ac:dyDescent="0.2">
      <c r="A39" s="195"/>
      <c r="B39" s="196"/>
      <c r="C39" s="377" t="s">
        <v>348</v>
      </c>
      <c r="D39" s="278" t="s">
        <v>332</v>
      </c>
      <c r="E39" s="198"/>
      <c r="F39" s="329">
        <v>0</v>
      </c>
      <c r="G39" s="198"/>
      <c r="H39" s="298"/>
      <c r="I39" s="320"/>
    </row>
    <row r="40" spans="1:13" s="261" customFormat="1" ht="12.75" hidden="1" customHeight="1" x14ac:dyDescent="0.2">
      <c r="A40" s="195"/>
      <c r="B40" s="196"/>
      <c r="C40" s="231"/>
      <c r="D40" s="343" t="s">
        <v>334</v>
      </c>
      <c r="E40" s="198"/>
      <c r="F40" s="329"/>
      <c r="G40" s="198"/>
      <c r="H40" s="260"/>
      <c r="I40" s="320"/>
    </row>
    <row r="41" spans="1:13" s="261" customFormat="1" ht="12.75" hidden="1" customHeight="1" x14ac:dyDescent="0.2">
      <c r="A41" s="195"/>
      <c r="B41" s="196"/>
      <c r="C41" s="231"/>
      <c r="D41" s="278" t="s">
        <v>320</v>
      </c>
      <c r="E41" s="198"/>
      <c r="F41" s="329">
        <v>0</v>
      </c>
      <c r="G41" s="198"/>
      <c r="H41" s="260"/>
      <c r="I41" s="320"/>
    </row>
    <row r="42" spans="1:13" s="261" customFormat="1" ht="12.75" customHeight="1" x14ac:dyDescent="0.2">
      <c r="A42" s="195"/>
      <c r="B42" s="196"/>
      <c r="C42" s="231"/>
      <c r="D42" s="439" t="s">
        <v>495</v>
      </c>
      <c r="E42" s="198"/>
      <c r="F42" s="329">
        <v>-325</v>
      </c>
      <c r="G42" s="198"/>
      <c r="H42" s="260"/>
      <c r="I42" s="320"/>
    </row>
    <row r="43" spans="1:13" s="261" customFormat="1" ht="12.75" customHeight="1" x14ac:dyDescent="0.2">
      <c r="A43" s="199">
        <f>1+A27</f>
        <v>3</v>
      </c>
      <c r="B43" s="200" t="s">
        <v>161</v>
      </c>
      <c r="C43" s="220" t="s">
        <v>194</v>
      </c>
      <c r="D43" s="279" t="str">
        <f>$D$5</f>
        <v>FTE AUG 23</v>
      </c>
      <c r="E43" s="201">
        <f>'2521'!I$142</f>
        <v>109048.72</v>
      </c>
      <c r="F43" s="328"/>
      <c r="G43" s="201">
        <f>SUBTOTAL(109,E43:F49)</f>
        <v>109048.72</v>
      </c>
      <c r="H43" s="260"/>
      <c r="I43" s="320"/>
    </row>
    <row r="44" spans="1:13" s="261" customFormat="1" ht="12.75" hidden="1" customHeight="1" x14ac:dyDescent="0.2">
      <c r="A44" s="199"/>
      <c r="B44" s="200"/>
      <c r="C44" s="220"/>
      <c r="D44" s="233" t="s">
        <v>280</v>
      </c>
      <c r="E44" s="201"/>
      <c r="F44" s="328"/>
      <c r="G44" s="201"/>
      <c r="H44" s="260"/>
      <c r="I44" s="320"/>
    </row>
    <row r="45" spans="1:13" s="261" customFormat="1" ht="12.75" hidden="1" customHeight="1" x14ac:dyDescent="0.2">
      <c r="A45" s="199"/>
      <c r="B45" s="200"/>
      <c r="C45" s="220"/>
      <c r="D45" s="233" t="s">
        <v>282</v>
      </c>
      <c r="E45" s="201"/>
      <c r="F45" s="328"/>
      <c r="G45" s="201"/>
      <c r="H45" s="260"/>
      <c r="I45" s="320"/>
    </row>
    <row r="46" spans="1:13" s="261" customFormat="1" ht="12.75" hidden="1" customHeight="1" x14ac:dyDescent="0.2">
      <c r="A46" s="199"/>
      <c r="B46" s="200"/>
      <c r="C46" s="220"/>
      <c r="D46" s="233" t="s">
        <v>281</v>
      </c>
      <c r="E46" s="201"/>
      <c r="F46" s="328"/>
      <c r="G46" s="201"/>
      <c r="H46" s="260"/>
      <c r="I46" s="320"/>
    </row>
    <row r="47" spans="1:13" s="261" customFormat="1" ht="12.75" hidden="1" customHeight="1" x14ac:dyDescent="0.2">
      <c r="A47" s="199"/>
      <c r="B47" s="200"/>
      <c r="C47" s="220"/>
      <c r="D47" s="233" t="s">
        <v>290</v>
      </c>
      <c r="E47" s="201"/>
      <c r="F47" s="328"/>
      <c r="G47" s="201"/>
      <c r="H47" s="260"/>
      <c r="I47" s="320"/>
      <c r="M47" s="319"/>
    </row>
    <row r="48" spans="1:13" ht="12.75" hidden="1" customHeight="1" x14ac:dyDescent="0.2">
      <c r="A48" s="199"/>
      <c r="B48" s="200"/>
      <c r="C48" s="220"/>
      <c r="D48" s="233" t="s">
        <v>259</v>
      </c>
      <c r="E48" s="201"/>
      <c r="F48" s="328"/>
      <c r="G48" s="201"/>
      <c r="I48" s="320"/>
      <c r="M48" s="297"/>
    </row>
    <row r="49" spans="1:12" ht="12.75" hidden="1" customHeight="1" x14ac:dyDescent="0.2">
      <c r="A49" s="199"/>
      <c r="B49" s="200"/>
      <c r="C49" s="220"/>
      <c r="D49" s="315" t="s">
        <v>320</v>
      </c>
      <c r="E49" s="201"/>
      <c r="F49" s="328"/>
      <c r="G49" s="201"/>
      <c r="I49" s="320"/>
      <c r="L49" s="297"/>
    </row>
    <row r="50" spans="1:12" s="261" customFormat="1" ht="12.75" customHeight="1" x14ac:dyDescent="0.2">
      <c r="A50" s="195">
        <f>1+A43</f>
        <v>4</v>
      </c>
      <c r="B50" s="196">
        <v>2531</v>
      </c>
      <c r="C50" s="219" t="s">
        <v>195</v>
      </c>
      <c r="D50" s="496" t="str">
        <f>$D$5</f>
        <v>FTE AUG 23</v>
      </c>
      <c r="E50" s="198">
        <f>'2531'!I$142</f>
        <v>78877.490000000005</v>
      </c>
      <c r="F50" s="329"/>
      <c r="G50" s="198">
        <f>SUBTOTAL(109,E50:F61)</f>
        <v>78877.490000000005</v>
      </c>
      <c r="H50" s="298"/>
      <c r="I50" s="320"/>
    </row>
    <row r="51" spans="1:12" ht="12.75" hidden="1" customHeight="1" x14ac:dyDescent="0.2">
      <c r="A51" s="195"/>
      <c r="B51" s="196"/>
      <c r="C51" s="219"/>
      <c r="D51" s="232" t="s">
        <v>280</v>
      </c>
      <c r="E51" s="198"/>
      <c r="F51" s="329"/>
      <c r="G51" s="198"/>
      <c r="I51" s="320"/>
    </row>
    <row r="52" spans="1:12" ht="12.75" hidden="1" customHeight="1" x14ac:dyDescent="0.2">
      <c r="A52" s="195"/>
      <c r="B52" s="196"/>
      <c r="C52" s="219"/>
      <c r="D52" s="342" t="s">
        <v>351</v>
      </c>
      <c r="E52" s="198"/>
      <c r="F52" s="329"/>
      <c r="G52" s="198"/>
      <c r="I52" s="320"/>
    </row>
    <row r="53" spans="1:12" s="261" customFormat="1" ht="12.75" hidden="1" customHeight="1" x14ac:dyDescent="0.2">
      <c r="A53" s="195"/>
      <c r="B53" s="196"/>
      <c r="C53" s="219"/>
      <c r="D53" s="232" t="s">
        <v>340</v>
      </c>
      <c r="E53" s="198"/>
      <c r="F53" s="329"/>
      <c r="G53" s="198"/>
      <c r="H53" s="260"/>
      <c r="I53" s="308"/>
    </row>
    <row r="54" spans="1:12" s="261" customFormat="1" ht="12.75" hidden="1" customHeight="1" x14ac:dyDescent="0.2">
      <c r="A54" s="195"/>
      <c r="B54" s="196"/>
      <c r="C54" s="219"/>
      <c r="D54" s="342" t="s">
        <v>338</v>
      </c>
      <c r="E54" s="198"/>
      <c r="F54" s="329"/>
      <c r="G54" s="198"/>
      <c r="H54" s="260"/>
      <c r="I54" s="196"/>
    </row>
    <row r="55" spans="1:12" s="261" customFormat="1" ht="12.75" hidden="1" customHeight="1" x14ac:dyDescent="0.2">
      <c r="A55" s="195"/>
      <c r="B55" s="196"/>
      <c r="C55" s="219"/>
      <c r="D55" s="232" t="s">
        <v>282</v>
      </c>
      <c r="E55" s="198"/>
      <c r="F55" s="329"/>
      <c r="G55" s="198"/>
      <c r="H55" s="260"/>
      <c r="I55" s="196"/>
    </row>
    <row r="56" spans="1:12" s="261" customFormat="1" ht="12.75" hidden="1" customHeight="1" x14ac:dyDescent="0.2">
      <c r="A56" s="195"/>
      <c r="B56" s="196"/>
      <c r="C56" s="219"/>
      <c r="D56" s="232" t="s">
        <v>281</v>
      </c>
      <c r="E56" s="198"/>
      <c r="F56" s="329"/>
      <c r="G56" s="198"/>
      <c r="H56" s="260"/>
      <c r="I56" s="196"/>
    </row>
    <row r="57" spans="1:12" s="261" customFormat="1" ht="12.75" hidden="1" customHeight="1" x14ac:dyDescent="0.2">
      <c r="A57" s="195"/>
      <c r="B57" s="196"/>
      <c r="C57" s="219"/>
      <c r="D57" s="232" t="s">
        <v>290</v>
      </c>
      <c r="E57" s="198"/>
      <c r="F57" s="329"/>
      <c r="G57" s="198"/>
      <c r="H57" s="298"/>
      <c r="I57" s="308"/>
    </row>
    <row r="58" spans="1:12" s="261" customFormat="1" ht="12.75" hidden="1" customHeight="1" x14ac:dyDescent="0.2">
      <c r="A58" s="195"/>
      <c r="B58" s="196"/>
      <c r="C58" s="219"/>
      <c r="D58" s="232" t="s">
        <v>259</v>
      </c>
      <c r="E58" s="198"/>
      <c r="F58" s="329"/>
      <c r="G58" s="198"/>
      <c r="H58" s="260"/>
      <c r="I58" s="308"/>
    </row>
    <row r="59" spans="1:12" s="261" customFormat="1" ht="12.75" hidden="1" customHeight="1" x14ac:dyDescent="0.2">
      <c r="A59" s="195"/>
      <c r="B59" s="196"/>
      <c r="C59" s="219"/>
      <c r="D59" s="232" t="s">
        <v>319</v>
      </c>
      <c r="E59" s="198"/>
      <c r="F59" s="329"/>
      <c r="G59" s="198"/>
      <c r="H59" s="260"/>
      <c r="I59" s="308"/>
    </row>
    <row r="60" spans="1:12" s="261" customFormat="1" ht="12.75" hidden="1" customHeight="1" x14ac:dyDescent="0.2">
      <c r="A60" s="195"/>
      <c r="B60" s="196"/>
      <c r="C60" s="231"/>
      <c r="D60" s="343" t="s">
        <v>334</v>
      </c>
      <c r="E60" s="198"/>
      <c r="F60" s="329"/>
      <c r="G60" s="198"/>
      <c r="H60" s="260"/>
      <c r="I60" s="320"/>
    </row>
    <row r="61" spans="1:12" s="261" customFormat="1" ht="12.75" hidden="1" customHeight="1" x14ac:dyDescent="0.2">
      <c r="A61" s="195"/>
      <c r="B61" s="196"/>
      <c r="C61" s="219"/>
      <c r="D61" s="278" t="s">
        <v>320</v>
      </c>
      <c r="E61" s="198"/>
      <c r="F61" s="329"/>
      <c r="G61" s="198"/>
      <c r="H61" s="260"/>
      <c r="I61" s="231"/>
    </row>
    <row r="62" spans="1:12" s="261" customFormat="1" ht="12.75" customHeight="1" x14ac:dyDescent="0.2">
      <c r="A62" s="199">
        <f>1+A50</f>
        <v>5</v>
      </c>
      <c r="B62" s="200" t="s">
        <v>163</v>
      </c>
      <c r="C62" s="263" t="s">
        <v>257</v>
      </c>
      <c r="D62" s="279" t="str">
        <f>$D$5</f>
        <v>FTE AUG 23</v>
      </c>
      <c r="E62" s="201">
        <f>'2791'!I$142</f>
        <v>394662.79</v>
      </c>
      <c r="F62" s="328"/>
      <c r="G62" s="201">
        <f>SUBTOTAL(109,E62:F69)</f>
        <v>394662.79</v>
      </c>
      <c r="H62" s="298"/>
      <c r="I62" s="323"/>
    </row>
    <row r="63" spans="1:12" s="261" customFormat="1" ht="12.75" hidden="1" customHeight="1" x14ac:dyDescent="0.2">
      <c r="A63" s="199"/>
      <c r="B63" s="200"/>
      <c r="C63" s="220"/>
      <c r="D63" s="233" t="s">
        <v>280</v>
      </c>
      <c r="E63" s="201"/>
      <c r="F63" s="328"/>
      <c r="G63" s="201"/>
      <c r="H63" s="260"/>
      <c r="I63" s="231"/>
    </row>
    <row r="64" spans="1:12" s="261" customFormat="1" ht="12.75" hidden="1" customHeight="1" x14ac:dyDescent="0.2">
      <c r="A64" s="199"/>
      <c r="B64" s="200"/>
      <c r="C64" s="220"/>
      <c r="D64" s="374" t="s">
        <v>338</v>
      </c>
      <c r="E64" s="201"/>
      <c r="F64" s="328"/>
      <c r="G64" s="201"/>
      <c r="H64" s="260"/>
      <c r="I64" s="231"/>
    </row>
    <row r="65" spans="1:9" s="261" customFormat="1" ht="12.75" hidden="1" customHeight="1" x14ac:dyDescent="0.2">
      <c r="A65" s="199"/>
      <c r="B65" s="200"/>
      <c r="C65" s="220"/>
      <c r="D65" s="233" t="s">
        <v>282</v>
      </c>
      <c r="E65" s="201"/>
      <c r="F65" s="328"/>
      <c r="G65" s="201"/>
      <c r="H65" s="260"/>
      <c r="I65" s="231"/>
    </row>
    <row r="66" spans="1:9" s="261" customFormat="1" ht="12.75" hidden="1" customHeight="1" x14ac:dyDescent="0.2">
      <c r="A66" s="199"/>
      <c r="B66" s="200"/>
      <c r="C66" s="220"/>
      <c r="D66" s="233" t="s">
        <v>281</v>
      </c>
      <c r="E66" s="201"/>
      <c r="F66" s="328"/>
      <c r="G66" s="201"/>
      <c r="H66" s="260"/>
      <c r="I66" s="231"/>
    </row>
    <row r="67" spans="1:9" s="261" customFormat="1" ht="12.75" hidden="1" customHeight="1" x14ac:dyDescent="0.2">
      <c r="A67" s="199"/>
      <c r="B67" s="200"/>
      <c r="C67" s="220"/>
      <c r="D67" s="233" t="s">
        <v>290</v>
      </c>
      <c r="E67" s="201"/>
      <c r="F67" s="328"/>
      <c r="G67" s="201"/>
      <c r="H67" s="260"/>
      <c r="I67" s="320"/>
    </row>
    <row r="68" spans="1:9" s="261" customFormat="1" ht="12.75" hidden="1" customHeight="1" x14ac:dyDescent="0.2">
      <c r="A68" s="199"/>
      <c r="B68" s="200"/>
      <c r="C68" s="220"/>
      <c r="D68" s="233" t="s">
        <v>259</v>
      </c>
      <c r="E68" s="201"/>
      <c r="F68" s="328"/>
      <c r="G68" s="201"/>
      <c r="H68" s="260"/>
      <c r="I68" s="320"/>
    </row>
    <row r="69" spans="1:9" s="261" customFormat="1" ht="12.75" hidden="1" customHeight="1" x14ac:dyDescent="0.2">
      <c r="A69" s="199"/>
      <c r="B69" s="200"/>
      <c r="C69" s="220"/>
      <c r="D69" s="315" t="s">
        <v>320</v>
      </c>
      <c r="E69" s="201"/>
      <c r="F69" s="328"/>
      <c r="G69" s="201"/>
      <c r="H69" s="260"/>
      <c r="I69" s="320"/>
    </row>
    <row r="70" spans="1:9" s="261" customFormat="1" ht="12.75" customHeight="1" x14ac:dyDescent="0.2">
      <c r="A70" s="195">
        <f>A62+1</f>
        <v>6</v>
      </c>
      <c r="B70" s="196" t="s">
        <v>164</v>
      </c>
      <c r="C70" s="262" t="s">
        <v>357</v>
      </c>
      <c r="D70" s="496" t="str">
        <f>$D$5</f>
        <v>FTE AUG 23</v>
      </c>
      <c r="E70" s="198">
        <f>'2801'!I$142</f>
        <v>430423.13</v>
      </c>
      <c r="F70" s="329"/>
      <c r="G70" s="198">
        <f>SUBTOTAL(109,E70:F79)</f>
        <v>430423.13</v>
      </c>
      <c r="H70" s="298"/>
      <c r="I70" s="323"/>
    </row>
    <row r="71" spans="1:9" s="261" customFormat="1" ht="12.75" hidden="1" customHeight="1" x14ac:dyDescent="0.2">
      <c r="A71" s="195"/>
      <c r="B71" s="196"/>
      <c r="C71" s="219"/>
      <c r="D71" s="232" t="s">
        <v>280</v>
      </c>
      <c r="E71" s="198"/>
      <c r="F71" s="329"/>
      <c r="G71" s="198"/>
      <c r="H71" s="260"/>
      <c r="I71" s="320"/>
    </row>
    <row r="72" spans="1:9" s="261" customFormat="1" ht="12.75" hidden="1" customHeight="1" x14ac:dyDescent="0.2">
      <c r="A72" s="195"/>
      <c r="B72" s="196"/>
      <c r="C72" s="219"/>
      <c r="D72" s="342" t="s">
        <v>338</v>
      </c>
      <c r="E72" s="198"/>
      <c r="F72" s="329"/>
      <c r="G72" s="198"/>
      <c r="H72" s="298"/>
      <c r="I72" s="308"/>
    </row>
    <row r="73" spans="1:9" s="261" customFormat="1" ht="12.75" hidden="1" customHeight="1" x14ac:dyDescent="0.2">
      <c r="A73" s="195"/>
      <c r="B73" s="196"/>
      <c r="C73" s="219"/>
      <c r="D73" s="232" t="s">
        <v>282</v>
      </c>
      <c r="E73" s="198"/>
      <c r="F73" s="329"/>
      <c r="G73" s="198"/>
      <c r="H73" s="298"/>
      <c r="I73" s="196"/>
    </row>
    <row r="74" spans="1:9" s="261" customFormat="1" ht="12.75" hidden="1" customHeight="1" x14ac:dyDescent="0.2">
      <c r="A74" s="195"/>
      <c r="B74" s="196"/>
      <c r="C74" s="219"/>
      <c r="D74" s="232" t="s">
        <v>329</v>
      </c>
      <c r="E74" s="198"/>
      <c r="F74" s="329"/>
      <c r="G74" s="198"/>
      <c r="H74" s="260"/>
      <c r="I74" s="231"/>
    </row>
    <row r="75" spans="1:9" s="261" customFormat="1" ht="12.75" hidden="1" customHeight="1" x14ac:dyDescent="0.2">
      <c r="A75" s="195"/>
      <c r="B75" s="196"/>
      <c r="C75" s="219"/>
      <c r="D75" s="232" t="s">
        <v>290</v>
      </c>
      <c r="E75" s="198"/>
      <c r="F75" s="329"/>
      <c r="G75" s="198"/>
      <c r="H75" s="298"/>
      <c r="I75" s="196"/>
    </row>
    <row r="76" spans="1:9" s="261" customFormat="1" ht="12.75" hidden="1" customHeight="1" x14ac:dyDescent="0.2">
      <c r="A76" s="195"/>
      <c r="B76" s="196"/>
      <c r="C76" s="219"/>
      <c r="D76" s="232" t="s">
        <v>259</v>
      </c>
      <c r="E76" s="198"/>
      <c r="F76" s="329"/>
      <c r="G76" s="198"/>
      <c r="H76" s="298"/>
      <c r="I76" s="196"/>
    </row>
    <row r="77" spans="1:9" s="261" customFormat="1" ht="12.75" hidden="1" customHeight="1" x14ac:dyDescent="0.2">
      <c r="A77" s="195"/>
      <c r="B77" s="196"/>
      <c r="C77" s="219"/>
      <c r="D77" s="232" t="s">
        <v>291</v>
      </c>
      <c r="E77" s="198"/>
      <c r="F77" s="329"/>
      <c r="G77" s="198"/>
      <c r="H77" s="298"/>
      <c r="I77" s="308"/>
    </row>
    <row r="78" spans="1:9" s="261" customFormat="1" ht="12.75" hidden="1" customHeight="1" x14ac:dyDescent="0.2">
      <c r="A78" s="195"/>
      <c r="B78" s="196"/>
      <c r="C78" s="219"/>
      <c r="D78" s="232" t="s">
        <v>319</v>
      </c>
      <c r="E78" s="198"/>
      <c r="F78" s="329"/>
      <c r="G78" s="198"/>
      <c r="H78" s="260"/>
      <c r="I78" s="308"/>
    </row>
    <row r="79" spans="1:9" s="261" customFormat="1" ht="12.75" hidden="1" customHeight="1" x14ac:dyDescent="0.2">
      <c r="A79" s="195"/>
      <c r="B79" s="196"/>
      <c r="C79" s="219"/>
      <c r="D79" s="278" t="s">
        <v>355</v>
      </c>
      <c r="E79" s="198"/>
      <c r="F79" s="329"/>
      <c r="G79" s="198"/>
      <c r="H79" s="260"/>
      <c r="I79" s="308"/>
    </row>
    <row r="80" spans="1:9" s="261" customFormat="1" ht="12.75" customHeight="1" x14ac:dyDescent="0.2">
      <c r="A80" s="199">
        <f>A70+1</f>
        <v>7</v>
      </c>
      <c r="B80" s="200" t="s">
        <v>165</v>
      </c>
      <c r="C80" s="220" t="s">
        <v>197</v>
      </c>
      <c r="D80" s="279" t="str">
        <f>$D$5</f>
        <v>FTE AUG 23</v>
      </c>
      <c r="E80" s="201">
        <f>'2911'!I$142</f>
        <v>395461.3</v>
      </c>
      <c r="F80" s="328"/>
      <c r="G80" s="201">
        <f>SUBTOTAL(109,E80:F89)</f>
        <v>395461.3</v>
      </c>
      <c r="H80" s="298"/>
      <c r="I80" s="196"/>
    </row>
    <row r="81" spans="1:9" s="261" customFormat="1" ht="12.75" hidden="1" customHeight="1" x14ac:dyDescent="0.2">
      <c r="A81" s="199"/>
      <c r="B81" s="200"/>
      <c r="C81" s="220"/>
      <c r="D81" s="233" t="s">
        <v>280</v>
      </c>
      <c r="E81" s="201"/>
      <c r="F81" s="328"/>
      <c r="G81" s="201"/>
      <c r="H81" s="298"/>
      <c r="I81" s="196"/>
    </row>
    <row r="82" spans="1:9" s="261" customFormat="1" ht="12.75" hidden="1" customHeight="1" x14ac:dyDescent="0.2">
      <c r="A82" s="199"/>
      <c r="B82" s="200"/>
      <c r="C82" s="220"/>
      <c r="D82" s="374" t="s">
        <v>338</v>
      </c>
      <c r="E82" s="201"/>
      <c r="F82" s="328"/>
      <c r="G82" s="201"/>
      <c r="H82" s="260"/>
      <c r="I82" s="231"/>
    </row>
    <row r="83" spans="1:9" s="261" customFormat="1" ht="12.75" hidden="1" customHeight="1" x14ac:dyDescent="0.2">
      <c r="A83" s="199"/>
      <c r="B83" s="200"/>
      <c r="C83" s="220"/>
      <c r="D83" s="233" t="s">
        <v>282</v>
      </c>
      <c r="E83" s="201"/>
      <c r="F83" s="328"/>
      <c r="G83" s="201"/>
      <c r="H83" s="298"/>
      <c r="I83" s="196"/>
    </row>
    <row r="84" spans="1:9" s="261" customFormat="1" ht="12.75" hidden="1" customHeight="1" x14ac:dyDescent="0.2">
      <c r="A84" s="199"/>
      <c r="B84" s="200"/>
      <c r="C84" s="220"/>
      <c r="D84" s="233" t="s">
        <v>281</v>
      </c>
      <c r="E84" s="201"/>
      <c r="F84" s="328"/>
      <c r="G84" s="201"/>
      <c r="H84" s="298"/>
      <c r="I84" s="196"/>
    </row>
    <row r="85" spans="1:9" s="261" customFormat="1" ht="12.75" hidden="1" customHeight="1" x14ac:dyDescent="0.2">
      <c r="A85" s="199"/>
      <c r="B85" s="200"/>
      <c r="C85" s="220"/>
      <c r="D85" s="233" t="s">
        <v>290</v>
      </c>
      <c r="E85" s="201"/>
      <c r="F85" s="328"/>
      <c r="G85" s="201"/>
      <c r="H85" s="298"/>
      <c r="I85" s="196"/>
    </row>
    <row r="86" spans="1:9" s="261" customFormat="1" ht="12.75" hidden="1" customHeight="1" x14ac:dyDescent="0.2">
      <c r="A86" s="199"/>
      <c r="B86" s="200"/>
      <c r="C86" s="220"/>
      <c r="D86" s="233" t="s">
        <v>259</v>
      </c>
      <c r="E86" s="201"/>
      <c r="F86" s="328"/>
      <c r="G86" s="201"/>
      <c r="H86" s="260"/>
      <c r="I86" s="318"/>
    </row>
    <row r="87" spans="1:9" s="261" customFormat="1" ht="12.75" hidden="1" customHeight="1" x14ac:dyDescent="0.2">
      <c r="A87" s="199"/>
      <c r="B87" s="200"/>
      <c r="C87" s="220"/>
      <c r="D87" s="233" t="s">
        <v>291</v>
      </c>
      <c r="E87" s="201"/>
      <c r="F87" s="328"/>
      <c r="G87" s="201"/>
      <c r="H87" s="298"/>
    </row>
    <row r="88" spans="1:9" s="261" customFormat="1" ht="12.75" hidden="1" customHeight="1" x14ac:dyDescent="0.2">
      <c r="A88" s="199"/>
      <c r="B88" s="200"/>
      <c r="C88" s="229"/>
      <c r="D88" s="315" t="s">
        <v>358</v>
      </c>
      <c r="E88" s="201"/>
      <c r="F88" s="328"/>
      <c r="G88" s="201"/>
      <c r="H88" s="298"/>
      <c r="I88" s="196"/>
    </row>
    <row r="89" spans="1:9" s="261" customFormat="1" ht="12.75" hidden="1" customHeight="1" x14ac:dyDescent="0.2">
      <c r="A89" s="199"/>
      <c r="B89" s="200"/>
      <c r="C89" s="229"/>
      <c r="D89" s="315" t="s">
        <v>365</v>
      </c>
      <c r="E89" s="201"/>
      <c r="F89" s="328"/>
      <c r="G89" s="201"/>
      <c r="H89" s="298"/>
      <c r="I89" s="308"/>
    </row>
    <row r="90" spans="1:9" s="261" customFormat="1" ht="12.75" customHeight="1" x14ac:dyDescent="0.2">
      <c r="A90" s="195">
        <f>A80+1</f>
        <v>8</v>
      </c>
      <c r="B90" s="196" t="s">
        <v>166</v>
      </c>
      <c r="C90" s="219" t="s">
        <v>198</v>
      </c>
      <c r="D90" s="496" t="str">
        <f>$D$5</f>
        <v>FTE AUG 23</v>
      </c>
      <c r="E90" s="198">
        <f>'2941'!I$142</f>
        <v>892448.71</v>
      </c>
      <c r="F90" s="329"/>
      <c r="G90" s="198">
        <f>SUBTOTAL(109,E90:F98)</f>
        <v>892448.71</v>
      </c>
      <c r="H90" s="298"/>
      <c r="I90" s="196"/>
    </row>
    <row r="91" spans="1:9" s="261" customFormat="1" ht="12.75" hidden="1" customHeight="1" x14ac:dyDescent="0.2">
      <c r="A91" s="195"/>
      <c r="B91" s="196"/>
      <c r="C91" s="219"/>
      <c r="D91" s="232" t="s">
        <v>280</v>
      </c>
      <c r="E91" s="198"/>
      <c r="F91" s="329"/>
      <c r="G91" s="198"/>
      <c r="H91" s="298"/>
      <c r="I91" s="196"/>
    </row>
    <row r="92" spans="1:9" s="261" customFormat="1" ht="12.75" hidden="1" customHeight="1" x14ac:dyDescent="0.2">
      <c r="A92" s="195"/>
      <c r="B92" s="196"/>
      <c r="C92" s="219"/>
      <c r="D92" s="342" t="s">
        <v>338</v>
      </c>
      <c r="E92" s="198"/>
      <c r="F92" s="329"/>
      <c r="G92" s="198"/>
      <c r="H92" s="260"/>
      <c r="I92" s="231"/>
    </row>
    <row r="93" spans="1:9" s="261" customFormat="1" ht="12.75" hidden="1" customHeight="1" x14ac:dyDescent="0.2">
      <c r="A93" s="195"/>
      <c r="B93" s="196"/>
      <c r="C93" s="219"/>
      <c r="D93" s="232" t="s">
        <v>282</v>
      </c>
      <c r="E93" s="198"/>
      <c r="F93" s="329"/>
      <c r="G93" s="198"/>
      <c r="H93" s="298"/>
      <c r="I93" s="196"/>
    </row>
    <row r="94" spans="1:9" s="261" customFormat="1" ht="12.75" hidden="1" customHeight="1" x14ac:dyDescent="0.2">
      <c r="A94" s="195"/>
      <c r="B94" s="196"/>
      <c r="C94" s="219"/>
      <c r="D94" s="232" t="s">
        <v>281</v>
      </c>
      <c r="E94" s="198"/>
      <c r="F94" s="329"/>
      <c r="G94" s="198"/>
      <c r="H94" s="298"/>
      <c r="I94" s="196"/>
    </row>
    <row r="95" spans="1:9" s="261" customFormat="1" ht="12.75" hidden="1" customHeight="1" x14ac:dyDescent="0.2">
      <c r="A95" s="195"/>
      <c r="B95" s="196"/>
      <c r="C95" s="219"/>
      <c r="D95" s="232" t="s">
        <v>290</v>
      </c>
      <c r="E95" s="198"/>
      <c r="F95" s="329"/>
      <c r="G95" s="198"/>
      <c r="H95" s="298"/>
      <c r="I95" s="196"/>
    </row>
    <row r="96" spans="1:9" s="261" customFormat="1" ht="12.75" hidden="1" customHeight="1" x14ac:dyDescent="0.2">
      <c r="A96" s="195"/>
      <c r="B96" s="196"/>
      <c r="C96" s="219"/>
      <c r="D96" s="232" t="s">
        <v>259</v>
      </c>
      <c r="E96" s="198"/>
      <c r="F96" s="329"/>
      <c r="G96" s="198"/>
      <c r="H96" s="260"/>
      <c r="I96" s="318"/>
    </row>
    <row r="97" spans="1:12" s="261" customFormat="1" ht="12.75" hidden="1" customHeight="1" x14ac:dyDescent="0.2">
      <c r="A97" s="195"/>
      <c r="B97" s="196"/>
      <c r="C97" s="219"/>
      <c r="D97" s="232" t="s">
        <v>319</v>
      </c>
      <c r="E97" s="198"/>
      <c r="F97" s="329"/>
      <c r="G97" s="198"/>
      <c r="H97" s="298"/>
      <c r="I97" s="308"/>
    </row>
    <row r="98" spans="1:12" s="261" customFormat="1" ht="12.75" hidden="1" customHeight="1" x14ac:dyDescent="0.2">
      <c r="A98" s="195"/>
      <c r="B98" s="196"/>
      <c r="C98" s="219"/>
      <c r="D98" s="278" t="s">
        <v>320</v>
      </c>
      <c r="E98" s="198"/>
      <c r="F98" s="329"/>
      <c r="G98" s="198"/>
      <c r="H98" s="260"/>
      <c r="I98" s="308"/>
      <c r="J98" s="343"/>
      <c r="K98" s="198"/>
      <c r="L98" s="241"/>
    </row>
    <row r="99" spans="1:12" s="261" customFormat="1" ht="12.75" customHeight="1" x14ac:dyDescent="0.2">
      <c r="A99" s="199">
        <f>A90+1</f>
        <v>9</v>
      </c>
      <c r="B99" s="200" t="s">
        <v>167</v>
      </c>
      <c r="C99" s="263" t="s">
        <v>312</v>
      </c>
      <c r="D99" s="279" t="str">
        <f>$D$5</f>
        <v>FTE AUG 23</v>
      </c>
      <c r="E99" s="201">
        <f>'3083'!I$142</f>
        <v>350076.14</v>
      </c>
      <c r="F99" s="328"/>
      <c r="G99" s="201">
        <f>SUBTOTAL(109,E99:F106)</f>
        <v>350076.14</v>
      </c>
      <c r="H99" s="260"/>
      <c r="I99" s="308"/>
      <c r="J99" s="343"/>
      <c r="K99" s="198"/>
      <c r="L99" s="241"/>
    </row>
    <row r="100" spans="1:12" s="261" customFormat="1" ht="12.75" hidden="1" customHeight="1" x14ac:dyDescent="0.2">
      <c r="A100" s="199"/>
      <c r="B100" s="200"/>
      <c r="C100" s="220"/>
      <c r="D100" s="233" t="s">
        <v>280</v>
      </c>
      <c r="E100" s="201"/>
      <c r="F100" s="328"/>
      <c r="G100" s="201"/>
      <c r="H100" s="298"/>
      <c r="I100" s="196"/>
    </row>
    <row r="101" spans="1:12" s="261" customFormat="1" ht="12.75" hidden="1" customHeight="1" x14ac:dyDescent="0.2">
      <c r="A101" s="199"/>
      <c r="B101" s="200"/>
      <c r="C101" s="220"/>
      <c r="D101" s="374" t="s">
        <v>338</v>
      </c>
      <c r="E101" s="201"/>
      <c r="F101" s="328"/>
      <c r="G101" s="201"/>
      <c r="H101" s="298"/>
      <c r="I101" s="196"/>
    </row>
    <row r="102" spans="1:12" s="261" customFormat="1" ht="12.75" hidden="1" customHeight="1" x14ac:dyDescent="0.2">
      <c r="A102" s="199"/>
      <c r="B102" s="200"/>
      <c r="C102" s="220"/>
      <c r="D102" s="233" t="s">
        <v>282</v>
      </c>
      <c r="E102" s="201"/>
      <c r="F102" s="328"/>
      <c r="G102" s="201"/>
      <c r="H102" s="260"/>
      <c r="I102" s="231"/>
    </row>
    <row r="103" spans="1:12" s="261" customFormat="1" ht="12.75" hidden="1" customHeight="1" x14ac:dyDescent="0.2">
      <c r="A103" s="199"/>
      <c r="B103" s="200"/>
      <c r="C103" s="220"/>
      <c r="D103" s="233" t="s">
        <v>281</v>
      </c>
      <c r="E103" s="201"/>
      <c r="F103" s="328"/>
      <c r="G103" s="201"/>
      <c r="H103" s="298"/>
      <c r="I103" s="196"/>
    </row>
    <row r="104" spans="1:12" s="261" customFormat="1" ht="12.75" hidden="1" customHeight="1" x14ac:dyDescent="0.2">
      <c r="A104" s="199"/>
      <c r="B104" s="200"/>
      <c r="C104" s="220"/>
      <c r="D104" s="280" t="s">
        <v>290</v>
      </c>
      <c r="E104" s="201"/>
      <c r="F104" s="328"/>
      <c r="G104" s="201"/>
      <c r="H104" s="298"/>
      <c r="I104" s="196"/>
    </row>
    <row r="105" spans="1:12" s="261" customFormat="1" ht="12.75" hidden="1" customHeight="1" x14ac:dyDescent="0.2">
      <c r="A105" s="199"/>
      <c r="B105" s="200"/>
      <c r="C105" s="220"/>
      <c r="D105" s="233" t="s">
        <v>259</v>
      </c>
      <c r="E105" s="201"/>
      <c r="F105" s="328"/>
      <c r="G105" s="201"/>
      <c r="H105" s="298"/>
      <c r="I105" s="196"/>
    </row>
    <row r="106" spans="1:12" s="261" customFormat="1" ht="12.75" hidden="1" customHeight="1" x14ac:dyDescent="0.2">
      <c r="A106" s="199"/>
      <c r="B106" s="200"/>
      <c r="C106" s="220"/>
      <c r="D106" s="280" t="s">
        <v>320</v>
      </c>
      <c r="E106" s="201"/>
      <c r="F106" s="328"/>
      <c r="G106" s="201"/>
      <c r="H106" s="260"/>
      <c r="I106" s="318"/>
    </row>
    <row r="107" spans="1:12" s="261" customFormat="1" ht="12.75" customHeight="1" x14ac:dyDescent="0.2">
      <c r="A107" s="195">
        <f>A99+1</f>
        <v>10</v>
      </c>
      <c r="B107" s="196" t="s">
        <v>168</v>
      </c>
      <c r="C107" s="262" t="s">
        <v>364</v>
      </c>
      <c r="D107" s="496" t="str">
        <f>$D$5</f>
        <v>FTE AUG 23</v>
      </c>
      <c r="E107" s="198">
        <f>'3345'!I$142</f>
        <v>59569.32</v>
      </c>
      <c r="F107" s="329"/>
      <c r="G107" s="198">
        <f>SUBTOTAL(109,E107:F113)</f>
        <v>59569.32</v>
      </c>
      <c r="H107" s="260"/>
      <c r="I107" s="318"/>
    </row>
    <row r="108" spans="1:12" s="261" customFormat="1" ht="12.75" hidden="1" customHeight="1" x14ac:dyDescent="0.2">
      <c r="A108" s="195"/>
      <c r="B108" s="196"/>
      <c r="C108" s="262"/>
      <c r="D108" s="232" t="s">
        <v>280</v>
      </c>
      <c r="E108" s="198"/>
      <c r="F108" s="329"/>
      <c r="G108" s="198"/>
      <c r="H108" s="260"/>
      <c r="I108" s="318"/>
    </row>
    <row r="109" spans="1:12" s="261" customFormat="1" ht="12.75" hidden="1" customHeight="1" x14ac:dyDescent="0.2">
      <c r="A109" s="195"/>
      <c r="B109" s="196"/>
      <c r="C109" s="262"/>
      <c r="D109" s="232" t="s">
        <v>282</v>
      </c>
      <c r="E109" s="198"/>
      <c r="F109" s="329"/>
      <c r="G109" s="198"/>
      <c r="H109" s="298"/>
      <c r="I109" s="196"/>
    </row>
    <row r="110" spans="1:12" s="261" customFormat="1" ht="12.75" hidden="1" customHeight="1" x14ac:dyDescent="0.2">
      <c r="A110" s="195"/>
      <c r="B110" s="196"/>
      <c r="C110" s="219"/>
      <c r="D110" s="232" t="s">
        <v>281</v>
      </c>
      <c r="E110" s="198"/>
      <c r="F110" s="329"/>
      <c r="G110" s="198"/>
      <c r="H110" s="298"/>
      <c r="I110" s="196"/>
    </row>
    <row r="111" spans="1:12" s="261" customFormat="1" ht="12.75" hidden="1" customHeight="1" x14ac:dyDescent="0.2">
      <c r="A111" s="195"/>
      <c r="B111" s="196"/>
      <c r="C111" s="219"/>
      <c r="D111" s="232" t="s">
        <v>290</v>
      </c>
      <c r="E111" s="198"/>
      <c r="F111" s="329"/>
      <c r="G111" s="198"/>
      <c r="H111" s="260"/>
      <c r="I111" s="231"/>
    </row>
    <row r="112" spans="1:12" s="261" customFormat="1" ht="12.75" hidden="1" customHeight="1" x14ac:dyDescent="0.2">
      <c r="A112" s="195"/>
      <c r="B112" s="196"/>
      <c r="C112" s="219"/>
      <c r="D112" s="232" t="s">
        <v>259</v>
      </c>
      <c r="E112" s="198"/>
      <c r="F112" s="329"/>
      <c r="G112" s="198"/>
      <c r="H112" s="298"/>
      <c r="I112" s="196"/>
    </row>
    <row r="113" spans="1:9" s="261" customFormat="1" ht="12.75" hidden="1" customHeight="1" x14ac:dyDescent="0.2">
      <c r="A113" s="195"/>
      <c r="B113" s="196"/>
      <c r="C113" s="219"/>
      <c r="D113" s="278" t="s">
        <v>320</v>
      </c>
      <c r="E113" s="198"/>
      <c r="F113" s="329"/>
      <c r="G113" s="198"/>
      <c r="H113" s="298"/>
      <c r="I113" s="196"/>
    </row>
    <row r="114" spans="1:9" s="261" customFormat="1" ht="12.75" customHeight="1" x14ac:dyDescent="0.2">
      <c r="A114" s="199">
        <f>A107+1</f>
        <v>11</v>
      </c>
      <c r="B114" s="200" t="s">
        <v>169</v>
      </c>
      <c r="C114" s="220" t="s">
        <v>201</v>
      </c>
      <c r="D114" s="279" t="str">
        <f>$D$5</f>
        <v>FTE AUG 23</v>
      </c>
      <c r="E114" s="201">
        <f>'3381'!I$142</f>
        <v>728430.29</v>
      </c>
      <c r="F114" s="328"/>
      <c r="G114" s="201">
        <f>SUBTOTAL(109,E114:F122)</f>
        <v>728430.29</v>
      </c>
      <c r="H114" s="298"/>
      <c r="I114" s="196"/>
    </row>
    <row r="115" spans="1:9" s="261" customFormat="1" ht="12.75" hidden="1" customHeight="1" x14ac:dyDescent="0.2">
      <c r="A115" s="199"/>
      <c r="B115" s="200"/>
      <c r="C115" s="220"/>
      <c r="D115" s="233" t="s">
        <v>280</v>
      </c>
      <c r="E115" s="201"/>
      <c r="F115" s="328"/>
      <c r="G115" s="201"/>
      <c r="H115" s="260"/>
      <c r="I115" s="318"/>
    </row>
    <row r="116" spans="1:9" ht="12.75" hidden="1" customHeight="1" x14ac:dyDescent="0.2">
      <c r="A116" s="199"/>
      <c r="B116" s="200"/>
      <c r="C116" s="220"/>
      <c r="D116" s="374" t="s">
        <v>338</v>
      </c>
      <c r="E116" s="201"/>
      <c r="F116" s="328"/>
      <c r="G116" s="201"/>
      <c r="H116" s="299"/>
      <c r="I116" s="196"/>
    </row>
    <row r="117" spans="1:9" s="261" customFormat="1" ht="12.75" hidden="1" customHeight="1" x14ac:dyDescent="0.2">
      <c r="A117" s="199"/>
      <c r="B117" s="200"/>
      <c r="C117" s="220"/>
      <c r="D117" s="233" t="s">
        <v>282</v>
      </c>
      <c r="E117" s="201"/>
      <c r="F117" s="328"/>
      <c r="G117" s="201"/>
      <c r="H117" s="298"/>
      <c r="I117" s="196"/>
    </row>
    <row r="118" spans="1:9" s="261" customFormat="1" ht="12.75" hidden="1" customHeight="1" x14ac:dyDescent="0.2">
      <c r="A118" s="199"/>
      <c r="B118" s="200"/>
      <c r="C118" s="220"/>
      <c r="D118" s="233" t="s">
        <v>281</v>
      </c>
      <c r="E118" s="201"/>
      <c r="F118" s="328"/>
      <c r="G118" s="201"/>
      <c r="H118" s="298"/>
      <c r="I118" s="196"/>
    </row>
    <row r="119" spans="1:9" s="261" customFormat="1" ht="12.75" hidden="1" customHeight="1" x14ac:dyDescent="0.2">
      <c r="A119" s="199"/>
      <c r="B119" s="200"/>
      <c r="C119" s="220"/>
      <c r="D119" s="233" t="s">
        <v>290</v>
      </c>
      <c r="E119" s="201"/>
      <c r="F119" s="328"/>
      <c r="G119" s="201"/>
      <c r="H119" s="298"/>
      <c r="I119" s="196"/>
    </row>
    <row r="120" spans="1:9" s="261" customFormat="1" ht="12.75" hidden="1" customHeight="1" x14ac:dyDescent="0.2">
      <c r="A120" s="199"/>
      <c r="B120" s="200"/>
      <c r="C120" s="220"/>
      <c r="D120" s="233" t="s">
        <v>259</v>
      </c>
      <c r="E120" s="201"/>
      <c r="F120" s="328"/>
      <c r="G120" s="201"/>
      <c r="H120" s="298"/>
      <c r="I120" s="196"/>
    </row>
    <row r="121" spans="1:9" s="261" customFormat="1" ht="12.75" hidden="1" customHeight="1" x14ac:dyDescent="0.2">
      <c r="A121" s="199"/>
      <c r="B121" s="200"/>
      <c r="C121" s="220"/>
      <c r="D121" s="233" t="s">
        <v>333</v>
      </c>
      <c r="E121" s="201"/>
      <c r="F121" s="328"/>
      <c r="G121" s="201"/>
      <c r="H121" s="298"/>
      <c r="I121" s="196"/>
    </row>
    <row r="122" spans="1:9" s="261" customFormat="1" ht="12.75" hidden="1" customHeight="1" x14ac:dyDescent="0.2">
      <c r="A122" s="199"/>
      <c r="B122" s="200"/>
      <c r="C122" s="220"/>
      <c r="D122" s="280" t="s">
        <v>320</v>
      </c>
      <c r="E122" s="201"/>
      <c r="F122" s="328"/>
      <c r="G122" s="201"/>
      <c r="H122" s="260"/>
      <c r="I122" s="318"/>
    </row>
    <row r="123" spans="1:9" s="261" customFormat="1" ht="12.75" customHeight="1" x14ac:dyDescent="0.2">
      <c r="A123" s="195">
        <f>A114+1</f>
        <v>12</v>
      </c>
      <c r="B123" s="196" t="s">
        <v>170</v>
      </c>
      <c r="C123" s="219" t="s">
        <v>203</v>
      </c>
      <c r="D123" s="496" t="str">
        <f>$D$5</f>
        <v>FTE AUG 23</v>
      </c>
      <c r="E123" s="198">
        <f>'3382'!I$142</f>
        <v>183750.86</v>
      </c>
      <c r="F123" s="329"/>
      <c r="G123" s="198">
        <f>SUBTOTAL(109,E123:F131)</f>
        <v>183750.86</v>
      </c>
      <c r="H123" s="260"/>
      <c r="I123" s="318"/>
    </row>
    <row r="124" spans="1:9" s="261" customFormat="1" ht="12.75" hidden="1" customHeight="1" x14ac:dyDescent="0.2">
      <c r="A124" s="195"/>
      <c r="B124" s="196"/>
      <c r="C124" s="219"/>
      <c r="D124" s="232" t="s">
        <v>280</v>
      </c>
      <c r="E124" s="198"/>
      <c r="F124" s="329"/>
      <c r="G124" s="198"/>
      <c r="H124" s="298"/>
      <c r="I124" s="196"/>
    </row>
    <row r="125" spans="1:9" s="261" customFormat="1" ht="12.75" hidden="1" customHeight="1" x14ac:dyDescent="0.2">
      <c r="A125" s="195"/>
      <c r="B125" s="196"/>
      <c r="C125" s="219"/>
      <c r="D125" s="342" t="s">
        <v>338</v>
      </c>
      <c r="E125" s="198"/>
      <c r="F125" s="329"/>
      <c r="G125" s="198"/>
      <c r="H125" s="298"/>
      <c r="I125" s="196"/>
    </row>
    <row r="126" spans="1:9" s="261" customFormat="1" ht="12.75" hidden="1" customHeight="1" x14ac:dyDescent="0.2">
      <c r="A126" s="195"/>
      <c r="B126" s="196"/>
      <c r="C126" s="219"/>
      <c r="D126" s="232" t="s">
        <v>282</v>
      </c>
      <c r="E126" s="198"/>
      <c r="F126" s="329"/>
      <c r="G126" s="198"/>
      <c r="H126" s="260"/>
      <c r="I126" s="231"/>
    </row>
    <row r="127" spans="1:9" s="261" customFormat="1" ht="12.75" hidden="1" customHeight="1" x14ac:dyDescent="0.2">
      <c r="A127" s="195"/>
      <c r="B127" s="196"/>
      <c r="C127" s="219"/>
      <c r="D127" s="232" t="s">
        <v>281</v>
      </c>
      <c r="E127" s="198"/>
      <c r="F127" s="329"/>
      <c r="G127" s="198"/>
      <c r="H127" s="298"/>
      <c r="I127" s="196"/>
    </row>
    <row r="128" spans="1:9" s="261" customFormat="1" ht="12.75" hidden="1" customHeight="1" x14ac:dyDescent="0.2">
      <c r="A128" s="195"/>
      <c r="B128" s="196"/>
      <c r="C128" s="219"/>
      <c r="D128" s="232" t="s">
        <v>290</v>
      </c>
      <c r="E128" s="198"/>
      <c r="F128" s="329"/>
      <c r="G128" s="198"/>
      <c r="H128" s="298"/>
      <c r="I128" s="196"/>
    </row>
    <row r="129" spans="1:16" s="261" customFormat="1" ht="12.75" hidden="1" customHeight="1" x14ac:dyDescent="0.2">
      <c r="A129" s="195"/>
      <c r="B129" s="196"/>
      <c r="C129" s="219"/>
      <c r="D129" s="232" t="s">
        <v>259</v>
      </c>
      <c r="E129" s="198"/>
      <c r="F129" s="329"/>
      <c r="G129" s="198"/>
      <c r="H129" s="298"/>
      <c r="I129" s="196"/>
    </row>
    <row r="130" spans="1:16" s="261" customFormat="1" ht="12.75" hidden="1" customHeight="1" x14ac:dyDescent="0.2">
      <c r="A130" s="195"/>
      <c r="B130" s="196"/>
      <c r="C130" s="219"/>
      <c r="D130" s="232" t="s">
        <v>319</v>
      </c>
      <c r="E130" s="198"/>
      <c r="F130" s="329"/>
      <c r="G130" s="198"/>
      <c r="H130" s="260"/>
      <c r="I130" s="318"/>
    </row>
    <row r="131" spans="1:16" s="261" customFormat="1" ht="12.75" hidden="1" customHeight="1" x14ac:dyDescent="0.2">
      <c r="A131" s="195"/>
      <c r="B131" s="196"/>
      <c r="C131" s="231"/>
      <c r="D131" s="278" t="s">
        <v>320</v>
      </c>
      <c r="E131" s="198"/>
      <c r="F131" s="329"/>
      <c r="G131" s="198"/>
      <c r="H131" s="260"/>
      <c r="I131" s="320"/>
    </row>
    <row r="132" spans="1:16" ht="12.75" customHeight="1" x14ac:dyDescent="0.2">
      <c r="A132" s="199">
        <f>A123+1</f>
        <v>13</v>
      </c>
      <c r="B132" s="200" t="s">
        <v>171</v>
      </c>
      <c r="C132" s="220" t="s">
        <v>205</v>
      </c>
      <c r="D132" s="279" t="str">
        <f>$D$5</f>
        <v>FTE AUG 23</v>
      </c>
      <c r="E132" s="201">
        <f>'3391'!I$142</f>
        <v>39479.72</v>
      </c>
      <c r="F132" s="328"/>
      <c r="G132" s="201">
        <f>SUBTOTAL(109,E132:F140)</f>
        <v>39479.72</v>
      </c>
      <c r="H132" s="299"/>
      <c r="I132" s="196"/>
    </row>
    <row r="133" spans="1:16" s="261" customFormat="1" ht="12.75" hidden="1" customHeight="1" x14ac:dyDescent="0.2">
      <c r="A133" s="199"/>
      <c r="B133" s="200"/>
      <c r="C133" s="220"/>
      <c r="D133" s="233" t="s">
        <v>280</v>
      </c>
      <c r="E133" s="201"/>
      <c r="F133" s="328"/>
      <c r="G133" s="201"/>
      <c r="H133" s="298"/>
      <c r="I133" s="196"/>
      <c r="P133" s="319"/>
    </row>
    <row r="134" spans="1:16" s="261" customFormat="1" ht="12.75" hidden="1" customHeight="1" x14ac:dyDescent="0.2">
      <c r="A134" s="199"/>
      <c r="B134" s="200"/>
      <c r="C134" s="220"/>
      <c r="D134" s="233" t="s">
        <v>340</v>
      </c>
      <c r="E134" s="201"/>
      <c r="F134" s="328"/>
      <c r="G134" s="201"/>
      <c r="H134" s="298"/>
      <c r="I134" s="196"/>
    </row>
    <row r="135" spans="1:16" s="261" customFormat="1" ht="12.75" hidden="1" customHeight="1" x14ac:dyDescent="0.2">
      <c r="A135" s="199"/>
      <c r="B135" s="200"/>
      <c r="C135" s="220"/>
      <c r="D135" s="374" t="s">
        <v>338</v>
      </c>
      <c r="E135" s="201"/>
      <c r="F135" s="328"/>
      <c r="G135" s="201"/>
      <c r="H135" s="260"/>
      <c r="I135" s="231"/>
    </row>
    <row r="136" spans="1:16" s="261" customFormat="1" ht="12.75" hidden="1" customHeight="1" x14ac:dyDescent="0.2">
      <c r="A136" s="199"/>
      <c r="B136" s="200"/>
      <c r="C136" s="220"/>
      <c r="D136" s="233" t="s">
        <v>282</v>
      </c>
      <c r="E136" s="201"/>
      <c r="F136" s="328"/>
      <c r="G136" s="201"/>
      <c r="H136" s="298"/>
      <c r="I136" s="196"/>
    </row>
    <row r="137" spans="1:16" s="261" customFormat="1" ht="12.75" hidden="1" customHeight="1" x14ac:dyDescent="0.2">
      <c r="A137" s="199"/>
      <c r="B137" s="200"/>
      <c r="C137" s="220"/>
      <c r="D137" s="233" t="s">
        <v>281</v>
      </c>
      <c r="E137" s="201"/>
      <c r="F137" s="328"/>
      <c r="G137" s="201"/>
      <c r="H137" s="298"/>
      <c r="I137" s="196"/>
    </row>
    <row r="138" spans="1:16" s="261" customFormat="1" ht="12.75" hidden="1" customHeight="1" x14ac:dyDescent="0.2">
      <c r="A138" s="199"/>
      <c r="B138" s="200"/>
      <c r="C138" s="220"/>
      <c r="D138" s="233" t="s">
        <v>290</v>
      </c>
      <c r="E138" s="201"/>
      <c r="F138" s="328"/>
      <c r="G138" s="201"/>
      <c r="H138" s="298"/>
      <c r="I138" s="196"/>
    </row>
    <row r="139" spans="1:16" s="261" customFormat="1" ht="12.75" hidden="1" customHeight="1" x14ac:dyDescent="0.2">
      <c r="A139" s="199"/>
      <c r="B139" s="200"/>
      <c r="C139" s="220"/>
      <c r="D139" s="233" t="s">
        <v>259</v>
      </c>
      <c r="E139" s="201"/>
      <c r="F139" s="328"/>
      <c r="G139" s="201"/>
      <c r="H139" s="260"/>
      <c r="I139" s="318"/>
    </row>
    <row r="140" spans="1:16" s="261" customFormat="1" ht="12.75" hidden="1" customHeight="1" x14ac:dyDescent="0.2">
      <c r="A140" s="199"/>
      <c r="B140" s="200"/>
      <c r="C140" s="220"/>
      <c r="D140" s="280" t="s">
        <v>320</v>
      </c>
      <c r="E140" s="201"/>
      <c r="F140" s="328"/>
      <c r="G140" s="201"/>
      <c r="H140" s="298"/>
      <c r="I140" s="318"/>
    </row>
    <row r="141" spans="1:16" ht="12.75" customHeight="1" x14ac:dyDescent="0.2">
      <c r="A141" s="195">
        <f>A132+1</f>
        <v>14</v>
      </c>
      <c r="B141" s="196" t="s">
        <v>172</v>
      </c>
      <c r="C141" s="219" t="s">
        <v>206</v>
      </c>
      <c r="D141" s="496" t="str">
        <f>$D$5</f>
        <v>FTE AUG 23</v>
      </c>
      <c r="E141" s="198">
        <f>'3394'!I$142</f>
        <v>140413.24</v>
      </c>
      <c r="F141" s="329"/>
      <c r="G141" s="198">
        <f>SUBTOTAL(109,E141:F150)</f>
        <v>140413.24</v>
      </c>
      <c r="H141" s="299"/>
      <c r="I141" s="196"/>
    </row>
    <row r="142" spans="1:16" s="261" customFormat="1" ht="12.75" hidden="1" customHeight="1" x14ac:dyDescent="0.2">
      <c r="A142" s="195"/>
      <c r="B142" s="196"/>
      <c r="C142" s="219"/>
      <c r="D142" s="232" t="s">
        <v>280</v>
      </c>
      <c r="E142" s="198"/>
      <c r="F142" s="329"/>
      <c r="G142" s="198"/>
      <c r="H142" s="298"/>
      <c r="I142" s="286"/>
    </row>
    <row r="143" spans="1:16" s="261" customFormat="1" ht="12.75" hidden="1" customHeight="1" x14ac:dyDescent="0.2">
      <c r="A143" s="195"/>
      <c r="B143" s="196"/>
      <c r="C143" s="219"/>
      <c r="D143" s="342" t="s">
        <v>338</v>
      </c>
      <c r="E143" s="198"/>
      <c r="F143" s="329"/>
      <c r="G143" s="198"/>
      <c r="H143" s="298"/>
      <c r="I143" s="286"/>
    </row>
    <row r="144" spans="1:16" s="261" customFormat="1" ht="12.75" hidden="1" customHeight="1" x14ac:dyDescent="0.2">
      <c r="A144" s="195"/>
      <c r="B144" s="196"/>
      <c r="C144" s="219"/>
      <c r="D144" s="232" t="s">
        <v>282</v>
      </c>
      <c r="E144" s="198"/>
      <c r="F144" s="329"/>
      <c r="G144" s="198"/>
      <c r="H144" s="260"/>
      <c r="I144" s="231"/>
    </row>
    <row r="145" spans="1:9" s="261" customFormat="1" ht="12.75" hidden="1" customHeight="1" x14ac:dyDescent="0.2">
      <c r="A145" s="195"/>
      <c r="B145" s="196"/>
      <c r="C145" s="219"/>
      <c r="D145" s="232" t="s">
        <v>281</v>
      </c>
      <c r="E145" s="198"/>
      <c r="F145" s="329"/>
      <c r="G145" s="198"/>
      <c r="H145" s="260"/>
      <c r="I145" s="231"/>
    </row>
    <row r="146" spans="1:9" s="261" customFormat="1" ht="12.75" hidden="1" customHeight="1" x14ac:dyDescent="0.2">
      <c r="A146" s="195"/>
      <c r="B146" s="196"/>
      <c r="C146" s="219"/>
      <c r="D146" s="232" t="s">
        <v>290</v>
      </c>
      <c r="E146" s="198"/>
      <c r="F146" s="329"/>
      <c r="G146" s="198"/>
      <c r="H146" s="298"/>
      <c r="I146" s="286"/>
    </row>
    <row r="147" spans="1:9" s="261" customFormat="1" ht="12.75" hidden="1" customHeight="1" x14ac:dyDescent="0.2">
      <c r="A147" s="195"/>
      <c r="B147" s="196"/>
      <c r="C147" s="219"/>
      <c r="D147" s="232" t="s">
        <v>259</v>
      </c>
      <c r="E147" s="198"/>
      <c r="F147" s="329"/>
      <c r="G147" s="198"/>
      <c r="H147" s="298"/>
      <c r="I147" s="286"/>
    </row>
    <row r="148" spans="1:9" s="261" customFormat="1" ht="12.75" hidden="1" customHeight="1" x14ac:dyDescent="0.2">
      <c r="A148" s="195"/>
      <c r="B148" s="196"/>
      <c r="C148" s="219"/>
      <c r="D148" s="232" t="s">
        <v>333</v>
      </c>
      <c r="E148" s="198"/>
      <c r="F148" s="329"/>
      <c r="G148" s="198"/>
      <c r="H148" s="298"/>
      <c r="I148" s="286"/>
    </row>
    <row r="149" spans="1:9" s="261" customFormat="1" ht="12.75" hidden="1" customHeight="1" x14ac:dyDescent="0.2">
      <c r="A149" s="195"/>
      <c r="B149" s="196"/>
      <c r="C149" s="219"/>
      <c r="D149" s="278" t="s">
        <v>366</v>
      </c>
      <c r="E149" s="198"/>
      <c r="F149" s="329"/>
      <c r="G149" s="198"/>
      <c r="H149" s="260"/>
      <c r="I149" s="318"/>
    </row>
    <row r="150" spans="1:9" s="261" customFormat="1" ht="12.75" hidden="1" customHeight="1" x14ac:dyDescent="0.2">
      <c r="A150" s="195"/>
      <c r="B150" s="196"/>
      <c r="C150" s="219"/>
      <c r="D150" s="278" t="s">
        <v>367</v>
      </c>
      <c r="E150" s="198"/>
      <c r="F150" s="329"/>
      <c r="G150" s="198"/>
      <c r="H150" s="260"/>
      <c r="I150" s="318"/>
    </row>
    <row r="151" spans="1:9" s="261" customFormat="1" ht="12.75" customHeight="1" x14ac:dyDescent="0.2">
      <c r="A151" s="199">
        <f>A141+1</f>
        <v>15</v>
      </c>
      <c r="B151" s="200" t="s">
        <v>173</v>
      </c>
      <c r="C151" s="263" t="s">
        <v>288</v>
      </c>
      <c r="D151" s="279" t="str">
        <f>$D$5</f>
        <v>FTE AUG 23</v>
      </c>
      <c r="E151" s="201">
        <f>'3395'!I$142</f>
        <v>350402.76</v>
      </c>
      <c r="F151" s="328"/>
      <c r="G151" s="201">
        <f>SUBTOTAL(109,E151:F159)</f>
        <v>349956.64</v>
      </c>
      <c r="H151" s="298"/>
      <c r="I151" s="286"/>
    </row>
    <row r="152" spans="1:9" s="261" customFormat="1" ht="12.75" hidden="1" customHeight="1" x14ac:dyDescent="0.2">
      <c r="A152" s="199"/>
      <c r="B152" s="200"/>
      <c r="C152" s="220"/>
      <c r="D152" s="233" t="s">
        <v>280</v>
      </c>
      <c r="E152" s="201"/>
      <c r="F152" s="328"/>
      <c r="G152" s="201"/>
      <c r="H152" s="298"/>
      <c r="I152" s="286"/>
    </row>
    <row r="153" spans="1:9" s="261" customFormat="1" ht="12.75" hidden="1" customHeight="1" x14ac:dyDescent="0.2">
      <c r="A153" s="199"/>
      <c r="B153" s="200"/>
      <c r="C153" s="220"/>
      <c r="D153" s="374" t="s">
        <v>338</v>
      </c>
      <c r="E153" s="201"/>
      <c r="F153" s="328"/>
      <c r="G153" s="201"/>
      <c r="H153" s="260"/>
      <c r="I153" s="231"/>
    </row>
    <row r="154" spans="1:9" s="261" customFormat="1" ht="12.75" hidden="1" customHeight="1" x14ac:dyDescent="0.2">
      <c r="A154" s="199"/>
      <c r="B154" s="200"/>
      <c r="C154" s="220"/>
      <c r="D154" s="233" t="s">
        <v>282</v>
      </c>
      <c r="E154" s="201"/>
      <c r="F154" s="328"/>
      <c r="G154" s="201"/>
      <c r="H154" s="298"/>
      <c r="I154" s="286"/>
    </row>
    <row r="155" spans="1:9" s="261" customFormat="1" ht="12.75" hidden="1" customHeight="1" x14ac:dyDescent="0.2">
      <c r="A155" s="199"/>
      <c r="B155" s="200"/>
      <c r="C155" s="220"/>
      <c r="D155" s="233" t="s">
        <v>281</v>
      </c>
      <c r="E155" s="201"/>
      <c r="F155" s="328"/>
      <c r="G155" s="201"/>
      <c r="H155" s="298"/>
      <c r="I155" s="286"/>
    </row>
    <row r="156" spans="1:9" s="261" customFormat="1" ht="12.75" hidden="1" customHeight="1" x14ac:dyDescent="0.2">
      <c r="A156" s="199"/>
      <c r="B156" s="200"/>
      <c r="C156" s="220"/>
      <c r="D156" s="233" t="s">
        <v>290</v>
      </c>
      <c r="E156" s="201"/>
      <c r="F156" s="328"/>
      <c r="G156" s="201"/>
      <c r="H156" s="298"/>
      <c r="I156" s="286"/>
    </row>
    <row r="157" spans="1:9" s="261" customFormat="1" ht="12.75" hidden="1" customHeight="1" x14ac:dyDescent="0.2">
      <c r="A157" s="199"/>
      <c r="B157" s="200"/>
      <c r="C157" s="220"/>
      <c r="D157" s="233" t="s">
        <v>259</v>
      </c>
      <c r="E157" s="201"/>
      <c r="F157" s="328"/>
      <c r="G157" s="201"/>
      <c r="H157" s="260"/>
      <c r="I157" s="318"/>
    </row>
    <row r="158" spans="1:9" s="261" customFormat="1" ht="12.75" hidden="1" customHeight="1" x14ac:dyDescent="0.2">
      <c r="A158" s="199"/>
      <c r="B158" s="200"/>
      <c r="C158" s="220"/>
      <c r="D158" s="315" t="s">
        <v>436</v>
      </c>
      <c r="E158" s="201"/>
      <c r="F158" s="328"/>
      <c r="G158" s="201"/>
      <c r="H158" s="298"/>
      <c r="I158" s="320"/>
    </row>
    <row r="159" spans="1:9" s="261" customFormat="1" ht="12.75" customHeight="1" x14ac:dyDescent="0.2">
      <c r="A159" s="332"/>
      <c r="B159" s="200"/>
      <c r="C159" s="220"/>
      <c r="D159" s="315" t="s">
        <v>496</v>
      </c>
      <c r="E159" s="201"/>
      <c r="F159" s="328">
        <v>-446.12</v>
      </c>
      <c r="G159" s="201"/>
      <c r="H159" s="298"/>
      <c r="I159" s="320"/>
    </row>
    <row r="160" spans="1:9" s="261" customFormat="1" ht="12.75" customHeight="1" x14ac:dyDescent="0.2">
      <c r="A160" s="195">
        <f>A151+1</f>
        <v>16</v>
      </c>
      <c r="B160" s="196" t="s">
        <v>174</v>
      </c>
      <c r="C160" s="262" t="s">
        <v>228</v>
      </c>
      <c r="D160" s="496" t="str">
        <f>$D$5</f>
        <v>FTE AUG 23</v>
      </c>
      <c r="E160" s="198">
        <f>'3396'!I$142</f>
        <v>483819.17</v>
      </c>
      <c r="F160" s="329"/>
      <c r="G160" s="198">
        <f>SUBTOTAL(109,E160:F167)</f>
        <v>483819.17</v>
      </c>
      <c r="H160" s="298"/>
      <c r="I160" s="286"/>
    </row>
    <row r="161" spans="1:11" s="261" customFormat="1" ht="12.75" hidden="1" customHeight="1" x14ac:dyDescent="0.2">
      <c r="A161" s="195"/>
      <c r="B161" s="196"/>
      <c r="C161" s="262"/>
      <c r="D161" s="232" t="s">
        <v>280</v>
      </c>
      <c r="E161" s="198"/>
      <c r="F161" s="329"/>
      <c r="G161" s="198"/>
      <c r="H161" s="298"/>
      <c r="I161" s="286"/>
    </row>
    <row r="162" spans="1:11" s="261" customFormat="1" ht="12.75" hidden="1" customHeight="1" x14ac:dyDescent="0.2">
      <c r="A162" s="195"/>
      <c r="B162" s="196"/>
      <c r="C162" s="262"/>
      <c r="D162" s="232" t="s">
        <v>282</v>
      </c>
      <c r="E162" s="198"/>
      <c r="F162" s="329"/>
      <c r="G162" s="198"/>
      <c r="H162" s="298"/>
      <c r="I162" s="286"/>
    </row>
    <row r="163" spans="1:11" s="261" customFormat="1" ht="12.75" hidden="1" customHeight="1" x14ac:dyDescent="0.2">
      <c r="A163" s="195"/>
      <c r="B163" s="196"/>
      <c r="C163" s="262"/>
      <c r="D163" s="232" t="s">
        <v>281</v>
      </c>
      <c r="E163" s="198"/>
      <c r="F163" s="329"/>
      <c r="G163" s="198"/>
      <c r="H163" s="260"/>
      <c r="I163" s="231"/>
    </row>
    <row r="164" spans="1:11" s="261" customFormat="1" ht="12.75" hidden="1" customHeight="1" x14ac:dyDescent="0.2">
      <c r="A164" s="195"/>
      <c r="B164" s="196"/>
      <c r="C164" s="262"/>
      <c r="D164" s="232" t="s">
        <v>290</v>
      </c>
      <c r="E164" s="198"/>
      <c r="F164" s="329"/>
      <c r="G164" s="198"/>
      <c r="H164" s="298"/>
      <c r="I164" s="286"/>
    </row>
    <row r="165" spans="1:11" s="261" customFormat="1" ht="12.75" hidden="1" customHeight="1" x14ac:dyDescent="0.2">
      <c r="A165" s="195"/>
      <c r="B165" s="196"/>
      <c r="C165" s="219"/>
      <c r="D165" s="232" t="s">
        <v>259</v>
      </c>
      <c r="E165" s="198"/>
      <c r="F165" s="329"/>
      <c r="G165" s="198"/>
      <c r="H165" s="298"/>
      <c r="I165" s="286"/>
    </row>
    <row r="166" spans="1:11" s="261" customFormat="1" ht="12.75" hidden="1" customHeight="1" x14ac:dyDescent="0.2">
      <c r="A166" s="195"/>
      <c r="B166" s="196"/>
      <c r="C166" s="219"/>
      <c r="D166" s="232" t="s">
        <v>333</v>
      </c>
      <c r="E166" s="198"/>
      <c r="F166" s="329"/>
      <c r="G166" s="198"/>
      <c r="H166" s="298"/>
      <c r="I166" s="286"/>
    </row>
    <row r="167" spans="1:11" s="261" customFormat="1" ht="12.75" hidden="1" customHeight="1" x14ac:dyDescent="0.2">
      <c r="A167" s="195"/>
      <c r="B167" s="196"/>
      <c r="C167" s="219"/>
      <c r="D167" s="278" t="s">
        <v>320</v>
      </c>
      <c r="E167" s="198"/>
      <c r="F167" s="329"/>
      <c r="G167" s="198"/>
      <c r="H167" s="260"/>
      <c r="I167" s="318"/>
    </row>
    <row r="168" spans="1:11" s="261" customFormat="1" ht="12.75" customHeight="1" x14ac:dyDescent="0.2">
      <c r="A168" s="199">
        <f>A160+1</f>
        <v>17</v>
      </c>
      <c r="B168" s="200" t="s">
        <v>175</v>
      </c>
      <c r="C168" s="220" t="s">
        <v>196</v>
      </c>
      <c r="D168" s="279" t="str">
        <f>$D$5</f>
        <v>FTE AUG 23</v>
      </c>
      <c r="E168" s="201">
        <f>'3398'!I$142</f>
        <v>87830.88</v>
      </c>
      <c r="F168" s="328"/>
      <c r="G168" s="201">
        <f>SUBTOTAL(109,E168:F174)</f>
        <v>87830.88</v>
      </c>
      <c r="H168" s="298"/>
      <c r="I168" s="320"/>
    </row>
    <row r="169" spans="1:11" ht="12.75" hidden="1" customHeight="1" x14ac:dyDescent="0.2">
      <c r="A169" s="199"/>
      <c r="B169" s="200"/>
      <c r="C169" s="220"/>
      <c r="D169" s="233" t="s">
        <v>280</v>
      </c>
      <c r="E169" s="201"/>
      <c r="F169" s="328"/>
      <c r="G169" s="201"/>
      <c r="H169" s="299"/>
      <c r="I169" s="333"/>
    </row>
    <row r="170" spans="1:11" s="261" customFormat="1" ht="12.75" hidden="1" customHeight="1" x14ac:dyDescent="0.2">
      <c r="A170" s="199"/>
      <c r="B170" s="200"/>
      <c r="C170" s="220"/>
      <c r="D170" s="233" t="s">
        <v>282</v>
      </c>
      <c r="E170" s="201"/>
      <c r="F170" s="328"/>
      <c r="G170" s="201"/>
      <c r="H170" s="298"/>
      <c r="I170" s="286"/>
      <c r="K170" s="319"/>
    </row>
    <row r="171" spans="1:11" s="261" customFormat="1" ht="12.75" hidden="1" customHeight="1" x14ac:dyDescent="0.2">
      <c r="A171" s="199"/>
      <c r="B171" s="200"/>
      <c r="C171" s="220"/>
      <c r="D171" s="233" t="s">
        <v>281</v>
      </c>
      <c r="E171" s="201"/>
      <c r="F171" s="328"/>
      <c r="G171" s="201"/>
      <c r="H171" s="298"/>
      <c r="I171" s="286"/>
    </row>
    <row r="172" spans="1:11" s="261" customFormat="1" ht="12.75" hidden="1" customHeight="1" x14ac:dyDescent="0.2">
      <c r="A172" s="199"/>
      <c r="B172" s="200"/>
      <c r="C172" s="229"/>
      <c r="D172" s="233" t="s">
        <v>290</v>
      </c>
      <c r="E172" s="201"/>
      <c r="F172" s="328"/>
      <c r="G172" s="201"/>
      <c r="H172" s="298"/>
    </row>
    <row r="173" spans="1:11" s="261" customFormat="1" ht="12.75" hidden="1" customHeight="1" x14ac:dyDescent="0.2">
      <c r="A173" s="199"/>
      <c r="B173" s="200"/>
      <c r="C173" s="220"/>
      <c r="D173" s="233" t="s">
        <v>259</v>
      </c>
      <c r="E173" s="201"/>
      <c r="F173" s="328"/>
      <c r="G173" s="201"/>
      <c r="H173" s="298"/>
    </row>
    <row r="174" spans="1:11" s="261" customFormat="1" ht="12.75" hidden="1" customHeight="1" x14ac:dyDescent="0.2">
      <c r="A174" s="199"/>
      <c r="B174" s="200"/>
      <c r="C174" s="229"/>
      <c r="D174" s="280" t="s">
        <v>320</v>
      </c>
      <c r="E174" s="201"/>
      <c r="F174" s="328"/>
      <c r="G174" s="201"/>
      <c r="H174" s="298"/>
    </row>
    <row r="175" spans="1:11" s="261" customFormat="1" ht="12.75" customHeight="1" x14ac:dyDescent="0.2">
      <c r="A175" s="195">
        <f>A168+1</f>
        <v>18</v>
      </c>
      <c r="B175" s="196" t="s">
        <v>176</v>
      </c>
      <c r="C175" s="219" t="s">
        <v>190</v>
      </c>
      <c r="D175" s="496" t="str">
        <f>$D$5</f>
        <v>FTE AUG 23</v>
      </c>
      <c r="E175" s="198">
        <f>'3400'!I$142</f>
        <v>100380.53</v>
      </c>
      <c r="F175" s="329"/>
      <c r="G175" s="198">
        <f>SUBTOTAL(109,E175:F182)</f>
        <v>100380.53</v>
      </c>
      <c r="H175" s="260"/>
      <c r="I175" s="318"/>
    </row>
    <row r="176" spans="1:11" s="261" customFormat="1" ht="12.75" hidden="1" customHeight="1" x14ac:dyDescent="0.2">
      <c r="A176" s="195"/>
      <c r="B176" s="196"/>
      <c r="C176" s="219"/>
      <c r="D176" s="232" t="s">
        <v>280</v>
      </c>
      <c r="E176" s="198"/>
      <c r="F176" s="329"/>
      <c r="G176" s="198"/>
      <c r="H176" s="298"/>
      <c r="I176" s="320"/>
    </row>
    <row r="177" spans="1:9" s="261" customFormat="1" ht="12.75" hidden="1" customHeight="1" x14ac:dyDescent="0.2">
      <c r="A177" s="195"/>
      <c r="B177" s="196"/>
      <c r="C177" s="219"/>
      <c r="D177" s="342" t="s">
        <v>338</v>
      </c>
      <c r="E177" s="198"/>
      <c r="F177" s="329"/>
      <c r="G177" s="198"/>
      <c r="H177" s="298"/>
      <c r="I177" s="286"/>
    </row>
    <row r="178" spans="1:9" s="261" customFormat="1" ht="12.75" hidden="1" customHeight="1" x14ac:dyDescent="0.2">
      <c r="A178" s="195"/>
      <c r="B178" s="196"/>
      <c r="C178" s="219"/>
      <c r="D178" s="232" t="s">
        <v>282</v>
      </c>
      <c r="E178" s="198"/>
      <c r="F178" s="329"/>
      <c r="G178" s="198"/>
      <c r="H178" s="298"/>
      <c r="I178" s="286"/>
    </row>
    <row r="179" spans="1:9" s="261" customFormat="1" ht="12.75" hidden="1" customHeight="1" x14ac:dyDescent="0.2">
      <c r="A179" s="195"/>
      <c r="B179" s="196"/>
      <c r="C179" s="219"/>
      <c r="D179" s="232" t="s">
        <v>281</v>
      </c>
      <c r="E179" s="198"/>
      <c r="F179" s="329"/>
      <c r="G179" s="198"/>
      <c r="H179" s="298"/>
      <c r="I179" s="286"/>
    </row>
    <row r="180" spans="1:9" s="261" customFormat="1" ht="12.75" hidden="1" customHeight="1" x14ac:dyDescent="0.2">
      <c r="A180" s="195"/>
      <c r="B180" s="196"/>
      <c r="C180" s="219"/>
      <c r="D180" s="232" t="s">
        <v>290</v>
      </c>
      <c r="E180" s="198"/>
      <c r="F180" s="329"/>
      <c r="G180" s="198"/>
      <c r="H180" s="298"/>
    </row>
    <row r="181" spans="1:9" s="261" customFormat="1" ht="12.75" hidden="1" customHeight="1" x14ac:dyDescent="0.2">
      <c r="A181" s="195"/>
      <c r="B181" s="196"/>
      <c r="C181" s="219"/>
      <c r="D181" s="232" t="s">
        <v>259</v>
      </c>
      <c r="E181" s="198"/>
      <c r="F181" s="329"/>
      <c r="G181" s="198"/>
      <c r="H181" s="298"/>
      <c r="I181" s="188"/>
    </row>
    <row r="182" spans="1:9" ht="12.75" hidden="1" customHeight="1" x14ac:dyDescent="0.2">
      <c r="A182" s="195"/>
      <c r="B182" s="196"/>
      <c r="C182" s="219"/>
      <c r="D182" s="278" t="s">
        <v>320</v>
      </c>
      <c r="E182" s="198"/>
      <c r="F182" s="329"/>
      <c r="G182" s="198"/>
      <c r="H182" s="299"/>
    </row>
    <row r="183" spans="1:9" s="261" customFormat="1" ht="12.75" customHeight="1" x14ac:dyDescent="0.2">
      <c r="A183" s="199">
        <f>A175+1</f>
        <v>19</v>
      </c>
      <c r="B183" s="200" t="s">
        <v>177</v>
      </c>
      <c r="C183" s="220" t="s">
        <v>207</v>
      </c>
      <c r="D183" s="279" t="str">
        <f>$D$5</f>
        <v>FTE AUG 23</v>
      </c>
      <c r="E183" s="201">
        <f>'3401'!I$142</f>
        <v>224112.15</v>
      </c>
      <c r="F183" s="328"/>
      <c r="G183" s="201">
        <f>SUBTOTAL(109,E183:F193)</f>
        <v>224112.15</v>
      </c>
      <c r="H183" s="260"/>
      <c r="I183" s="318"/>
    </row>
    <row r="184" spans="1:9" ht="12.75" hidden="1" customHeight="1" x14ac:dyDescent="0.2">
      <c r="A184" s="199"/>
      <c r="B184" s="200"/>
      <c r="C184" s="220"/>
      <c r="D184" s="233" t="s">
        <v>280</v>
      </c>
      <c r="E184" s="201"/>
      <c r="F184" s="328"/>
      <c r="G184" s="201"/>
      <c r="H184" s="299"/>
      <c r="I184" s="286"/>
    </row>
    <row r="185" spans="1:9" s="261" customFormat="1" ht="12.75" hidden="1" customHeight="1" x14ac:dyDescent="0.2">
      <c r="A185" s="199"/>
      <c r="B185" s="200"/>
      <c r="C185" s="220"/>
      <c r="D185" s="374" t="s">
        <v>351</v>
      </c>
      <c r="E185" s="201"/>
      <c r="F185" s="328"/>
      <c r="G185" s="201"/>
      <c r="H185" s="298"/>
      <c r="I185" s="286"/>
    </row>
    <row r="186" spans="1:9" s="261" customFormat="1" ht="12.75" hidden="1" customHeight="1" x14ac:dyDescent="0.2">
      <c r="A186" s="199"/>
      <c r="B186" s="200"/>
      <c r="C186" s="220"/>
      <c r="D186" s="233" t="s">
        <v>340</v>
      </c>
      <c r="E186" s="201"/>
      <c r="F186" s="328"/>
      <c r="G186" s="201"/>
      <c r="H186" s="298"/>
      <c r="I186" s="286"/>
    </row>
    <row r="187" spans="1:9" s="261" customFormat="1" ht="12.75" hidden="1" customHeight="1" x14ac:dyDescent="0.2">
      <c r="A187" s="199"/>
      <c r="B187" s="200"/>
      <c r="C187" s="220"/>
      <c r="D187" s="233" t="s">
        <v>341</v>
      </c>
      <c r="E187" s="201"/>
      <c r="F187" s="328"/>
      <c r="G187" s="201"/>
      <c r="H187" s="260"/>
      <c r="I187" s="231"/>
    </row>
    <row r="188" spans="1:9" s="261" customFormat="1" ht="12.75" hidden="1" customHeight="1" x14ac:dyDescent="0.2">
      <c r="A188" s="199"/>
      <c r="B188" s="200"/>
      <c r="C188" s="220"/>
      <c r="D188" s="233" t="s">
        <v>282</v>
      </c>
      <c r="E188" s="201"/>
      <c r="F188" s="328"/>
      <c r="G188" s="201"/>
      <c r="H188" s="298"/>
    </row>
    <row r="189" spans="1:9" s="261" customFormat="1" ht="12.75" hidden="1" customHeight="1" x14ac:dyDescent="0.2">
      <c r="A189" s="199"/>
      <c r="B189" s="200"/>
      <c r="C189" s="220"/>
      <c r="D189" s="233" t="s">
        <v>281</v>
      </c>
      <c r="E189" s="201"/>
      <c r="F189" s="328"/>
      <c r="G189" s="201"/>
      <c r="H189" s="298"/>
    </row>
    <row r="190" spans="1:9" s="261" customFormat="1" ht="12.75" hidden="1" customHeight="1" x14ac:dyDescent="0.2">
      <c r="A190" s="199"/>
      <c r="B190" s="200"/>
      <c r="C190" s="220"/>
      <c r="D190" s="233" t="s">
        <v>290</v>
      </c>
      <c r="E190" s="201"/>
      <c r="F190" s="328"/>
      <c r="G190" s="201"/>
      <c r="H190" s="298"/>
      <c r="I190" s="196"/>
    </row>
    <row r="191" spans="1:9" s="261" customFormat="1" ht="12.75" hidden="1" customHeight="1" x14ac:dyDescent="0.2">
      <c r="A191" s="199"/>
      <c r="B191" s="200"/>
      <c r="C191" s="220"/>
      <c r="D191" s="233" t="s">
        <v>259</v>
      </c>
      <c r="E191" s="201"/>
      <c r="F191" s="328"/>
      <c r="G191" s="201"/>
      <c r="H191" s="260"/>
      <c r="I191" s="318"/>
    </row>
    <row r="192" spans="1:9" s="261" customFormat="1" ht="12.75" hidden="1" customHeight="1" x14ac:dyDescent="0.2">
      <c r="A192" s="199"/>
      <c r="B192" s="200"/>
      <c r="C192" s="229"/>
      <c r="D192" s="315" t="s">
        <v>334</v>
      </c>
      <c r="E192" s="201"/>
      <c r="F192" s="328"/>
      <c r="G192" s="201"/>
      <c r="H192" s="260"/>
      <c r="I192" s="318"/>
    </row>
    <row r="193" spans="1:9" s="261" customFormat="1" ht="12.75" hidden="1" customHeight="1" x14ac:dyDescent="0.2">
      <c r="A193" s="199"/>
      <c r="B193" s="200"/>
      <c r="C193" s="220"/>
      <c r="D193" s="280" t="s">
        <v>320</v>
      </c>
      <c r="E193" s="201"/>
      <c r="F193" s="328"/>
      <c r="G193" s="201"/>
      <c r="H193" s="298"/>
      <c r="I193" s="196"/>
    </row>
    <row r="194" spans="1:9" s="261" customFormat="1" ht="12.75" customHeight="1" x14ac:dyDescent="0.2">
      <c r="A194" s="195">
        <f>A183+1</f>
        <v>20</v>
      </c>
      <c r="B194" s="196" t="s">
        <v>178</v>
      </c>
      <c r="C194" s="219" t="s">
        <v>208</v>
      </c>
      <c r="D194" s="496" t="str">
        <f>$D$5</f>
        <v>FTE AUG 23</v>
      </c>
      <c r="E194" s="198">
        <f>'3413'!I$142</f>
        <v>245982.01</v>
      </c>
      <c r="F194" s="329"/>
      <c r="G194" s="198">
        <f>SUBTOTAL(109,E194:F201)</f>
        <v>245982.01</v>
      </c>
      <c r="H194" s="298"/>
      <c r="I194" s="196"/>
    </row>
    <row r="195" spans="1:9" s="261" customFormat="1" ht="12.75" hidden="1" customHeight="1" x14ac:dyDescent="0.2">
      <c r="A195" s="195"/>
      <c r="B195" s="196"/>
      <c r="C195" s="219"/>
      <c r="D195" s="232" t="s">
        <v>280</v>
      </c>
      <c r="E195" s="198"/>
      <c r="F195" s="329"/>
      <c r="G195" s="198"/>
      <c r="H195" s="298"/>
      <c r="I195" s="196"/>
    </row>
    <row r="196" spans="1:9" s="261" customFormat="1" ht="12.75" hidden="1" customHeight="1" x14ac:dyDescent="0.2">
      <c r="A196" s="195"/>
      <c r="B196" s="196"/>
      <c r="C196" s="219"/>
      <c r="D196" s="342" t="s">
        <v>338</v>
      </c>
      <c r="E196" s="198"/>
      <c r="F196" s="329"/>
      <c r="G196" s="198"/>
      <c r="H196" s="298"/>
      <c r="I196" s="196"/>
    </row>
    <row r="197" spans="1:9" s="261" customFormat="1" ht="12.75" hidden="1" customHeight="1" x14ac:dyDescent="0.2">
      <c r="A197" s="195"/>
      <c r="B197" s="196"/>
      <c r="C197" s="219"/>
      <c r="D197" s="232" t="s">
        <v>282</v>
      </c>
      <c r="E197" s="198"/>
      <c r="F197" s="329"/>
      <c r="G197" s="198"/>
      <c r="H197" s="298"/>
      <c r="I197" s="196"/>
    </row>
    <row r="198" spans="1:9" s="261" customFormat="1" ht="12.75" hidden="1" customHeight="1" x14ac:dyDescent="0.2">
      <c r="A198" s="195"/>
      <c r="B198" s="196"/>
      <c r="C198" s="219"/>
      <c r="D198" s="232" t="s">
        <v>281</v>
      </c>
      <c r="E198" s="198"/>
      <c r="F198" s="329"/>
      <c r="G198" s="198"/>
      <c r="H198" s="298"/>
      <c r="I198" s="196"/>
    </row>
    <row r="199" spans="1:9" s="261" customFormat="1" ht="12.75" hidden="1" customHeight="1" x14ac:dyDescent="0.2">
      <c r="A199" s="195"/>
      <c r="B199" s="196"/>
      <c r="C199" s="219"/>
      <c r="D199" s="232" t="s">
        <v>290</v>
      </c>
      <c r="E199" s="198"/>
      <c r="F199" s="329"/>
      <c r="G199" s="198"/>
      <c r="H199" s="298"/>
      <c r="I199" s="196"/>
    </row>
    <row r="200" spans="1:9" s="261" customFormat="1" ht="12.75" hidden="1" customHeight="1" x14ac:dyDescent="0.2">
      <c r="A200" s="195"/>
      <c r="B200" s="196"/>
      <c r="C200" s="219"/>
      <c r="D200" s="232" t="s">
        <v>259</v>
      </c>
      <c r="E200" s="198"/>
      <c r="F200" s="329"/>
      <c r="G200" s="198"/>
      <c r="H200" s="298"/>
      <c r="I200" s="196"/>
    </row>
    <row r="201" spans="1:9" s="261" customFormat="1" ht="12.75" hidden="1" customHeight="1" x14ac:dyDescent="0.2">
      <c r="A201" s="195"/>
      <c r="B201" s="196"/>
      <c r="C201" s="219"/>
      <c r="D201" s="278" t="s">
        <v>320</v>
      </c>
      <c r="E201" s="198"/>
      <c r="F201" s="329"/>
      <c r="G201" s="198"/>
      <c r="H201" s="260"/>
      <c r="I201" s="318"/>
    </row>
    <row r="202" spans="1:9" s="261" customFormat="1" ht="12.75" customHeight="1" x14ac:dyDescent="0.2">
      <c r="A202" s="199">
        <f>A194+1</f>
        <v>21</v>
      </c>
      <c r="B202" s="200" t="s">
        <v>179</v>
      </c>
      <c r="C202" s="220" t="s">
        <v>209</v>
      </c>
      <c r="D202" s="279" t="str">
        <f>$D$5</f>
        <v>FTE AUG 23</v>
      </c>
      <c r="E202" s="201">
        <f>'3421'!I$142</f>
        <v>205255.16</v>
      </c>
      <c r="F202" s="328"/>
      <c r="G202" s="201">
        <f>SUBTOTAL(109,E202:F212)</f>
        <v>205255.16</v>
      </c>
      <c r="H202" s="298"/>
      <c r="I202" s="323"/>
    </row>
    <row r="203" spans="1:9" s="261" customFormat="1" ht="12.75" hidden="1" customHeight="1" x14ac:dyDescent="0.2">
      <c r="A203" s="199"/>
      <c r="B203" s="200"/>
      <c r="C203" s="220"/>
      <c r="D203" s="233" t="s">
        <v>280</v>
      </c>
      <c r="E203" s="201"/>
      <c r="F203" s="328"/>
      <c r="G203" s="201"/>
      <c r="H203" s="260"/>
      <c r="I203" s="318"/>
    </row>
    <row r="204" spans="1:9" s="261" customFormat="1" ht="12.75" hidden="1" customHeight="1" x14ac:dyDescent="0.2">
      <c r="A204" s="199"/>
      <c r="B204" s="200"/>
      <c r="C204" s="220"/>
      <c r="D204" s="374" t="s">
        <v>351</v>
      </c>
      <c r="E204" s="201"/>
      <c r="F204" s="328"/>
      <c r="G204" s="201"/>
      <c r="H204" s="298"/>
      <c r="I204" s="196"/>
    </row>
    <row r="205" spans="1:9" s="261" customFormat="1" ht="12.75" hidden="1" customHeight="1" x14ac:dyDescent="0.2">
      <c r="A205" s="199"/>
      <c r="B205" s="200"/>
      <c r="C205" s="220"/>
      <c r="D205" s="233" t="s">
        <v>340</v>
      </c>
      <c r="E205" s="201"/>
      <c r="F205" s="328"/>
      <c r="G205" s="201"/>
      <c r="H205" s="298"/>
      <c r="I205" s="196"/>
    </row>
    <row r="206" spans="1:9" s="261" customFormat="1" ht="12.75" hidden="1" customHeight="1" x14ac:dyDescent="0.2">
      <c r="A206" s="199"/>
      <c r="B206" s="200"/>
      <c r="C206" s="220"/>
      <c r="D206" s="233" t="s">
        <v>341</v>
      </c>
      <c r="E206" s="201"/>
      <c r="F206" s="328"/>
      <c r="G206" s="201"/>
      <c r="H206" s="260"/>
      <c r="I206" s="231"/>
    </row>
    <row r="207" spans="1:9" s="261" customFormat="1" ht="12.75" hidden="1" customHeight="1" x14ac:dyDescent="0.2">
      <c r="A207" s="199"/>
      <c r="B207" s="200"/>
      <c r="C207" s="220"/>
      <c r="D207" s="233" t="s">
        <v>282</v>
      </c>
      <c r="E207" s="201"/>
      <c r="F207" s="328"/>
      <c r="G207" s="201"/>
      <c r="H207" s="298"/>
    </row>
    <row r="208" spans="1:9" s="261" customFormat="1" ht="12.75" hidden="1" customHeight="1" x14ac:dyDescent="0.2">
      <c r="A208" s="199"/>
      <c r="B208" s="200"/>
      <c r="C208" s="220"/>
      <c r="D208" s="233" t="s">
        <v>281</v>
      </c>
      <c r="E208" s="201"/>
      <c r="F208" s="328"/>
      <c r="G208" s="201"/>
      <c r="H208" s="298"/>
    </row>
    <row r="209" spans="1:9" s="261" customFormat="1" ht="12.75" hidden="1" customHeight="1" x14ac:dyDescent="0.2">
      <c r="A209" s="199"/>
      <c r="B209" s="200"/>
      <c r="C209" s="220"/>
      <c r="D209" s="233" t="s">
        <v>290</v>
      </c>
      <c r="E209" s="201"/>
      <c r="F209" s="328"/>
      <c r="G209" s="201"/>
      <c r="H209" s="298"/>
    </row>
    <row r="210" spans="1:9" s="261" customFormat="1" ht="12.75" hidden="1" customHeight="1" x14ac:dyDescent="0.2">
      <c r="A210" s="199"/>
      <c r="B210" s="200"/>
      <c r="C210" s="220"/>
      <c r="D210" s="233" t="s">
        <v>259</v>
      </c>
      <c r="E210" s="201"/>
      <c r="F210" s="328"/>
      <c r="G210" s="201"/>
      <c r="H210" s="260"/>
      <c r="I210" s="318"/>
    </row>
    <row r="211" spans="1:9" s="261" customFormat="1" ht="12.75" hidden="1" customHeight="1" x14ac:dyDescent="0.2">
      <c r="A211" s="199"/>
      <c r="B211" s="200"/>
      <c r="C211" s="229"/>
      <c r="D211" s="315" t="s">
        <v>334</v>
      </c>
      <c r="E211" s="201"/>
      <c r="F211" s="328"/>
      <c r="G211" s="201"/>
      <c r="H211" s="260"/>
      <c r="I211" s="318"/>
    </row>
    <row r="212" spans="1:9" s="261" customFormat="1" ht="12.75" hidden="1" customHeight="1" x14ac:dyDescent="0.2">
      <c r="A212" s="199"/>
      <c r="B212" s="200"/>
      <c r="C212" s="220"/>
      <c r="D212" s="280" t="s">
        <v>320</v>
      </c>
      <c r="E212" s="201"/>
      <c r="F212" s="328"/>
      <c r="G212" s="201"/>
      <c r="H212" s="298"/>
    </row>
    <row r="213" spans="1:9" s="261" customFormat="1" ht="12.75" customHeight="1" x14ac:dyDescent="0.2">
      <c r="A213" s="195">
        <f>A202+1</f>
        <v>22</v>
      </c>
      <c r="B213" s="196" t="s">
        <v>180</v>
      </c>
      <c r="C213" s="219" t="s">
        <v>211</v>
      </c>
      <c r="D213" s="496" t="str">
        <f>$D$5</f>
        <v>FTE AUG 23</v>
      </c>
      <c r="E213" s="198">
        <f>'3431'!I$142</f>
        <v>688388.98</v>
      </c>
      <c r="F213" s="329"/>
      <c r="G213" s="198">
        <f>SUBTOTAL(109,E213:F222)</f>
        <v>688388.98</v>
      </c>
      <c r="H213" s="298"/>
    </row>
    <row r="214" spans="1:9" s="261" customFormat="1" ht="12.75" hidden="1" customHeight="1" x14ac:dyDescent="0.2">
      <c r="A214" s="195"/>
      <c r="B214" s="196"/>
      <c r="C214" s="219"/>
      <c r="D214" s="232" t="s">
        <v>280</v>
      </c>
      <c r="E214" s="198"/>
      <c r="F214" s="329"/>
      <c r="G214" s="198"/>
      <c r="H214" s="298"/>
      <c r="I214" s="196"/>
    </row>
    <row r="215" spans="1:9" s="261" customFormat="1" ht="12.75" hidden="1" customHeight="1" x14ac:dyDescent="0.2">
      <c r="A215" s="195"/>
      <c r="B215" s="196"/>
      <c r="C215" s="219"/>
      <c r="D215" s="342" t="s">
        <v>339</v>
      </c>
      <c r="E215" s="198"/>
      <c r="F215" s="329"/>
      <c r="G215" s="198"/>
      <c r="H215" s="298"/>
      <c r="I215" s="196"/>
    </row>
    <row r="216" spans="1:9" s="261" customFormat="1" ht="12.75" hidden="1" customHeight="1" x14ac:dyDescent="0.2">
      <c r="A216" s="195"/>
      <c r="B216" s="196"/>
      <c r="C216" s="219"/>
      <c r="D216" s="232" t="s">
        <v>282</v>
      </c>
      <c r="E216" s="198"/>
      <c r="F216" s="329"/>
      <c r="G216" s="198"/>
      <c r="H216" s="298"/>
      <c r="I216" s="196"/>
    </row>
    <row r="217" spans="1:9" s="261" customFormat="1" ht="12.75" hidden="1" customHeight="1" x14ac:dyDescent="0.2">
      <c r="A217" s="195"/>
      <c r="B217" s="196"/>
      <c r="C217" s="219"/>
      <c r="D217" s="232" t="s">
        <v>329</v>
      </c>
      <c r="E217" s="198"/>
      <c r="F217" s="329"/>
      <c r="G217" s="198"/>
      <c r="H217" s="298"/>
    </row>
    <row r="218" spans="1:9" s="261" customFormat="1" ht="12.75" hidden="1" customHeight="1" x14ac:dyDescent="0.2">
      <c r="A218" s="195"/>
      <c r="B218" s="196"/>
      <c r="C218" s="219"/>
      <c r="D218" s="232" t="s">
        <v>290</v>
      </c>
      <c r="E218" s="198"/>
      <c r="F218" s="329"/>
      <c r="G218" s="198"/>
      <c r="H218" s="298"/>
      <c r="I218" s="196"/>
    </row>
    <row r="219" spans="1:9" s="261" customFormat="1" ht="12.75" hidden="1" customHeight="1" x14ac:dyDescent="0.2">
      <c r="A219" s="195"/>
      <c r="B219" s="196"/>
      <c r="C219" s="219"/>
      <c r="D219" s="232" t="s">
        <v>259</v>
      </c>
      <c r="E219" s="198"/>
      <c r="F219" s="329"/>
      <c r="G219" s="198"/>
      <c r="H219" s="298"/>
    </row>
    <row r="220" spans="1:9" s="261" customFormat="1" ht="12.75" hidden="1" customHeight="1" x14ac:dyDescent="0.2">
      <c r="A220" s="195"/>
      <c r="B220" s="196"/>
      <c r="C220" s="219"/>
      <c r="D220" s="232" t="s">
        <v>291</v>
      </c>
      <c r="E220" s="198"/>
      <c r="F220" s="329"/>
      <c r="G220" s="198"/>
      <c r="H220" s="260"/>
      <c r="I220" s="318"/>
    </row>
    <row r="221" spans="1:9" s="261" customFormat="1" ht="12.75" hidden="1" customHeight="1" x14ac:dyDescent="0.2">
      <c r="A221" s="195"/>
      <c r="B221" s="196"/>
      <c r="C221" s="231"/>
      <c r="D221" s="343" t="s">
        <v>334</v>
      </c>
      <c r="E221" s="198"/>
      <c r="F221" s="329"/>
      <c r="G221" s="198"/>
      <c r="H221" s="298"/>
      <c r="I221" s="323"/>
    </row>
    <row r="222" spans="1:9" s="261" customFormat="1" ht="12.75" hidden="1" customHeight="1" x14ac:dyDescent="0.2">
      <c r="A222" s="195"/>
      <c r="B222" s="196"/>
      <c r="C222" s="219"/>
      <c r="D222" s="278" t="s">
        <v>337</v>
      </c>
      <c r="E222" s="198"/>
      <c r="F222" s="329"/>
      <c r="G222" s="198"/>
      <c r="H222" s="260"/>
      <c r="I222" s="318"/>
    </row>
    <row r="223" spans="1:9" s="261" customFormat="1" ht="12.75" customHeight="1" x14ac:dyDescent="0.2">
      <c r="A223" s="199">
        <f>A213+1</f>
        <v>23</v>
      </c>
      <c r="B223" s="200">
        <v>3441</v>
      </c>
      <c r="C223" s="263" t="s">
        <v>229</v>
      </c>
      <c r="D223" s="279" t="str">
        <f>$D$5</f>
        <v>FTE AUG 23</v>
      </c>
      <c r="E223" s="201">
        <f>'3441'!I$142</f>
        <v>358334.41</v>
      </c>
      <c r="F223" s="328"/>
      <c r="G223" s="201">
        <f>SUBTOTAL(109,E223:F231)</f>
        <v>358334.41</v>
      </c>
      <c r="H223" s="298"/>
    </row>
    <row r="224" spans="1:9" s="261" customFormat="1" ht="12.75" hidden="1" customHeight="1" x14ac:dyDescent="0.2">
      <c r="A224" s="199"/>
      <c r="B224" s="200"/>
      <c r="C224" s="263"/>
      <c r="D224" s="233" t="s">
        <v>280</v>
      </c>
      <c r="E224" s="201"/>
      <c r="F224" s="328"/>
      <c r="G224" s="201"/>
      <c r="H224" s="298"/>
    </row>
    <row r="225" spans="1:9" s="261" customFormat="1" ht="12.75" hidden="1" customHeight="1" x14ac:dyDescent="0.2">
      <c r="A225" s="199"/>
      <c r="B225" s="200"/>
      <c r="C225" s="220"/>
      <c r="D225" s="374" t="s">
        <v>338</v>
      </c>
      <c r="E225" s="201"/>
      <c r="F225" s="328"/>
      <c r="G225" s="201"/>
      <c r="H225" s="298"/>
      <c r="I225" s="196"/>
    </row>
    <row r="226" spans="1:9" s="261" customFormat="1" ht="12.75" hidden="1" customHeight="1" x14ac:dyDescent="0.2">
      <c r="A226" s="199"/>
      <c r="B226" s="200"/>
      <c r="C226" s="263"/>
      <c r="D226" s="233" t="s">
        <v>282</v>
      </c>
      <c r="E226" s="201"/>
      <c r="F226" s="328"/>
      <c r="G226" s="201"/>
      <c r="H226" s="298"/>
    </row>
    <row r="227" spans="1:9" s="261" customFormat="1" ht="12.75" hidden="1" customHeight="1" x14ac:dyDescent="0.2">
      <c r="A227" s="199"/>
      <c r="B227" s="200"/>
      <c r="C227" s="220"/>
      <c r="D227" s="233" t="s">
        <v>281</v>
      </c>
      <c r="E227" s="201"/>
      <c r="F227" s="328"/>
      <c r="G227" s="201"/>
      <c r="H227" s="298"/>
      <c r="I227" s="196"/>
    </row>
    <row r="228" spans="1:9" s="261" customFormat="1" ht="12.75" hidden="1" customHeight="1" x14ac:dyDescent="0.2">
      <c r="A228" s="199"/>
      <c r="B228" s="200"/>
      <c r="C228" s="220"/>
      <c r="D228" s="233" t="s">
        <v>290</v>
      </c>
      <c r="E228" s="201"/>
      <c r="F228" s="328"/>
      <c r="G228" s="201"/>
      <c r="H228" s="298"/>
      <c r="I228" s="196"/>
    </row>
    <row r="229" spans="1:9" s="261" customFormat="1" ht="12.75" hidden="1" customHeight="1" x14ac:dyDescent="0.2">
      <c r="A229" s="199"/>
      <c r="B229" s="200"/>
      <c r="C229" s="220"/>
      <c r="D229" s="233" t="s">
        <v>259</v>
      </c>
      <c r="E229" s="201"/>
      <c r="F229" s="328"/>
      <c r="G229" s="201"/>
      <c r="H229" s="298"/>
      <c r="I229" s="318"/>
    </row>
    <row r="230" spans="1:9" s="261" customFormat="1" ht="12.75" hidden="1" customHeight="1" x14ac:dyDescent="0.2">
      <c r="A230" s="199"/>
      <c r="B230" s="200"/>
      <c r="C230" s="220"/>
      <c r="D230" s="233" t="s">
        <v>291</v>
      </c>
      <c r="E230" s="201"/>
      <c r="F230" s="328"/>
      <c r="G230" s="201"/>
      <c r="H230" s="298"/>
      <c r="I230" s="286"/>
    </row>
    <row r="231" spans="1:9" s="261" customFormat="1" ht="12.75" hidden="1" customHeight="1" x14ac:dyDescent="0.2">
      <c r="A231" s="199"/>
      <c r="B231" s="200"/>
      <c r="C231" s="220"/>
      <c r="D231" s="280" t="s">
        <v>320</v>
      </c>
      <c r="E231" s="201"/>
      <c r="F231" s="328"/>
      <c r="G231" s="201"/>
      <c r="H231" s="298"/>
      <c r="I231" s="323"/>
    </row>
    <row r="232" spans="1:9" s="261" customFormat="1" ht="12.75" customHeight="1" x14ac:dyDescent="0.2">
      <c r="A232" s="195">
        <f>A223+1</f>
        <v>24</v>
      </c>
      <c r="B232" s="196">
        <v>3924</v>
      </c>
      <c r="C232" s="262" t="s">
        <v>356</v>
      </c>
      <c r="D232" s="496" t="str">
        <f>$D$5</f>
        <v>FTE AUG 23</v>
      </c>
      <c r="E232" s="198">
        <f>'3924'!I$142</f>
        <v>342179.84000000003</v>
      </c>
      <c r="F232" s="329"/>
      <c r="G232" s="198">
        <f>SUBTOTAL(109,E232:F241)</f>
        <v>342179.84000000003</v>
      </c>
      <c r="H232" s="298"/>
    </row>
    <row r="233" spans="1:9" s="261" customFormat="1" ht="12.75" hidden="1" customHeight="1" x14ac:dyDescent="0.2">
      <c r="A233" s="195"/>
      <c r="B233" s="196"/>
      <c r="C233" s="219"/>
      <c r="D233" s="232" t="s">
        <v>280</v>
      </c>
      <c r="E233" s="198"/>
      <c r="F233" s="329"/>
      <c r="G233" s="198"/>
      <c r="H233" s="298"/>
    </row>
    <row r="234" spans="1:9" s="261" customFormat="1" ht="12.75" hidden="1" customHeight="1" x14ac:dyDescent="0.2">
      <c r="A234" s="195"/>
      <c r="B234" s="196"/>
      <c r="C234" s="219"/>
      <c r="D234" s="342" t="s">
        <v>339</v>
      </c>
      <c r="E234" s="198"/>
      <c r="F234" s="329"/>
      <c r="G234" s="198"/>
      <c r="H234" s="298"/>
    </row>
    <row r="235" spans="1:9" s="261" customFormat="1" ht="12.75" hidden="1" customHeight="1" x14ac:dyDescent="0.2">
      <c r="A235" s="195"/>
      <c r="B235" s="196"/>
      <c r="C235" s="219"/>
      <c r="D235" s="342" t="s">
        <v>338</v>
      </c>
      <c r="E235" s="198"/>
      <c r="F235" s="329"/>
      <c r="G235" s="198"/>
      <c r="H235" s="260"/>
      <c r="I235" s="231"/>
    </row>
    <row r="236" spans="1:9" s="261" customFormat="1" ht="12.75" hidden="1" customHeight="1" x14ac:dyDescent="0.2">
      <c r="A236" s="195"/>
      <c r="B236" s="196"/>
      <c r="C236" s="219"/>
      <c r="D236" s="232" t="s">
        <v>282</v>
      </c>
      <c r="E236" s="198"/>
      <c r="F236" s="329"/>
      <c r="G236" s="198"/>
      <c r="H236" s="298"/>
    </row>
    <row r="237" spans="1:9" s="261" customFormat="1" ht="12.75" hidden="1" customHeight="1" x14ac:dyDescent="0.2">
      <c r="A237" s="195"/>
      <c r="B237" s="196"/>
      <c r="C237" s="219"/>
      <c r="D237" s="232" t="s">
        <v>281</v>
      </c>
      <c r="E237" s="198"/>
      <c r="F237" s="329"/>
      <c r="G237" s="198"/>
      <c r="H237" s="298"/>
    </row>
    <row r="238" spans="1:9" s="261" customFormat="1" ht="12.75" hidden="1" customHeight="1" x14ac:dyDescent="0.2">
      <c r="A238" s="195"/>
      <c r="B238" s="196"/>
      <c r="C238" s="219"/>
      <c r="D238" s="232" t="s">
        <v>290</v>
      </c>
      <c r="E238" s="198"/>
      <c r="F238" s="329"/>
      <c r="G238" s="198"/>
      <c r="H238" s="298"/>
      <c r="I238" s="196"/>
    </row>
    <row r="239" spans="1:9" s="261" customFormat="1" ht="12.75" hidden="1" customHeight="1" x14ac:dyDescent="0.2">
      <c r="A239" s="195"/>
      <c r="B239" s="196"/>
      <c r="C239" s="219"/>
      <c r="D239" s="232" t="s">
        <v>259</v>
      </c>
      <c r="E239" s="198"/>
      <c r="F239" s="329"/>
      <c r="G239" s="198"/>
      <c r="H239" s="260"/>
      <c r="I239" s="318"/>
    </row>
    <row r="240" spans="1:9" s="261" customFormat="1" ht="12.75" hidden="1" customHeight="1" x14ac:dyDescent="0.2">
      <c r="A240" s="195"/>
      <c r="B240" s="196"/>
      <c r="C240" s="231"/>
      <c r="D240" s="343" t="s">
        <v>334</v>
      </c>
      <c r="E240" s="198"/>
      <c r="F240" s="329"/>
      <c r="G240" s="198"/>
      <c r="H240" s="298"/>
    </row>
    <row r="241" spans="1:9" s="261" customFormat="1" ht="12.75" hidden="1" customHeight="1" x14ac:dyDescent="0.2">
      <c r="A241" s="195"/>
      <c r="B241" s="196"/>
      <c r="C241" s="219"/>
      <c r="D241" s="278" t="s">
        <v>368</v>
      </c>
      <c r="E241" s="198"/>
      <c r="F241" s="329"/>
      <c r="G241" s="198"/>
      <c r="H241" s="298"/>
    </row>
    <row r="242" spans="1:9" s="261" customFormat="1" ht="12.75" customHeight="1" x14ac:dyDescent="0.2">
      <c r="A242" s="199">
        <f>A232+1</f>
        <v>25</v>
      </c>
      <c r="B242" s="200" t="s">
        <v>181</v>
      </c>
      <c r="C242" s="220" t="s">
        <v>192</v>
      </c>
      <c r="D242" s="279" t="str">
        <f>$D$5</f>
        <v>FTE AUG 23</v>
      </c>
      <c r="E242" s="201">
        <f>'3941'!I$142</f>
        <v>173388.33</v>
      </c>
      <c r="F242" s="328"/>
      <c r="G242" s="201">
        <f>SUBTOTAL(109,E242:F251)</f>
        <v>173388.33</v>
      </c>
      <c r="H242" s="298"/>
    </row>
    <row r="243" spans="1:9" s="261" customFormat="1" ht="12.75" hidden="1" customHeight="1" x14ac:dyDescent="0.2">
      <c r="A243" s="199"/>
      <c r="B243" s="200"/>
      <c r="C243" s="220"/>
      <c r="D243" s="233" t="s">
        <v>280</v>
      </c>
      <c r="E243" s="201"/>
      <c r="F243" s="328"/>
      <c r="G243" s="201"/>
      <c r="H243" s="298"/>
    </row>
    <row r="244" spans="1:9" s="261" customFormat="1" ht="12.75" hidden="1" customHeight="1" x14ac:dyDescent="0.2">
      <c r="A244" s="199"/>
      <c r="B244" s="200"/>
      <c r="C244" s="220"/>
      <c r="D244" s="374" t="s">
        <v>339</v>
      </c>
      <c r="E244" s="201"/>
      <c r="F244" s="328"/>
      <c r="G244" s="201"/>
      <c r="H244" s="298"/>
      <c r="I244" s="196"/>
    </row>
    <row r="245" spans="1:9" s="261" customFormat="1" ht="12.75" hidden="1" customHeight="1" x14ac:dyDescent="0.2">
      <c r="A245" s="199"/>
      <c r="B245" s="200"/>
      <c r="C245" s="220"/>
      <c r="D245" s="233" t="s">
        <v>282</v>
      </c>
      <c r="E245" s="201"/>
      <c r="F245" s="328"/>
      <c r="G245" s="201"/>
      <c r="H245" s="298"/>
      <c r="I245" s="196"/>
    </row>
    <row r="246" spans="1:9" s="261" customFormat="1" ht="12.75" hidden="1" customHeight="1" x14ac:dyDescent="0.2">
      <c r="A246" s="199"/>
      <c r="B246" s="200"/>
      <c r="C246" s="220"/>
      <c r="D246" s="233" t="s">
        <v>281</v>
      </c>
      <c r="E246" s="201"/>
      <c r="F246" s="328"/>
      <c r="G246" s="201"/>
      <c r="H246" s="298"/>
    </row>
    <row r="247" spans="1:9" s="261" customFormat="1" ht="12.75" hidden="1" customHeight="1" x14ac:dyDescent="0.2">
      <c r="A247" s="199"/>
      <c r="B247" s="200"/>
      <c r="C247" s="220"/>
      <c r="D247" s="233" t="s">
        <v>290</v>
      </c>
      <c r="E247" s="201"/>
      <c r="F247" s="328"/>
      <c r="G247" s="201"/>
      <c r="H247" s="298"/>
    </row>
    <row r="248" spans="1:9" s="261" customFormat="1" ht="12.75" hidden="1" customHeight="1" x14ac:dyDescent="0.2">
      <c r="A248" s="199"/>
      <c r="B248" s="200"/>
      <c r="C248" s="220"/>
      <c r="D248" s="233" t="s">
        <v>259</v>
      </c>
      <c r="E248" s="201"/>
      <c r="F248" s="328"/>
      <c r="G248" s="201"/>
      <c r="H248" s="298"/>
    </row>
    <row r="249" spans="1:9" s="261" customFormat="1" ht="12.75" hidden="1" customHeight="1" x14ac:dyDescent="0.2">
      <c r="A249" s="199"/>
      <c r="B249" s="200"/>
      <c r="C249" s="220"/>
      <c r="D249" s="233" t="s">
        <v>315</v>
      </c>
      <c r="E249" s="201"/>
      <c r="F249" s="328"/>
      <c r="G249" s="201"/>
      <c r="H249" s="298"/>
      <c r="I249" s="318"/>
    </row>
    <row r="250" spans="1:9" s="261" customFormat="1" ht="12.75" hidden="1" customHeight="1" x14ac:dyDescent="0.2">
      <c r="A250" s="199"/>
      <c r="B250" s="200"/>
      <c r="C250" s="220"/>
      <c r="D250" s="233" t="s">
        <v>334</v>
      </c>
      <c r="E250" s="201"/>
      <c r="F250" s="328"/>
      <c r="G250" s="201"/>
      <c r="H250" s="298"/>
      <c r="I250" s="323"/>
    </row>
    <row r="251" spans="1:9" s="261" customFormat="1" ht="12.75" hidden="1" customHeight="1" x14ac:dyDescent="0.2">
      <c r="A251" s="199"/>
      <c r="B251" s="200"/>
      <c r="C251" s="220"/>
      <c r="D251" s="233" t="s">
        <v>320</v>
      </c>
      <c r="E251" s="201"/>
      <c r="F251" s="328"/>
      <c r="G251" s="201"/>
      <c r="H251" s="298"/>
      <c r="I251" s="318"/>
    </row>
    <row r="252" spans="1:9" s="261" customFormat="1" ht="12.75" customHeight="1" x14ac:dyDescent="0.2">
      <c r="A252" s="195">
        <f>A242+1</f>
        <v>26</v>
      </c>
      <c r="B252" s="196" t="s">
        <v>182</v>
      </c>
      <c r="C252" s="219" t="s">
        <v>202</v>
      </c>
      <c r="D252" s="496" t="str">
        <f>$D$5</f>
        <v>FTE AUG 23</v>
      </c>
      <c r="E252" s="198">
        <f>'3961'!I$142</f>
        <v>233650.68</v>
      </c>
      <c r="F252" s="329"/>
      <c r="G252" s="198">
        <f>SUBTOTAL(109,E252:F259)</f>
        <v>233650.68</v>
      </c>
      <c r="H252" s="298"/>
    </row>
    <row r="253" spans="1:9" s="261" customFormat="1" ht="12.75" hidden="1" customHeight="1" x14ac:dyDescent="0.2">
      <c r="A253" s="195"/>
      <c r="B253" s="196"/>
      <c r="C253" s="219"/>
      <c r="D253" s="232" t="s">
        <v>280</v>
      </c>
      <c r="E253" s="198"/>
      <c r="F253" s="329"/>
      <c r="G253" s="198"/>
      <c r="H253" s="298"/>
    </row>
    <row r="254" spans="1:9" s="261" customFormat="1" ht="12.75" hidden="1" customHeight="1" x14ac:dyDescent="0.2">
      <c r="A254" s="195"/>
      <c r="B254" s="196"/>
      <c r="C254" s="219"/>
      <c r="D254" s="342" t="s">
        <v>338</v>
      </c>
      <c r="E254" s="198"/>
      <c r="F254" s="329"/>
      <c r="G254" s="198"/>
      <c r="H254" s="298"/>
      <c r="I254" s="196"/>
    </row>
    <row r="255" spans="1:9" s="261" customFormat="1" ht="12.75" hidden="1" customHeight="1" x14ac:dyDescent="0.2">
      <c r="A255" s="195"/>
      <c r="B255" s="196"/>
      <c r="C255" s="219"/>
      <c r="D255" s="232" t="s">
        <v>282</v>
      </c>
      <c r="E255" s="198"/>
      <c r="F255" s="329"/>
      <c r="G255" s="198"/>
      <c r="H255" s="298"/>
    </row>
    <row r="256" spans="1:9" s="261" customFormat="1" ht="12.75" hidden="1" customHeight="1" x14ac:dyDescent="0.2">
      <c r="A256" s="195"/>
      <c r="B256" s="196"/>
      <c r="C256" s="219"/>
      <c r="D256" s="232" t="s">
        <v>281</v>
      </c>
      <c r="E256" s="198"/>
      <c r="F256" s="329"/>
      <c r="G256" s="198"/>
      <c r="H256" s="298"/>
    </row>
    <row r="257" spans="1:9" s="261" customFormat="1" ht="12.75" hidden="1" customHeight="1" x14ac:dyDescent="0.2">
      <c r="A257" s="195"/>
      <c r="B257" s="196"/>
      <c r="C257" s="219"/>
      <c r="D257" s="232" t="s">
        <v>290</v>
      </c>
      <c r="E257" s="198"/>
      <c r="F257" s="329"/>
      <c r="G257" s="198"/>
      <c r="H257" s="298"/>
    </row>
    <row r="258" spans="1:9" s="261" customFormat="1" ht="12.75" hidden="1" customHeight="1" x14ac:dyDescent="0.2">
      <c r="A258" s="195"/>
      <c r="B258" s="196"/>
      <c r="C258" s="219"/>
      <c r="D258" s="232" t="s">
        <v>259</v>
      </c>
      <c r="E258" s="198"/>
      <c r="F258" s="329"/>
      <c r="G258" s="198"/>
      <c r="H258" s="260"/>
      <c r="I258" s="318"/>
    </row>
    <row r="259" spans="1:9" s="261" customFormat="1" ht="12.75" hidden="1" customHeight="1" x14ac:dyDescent="0.2">
      <c r="A259" s="195"/>
      <c r="B259" s="196"/>
      <c r="C259" s="231"/>
      <c r="D259" s="278" t="s">
        <v>335</v>
      </c>
      <c r="E259" s="198"/>
      <c r="F259" s="329"/>
      <c r="G259" s="198"/>
      <c r="H259" s="260"/>
      <c r="I259" s="318"/>
    </row>
    <row r="260" spans="1:9" s="261" customFormat="1" ht="12.75" customHeight="1" x14ac:dyDescent="0.2">
      <c r="A260" s="199">
        <f>A252+1</f>
        <v>27</v>
      </c>
      <c r="B260" s="200" t="s">
        <v>183</v>
      </c>
      <c r="C260" s="220" t="s">
        <v>316</v>
      </c>
      <c r="D260" s="279" t="str">
        <f>$D$5</f>
        <v>FTE AUG 23</v>
      </c>
      <c r="E260" s="201">
        <f>'3971'!I$142</f>
        <v>377049.44</v>
      </c>
      <c r="F260" s="328"/>
      <c r="G260" s="201">
        <f>SUBTOTAL(109,E260:F267)</f>
        <v>377049.44</v>
      </c>
      <c r="H260" s="260"/>
      <c r="I260" s="318"/>
    </row>
    <row r="261" spans="1:9" s="261" customFormat="1" ht="12.75" hidden="1" customHeight="1" x14ac:dyDescent="0.2">
      <c r="A261" s="199"/>
      <c r="B261" s="200"/>
      <c r="C261" s="220"/>
      <c r="D261" s="233" t="s">
        <v>280</v>
      </c>
      <c r="E261" s="201"/>
      <c r="F261" s="328"/>
      <c r="G261" s="201"/>
      <c r="H261" s="298"/>
    </row>
    <row r="262" spans="1:9" s="261" customFormat="1" ht="12.75" hidden="1" customHeight="1" x14ac:dyDescent="0.2">
      <c r="A262" s="199"/>
      <c r="B262" s="200"/>
      <c r="C262" s="220"/>
      <c r="D262" s="374" t="s">
        <v>351</v>
      </c>
      <c r="E262" s="201"/>
      <c r="F262" s="328"/>
      <c r="G262" s="201"/>
      <c r="H262" s="298"/>
    </row>
    <row r="263" spans="1:9" s="261" customFormat="1" ht="12.75" hidden="1" customHeight="1" x14ac:dyDescent="0.2">
      <c r="A263" s="199"/>
      <c r="B263" s="200"/>
      <c r="C263" s="220"/>
      <c r="D263" s="233" t="s">
        <v>282</v>
      </c>
      <c r="E263" s="201"/>
      <c r="F263" s="328"/>
      <c r="G263" s="201"/>
      <c r="H263" s="298"/>
    </row>
    <row r="264" spans="1:9" s="261" customFormat="1" ht="12.75" hidden="1" customHeight="1" x14ac:dyDescent="0.2">
      <c r="A264" s="199"/>
      <c r="B264" s="200"/>
      <c r="C264" s="220"/>
      <c r="D264" s="233" t="s">
        <v>281</v>
      </c>
      <c r="E264" s="201"/>
      <c r="F264" s="328"/>
      <c r="G264" s="201"/>
      <c r="H264" s="298"/>
      <c r="I264" s="196"/>
    </row>
    <row r="265" spans="1:9" s="261" customFormat="1" ht="12.75" hidden="1" customHeight="1" x14ac:dyDescent="0.2">
      <c r="A265" s="199"/>
      <c r="B265" s="200"/>
      <c r="C265" s="220"/>
      <c r="D265" s="233" t="s">
        <v>290</v>
      </c>
      <c r="E265" s="201"/>
      <c r="F265" s="328"/>
      <c r="G265" s="201"/>
      <c r="H265" s="298"/>
    </row>
    <row r="266" spans="1:9" s="261" customFormat="1" ht="12.75" hidden="1" customHeight="1" x14ac:dyDescent="0.2">
      <c r="A266" s="199"/>
      <c r="B266" s="200"/>
      <c r="C266" s="220"/>
      <c r="D266" s="233" t="s">
        <v>259</v>
      </c>
      <c r="E266" s="201"/>
      <c r="F266" s="328"/>
      <c r="G266" s="201"/>
      <c r="H266" s="298"/>
    </row>
    <row r="267" spans="1:9" s="261" customFormat="1" ht="12.75" hidden="1" customHeight="1" x14ac:dyDescent="0.2">
      <c r="A267" s="199"/>
      <c r="B267" s="200"/>
      <c r="C267" s="220"/>
      <c r="D267" s="280" t="s">
        <v>343</v>
      </c>
      <c r="E267" s="201"/>
      <c r="F267" s="328"/>
      <c r="G267" s="201"/>
      <c r="H267" s="298"/>
      <c r="I267" s="188"/>
    </row>
    <row r="268" spans="1:9" s="261" customFormat="1" ht="12.75" customHeight="1" x14ac:dyDescent="0.2">
      <c r="A268" s="195">
        <f>A260+1</f>
        <v>28</v>
      </c>
      <c r="B268" s="196" t="s">
        <v>184</v>
      </c>
      <c r="C268" s="219" t="s">
        <v>220</v>
      </c>
      <c r="D268" s="496" t="str">
        <f>$D$5</f>
        <v>FTE AUG 23</v>
      </c>
      <c r="E268" s="366">
        <f>'4001'!I$142</f>
        <v>486113.26</v>
      </c>
      <c r="F268" s="329"/>
      <c r="G268" s="198">
        <f>SUBTOTAL(109,E268:F276)</f>
        <v>486113.26</v>
      </c>
      <c r="H268" s="298"/>
      <c r="I268" s="318"/>
    </row>
    <row r="269" spans="1:9" ht="12.75" hidden="1" customHeight="1" x14ac:dyDescent="0.2">
      <c r="A269" s="195"/>
      <c r="B269" s="196"/>
      <c r="C269" s="219"/>
      <c r="D269" s="232" t="s">
        <v>280</v>
      </c>
      <c r="E269" s="198"/>
      <c r="F269" s="329"/>
      <c r="G269" s="198"/>
      <c r="H269" s="299"/>
      <c r="I269" s="261"/>
    </row>
    <row r="270" spans="1:9" s="261" customFormat="1" ht="12.75" hidden="1" customHeight="1" x14ac:dyDescent="0.2">
      <c r="A270" s="195"/>
      <c r="B270" s="196"/>
      <c r="C270" s="219"/>
      <c r="D270" s="342" t="s">
        <v>339</v>
      </c>
      <c r="E270" s="198"/>
      <c r="F270" s="329"/>
      <c r="G270" s="198"/>
      <c r="H270" s="298"/>
    </row>
    <row r="271" spans="1:9" s="261" customFormat="1" ht="12.75" hidden="1" customHeight="1" x14ac:dyDescent="0.2">
      <c r="A271" s="195"/>
      <c r="B271" s="196"/>
      <c r="C271" s="219"/>
      <c r="D271" s="232" t="s">
        <v>282</v>
      </c>
      <c r="E271" s="198"/>
      <c r="F271" s="329"/>
      <c r="G271" s="198"/>
      <c r="H271" s="298"/>
    </row>
    <row r="272" spans="1:9" s="261" customFormat="1" ht="12.75" hidden="1" customHeight="1" x14ac:dyDescent="0.2">
      <c r="A272" s="195"/>
      <c r="B272" s="196"/>
      <c r="C272" s="219"/>
      <c r="D272" s="232" t="s">
        <v>281</v>
      </c>
      <c r="E272" s="198"/>
      <c r="F272" s="329"/>
      <c r="G272" s="198"/>
      <c r="H272" s="298"/>
      <c r="I272" s="196"/>
    </row>
    <row r="273" spans="1:9" s="261" customFormat="1" ht="12.75" hidden="1" customHeight="1" x14ac:dyDescent="0.2">
      <c r="A273" s="195"/>
      <c r="B273" s="196"/>
      <c r="C273" s="219"/>
      <c r="D273" s="232" t="s">
        <v>290</v>
      </c>
      <c r="E273" s="198"/>
      <c r="F273" s="329"/>
      <c r="G273" s="198"/>
      <c r="H273" s="298"/>
    </row>
    <row r="274" spans="1:9" s="261" customFormat="1" ht="12.75" hidden="1" customHeight="1" x14ac:dyDescent="0.2">
      <c r="A274" s="195"/>
      <c r="B274" s="196"/>
      <c r="C274" s="219"/>
      <c r="D274" s="232" t="s">
        <v>259</v>
      </c>
      <c r="E274" s="198"/>
      <c r="F274" s="329"/>
      <c r="G274" s="198"/>
      <c r="H274" s="298"/>
    </row>
    <row r="275" spans="1:9" s="261" customFormat="1" ht="12.75" hidden="1" customHeight="1" x14ac:dyDescent="0.2">
      <c r="A275" s="195"/>
      <c r="B275" s="196"/>
      <c r="C275" s="219"/>
      <c r="D275" s="232" t="s">
        <v>334</v>
      </c>
      <c r="E275" s="198"/>
      <c r="F275" s="329"/>
      <c r="G275" s="198"/>
      <c r="H275" s="298"/>
    </row>
    <row r="276" spans="1:9" s="261" customFormat="1" ht="12.75" hidden="1" customHeight="1" x14ac:dyDescent="0.2">
      <c r="A276" s="195"/>
      <c r="B276" s="196"/>
      <c r="C276" s="219"/>
      <c r="D276" s="278" t="s">
        <v>320</v>
      </c>
      <c r="E276" s="198"/>
      <c r="F276" s="329"/>
      <c r="G276" s="198"/>
      <c r="H276" s="260"/>
      <c r="I276" s="318"/>
    </row>
    <row r="277" spans="1:9" s="261" customFormat="1" ht="12.75" customHeight="1" x14ac:dyDescent="0.2">
      <c r="A277" s="199">
        <f>A268+1</f>
        <v>29</v>
      </c>
      <c r="B277" s="200">
        <v>4002</v>
      </c>
      <c r="C277" s="220" t="s">
        <v>219</v>
      </c>
      <c r="D277" s="279" t="str">
        <f>$D$5</f>
        <v>FTE AUG 23</v>
      </c>
      <c r="E277" s="201">
        <f>'4002'!I$142</f>
        <v>797401.21</v>
      </c>
      <c r="F277" s="328"/>
      <c r="G277" s="201">
        <f>SUBTOTAL(109,E277:F286)</f>
        <v>797401.21</v>
      </c>
      <c r="H277" s="298"/>
    </row>
    <row r="278" spans="1:9" s="261" customFormat="1" ht="12.75" hidden="1" customHeight="1" x14ac:dyDescent="0.2">
      <c r="A278" s="199"/>
      <c r="B278" s="200"/>
      <c r="C278" s="220"/>
      <c r="D278" s="233" t="s">
        <v>280</v>
      </c>
      <c r="E278" s="201"/>
      <c r="F278" s="328"/>
      <c r="G278" s="201"/>
      <c r="H278" s="298"/>
    </row>
    <row r="279" spans="1:9" s="261" customFormat="1" ht="12.75" hidden="1" customHeight="1" x14ac:dyDescent="0.2">
      <c r="A279" s="199"/>
      <c r="B279" s="200"/>
      <c r="C279" s="220"/>
      <c r="D279" s="374" t="s">
        <v>339</v>
      </c>
      <c r="E279" s="201"/>
      <c r="F279" s="328"/>
      <c r="G279" s="201"/>
      <c r="H279" s="298"/>
    </row>
    <row r="280" spans="1:9" s="261" customFormat="1" ht="12.75" hidden="1" customHeight="1" x14ac:dyDescent="0.2">
      <c r="A280" s="199"/>
      <c r="B280" s="200"/>
      <c r="C280" s="220"/>
      <c r="D280" s="233" t="s">
        <v>282</v>
      </c>
      <c r="E280" s="201"/>
      <c r="F280" s="328"/>
      <c r="G280" s="201"/>
      <c r="H280" s="298"/>
      <c r="I280" s="196"/>
    </row>
    <row r="281" spans="1:9" s="261" customFormat="1" ht="12.75" hidden="1" customHeight="1" x14ac:dyDescent="0.2">
      <c r="A281" s="199"/>
      <c r="B281" s="200"/>
      <c r="C281" s="220"/>
      <c r="D281" s="233" t="s">
        <v>281</v>
      </c>
      <c r="E281" s="201"/>
      <c r="F281" s="328"/>
      <c r="G281" s="201"/>
      <c r="H281" s="298"/>
    </row>
    <row r="282" spans="1:9" s="261" customFormat="1" ht="12.75" hidden="1" customHeight="1" x14ac:dyDescent="0.2">
      <c r="A282" s="199"/>
      <c r="B282" s="200"/>
      <c r="C282" s="220"/>
      <c r="D282" s="233" t="s">
        <v>290</v>
      </c>
      <c r="E282" s="201"/>
      <c r="F282" s="328"/>
      <c r="G282" s="201"/>
      <c r="H282" s="298"/>
    </row>
    <row r="283" spans="1:9" s="261" customFormat="1" ht="12.75" hidden="1" customHeight="1" x14ac:dyDescent="0.2">
      <c r="A283" s="199"/>
      <c r="B283" s="200"/>
      <c r="C283" s="220"/>
      <c r="D283" s="233" t="s">
        <v>259</v>
      </c>
      <c r="E283" s="201"/>
      <c r="F283" s="328"/>
      <c r="G283" s="201"/>
      <c r="H283" s="298"/>
    </row>
    <row r="284" spans="1:9" s="261" customFormat="1" ht="12.75" hidden="1" customHeight="1" x14ac:dyDescent="0.2">
      <c r="A284" s="199"/>
      <c r="B284" s="200"/>
      <c r="C284" s="220"/>
      <c r="D284" s="233" t="s">
        <v>333</v>
      </c>
      <c r="E284" s="201"/>
      <c r="F284" s="328"/>
      <c r="G284" s="201"/>
      <c r="H284" s="260"/>
      <c r="I284" s="318"/>
    </row>
    <row r="285" spans="1:9" s="261" customFormat="1" ht="12.75" hidden="1" customHeight="1" x14ac:dyDescent="0.2">
      <c r="A285" s="199"/>
      <c r="B285" s="200"/>
      <c r="C285" s="220"/>
      <c r="D285" s="233" t="s">
        <v>334</v>
      </c>
      <c r="E285" s="201"/>
      <c r="F285" s="328"/>
      <c r="G285" s="201"/>
      <c r="H285" s="298"/>
      <c r="I285" s="318"/>
    </row>
    <row r="286" spans="1:9" s="261" customFormat="1" ht="12.75" hidden="1" customHeight="1" x14ac:dyDescent="0.2">
      <c r="A286" s="199"/>
      <c r="B286" s="200"/>
      <c r="C286" s="220"/>
      <c r="D286" s="233" t="s">
        <v>330</v>
      </c>
      <c r="E286" s="201"/>
      <c r="F286" s="328"/>
      <c r="G286" s="201"/>
      <c r="H286" s="298"/>
    </row>
    <row r="287" spans="1:9" s="261" customFormat="1" ht="12.75" customHeight="1" x14ac:dyDescent="0.2">
      <c r="A287" s="195">
        <f>A277+1</f>
        <v>30</v>
      </c>
      <c r="B287" s="196">
        <v>4012</v>
      </c>
      <c r="C287" s="219" t="s">
        <v>222</v>
      </c>
      <c r="D287" s="496" t="str">
        <f>$D$5</f>
        <v>FTE AUG 23</v>
      </c>
      <c r="E287" s="198">
        <f>'4012'!I$142</f>
        <v>449657.87</v>
      </c>
      <c r="F287" s="329"/>
      <c r="G287" s="198">
        <f>SUBTOTAL(109,E287:F294)</f>
        <v>449657.87</v>
      </c>
      <c r="H287" s="298"/>
    </row>
    <row r="288" spans="1:9" s="261" customFormat="1" ht="12.75" hidden="1" customHeight="1" x14ac:dyDescent="0.2">
      <c r="A288" s="195"/>
      <c r="B288" s="196"/>
      <c r="C288" s="219"/>
      <c r="D288" s="232" t="s">
        <v>280</v>
      </c>
      <c r="E288" s="198"/>
      <c r="F288" s="329"/>
      <c r="G288" s="198"/>
      <c r="H288" s="298"/>
    </row>
    <row r="289" spans="1:9" s="261" customFormat="1" ht="12.75" hidden="1" customHeight="1" x14ac:dyDescent="0.2">
      <c r="A289" s="195"/>
      <c r="B289" s="196"/>
      <c r="C289" s="219"/>
      <c r="D289" s="232" t="s">
        <v>282</v>
      </c>
      <c r="E289" s="198"/>
      <c r="F289" s="329"/>
      <c r="G289" s="198"/>
      <c r="H289" s="298"/>
      <c r="I289" s="196"/>
    </row>
    <row r="290" spans="1:9" s="261" customFormat="1" ht="12.75" hidden="1" customHeight="1" x14ac:dyDescent="0.2">
      <c r="A290" s="195"/>
      <c r="B290" s="196"/>
      <c r="C290" s="219"/>
      <c r="D290" s="232" t="s">
        <v>329</v>
      </c>
      <c r="E290" s="198"/>
      <c r="F290" s="329"/>
      <c r="G290" s="198"/>
      <c r="H290" s="298"/>
    </row>
    <row r="291" spans="1:9" s="261" customFormat="1" ht="12.75" hidden="1" customHeight="1" x14ac:dyDescent="0.2">
      <c r="A291" s="195"/>
      <c r="B291" s="196"/>
      <c r="C291" s="219"/>
      <c r="D291" s="232" t="s">
        <v>290</v>
      </c>
      <c r="E291" s="198"/>
      <c r="F291" s="329"/>
      <c r="G291" s="198"/>
      <c r="H291" s="298"/>
    </row>
    <row r="292" spans="1:9" s="261" customFormat="1" ht="12.75" hidden="1" customHeight="1" x14ac:dyDescent="0.2">
      <c r="A292" s="195"/>
      <c r="B292" s="196"/>
      <c r="C292" s="219"/>
      <c r="D292" s="232" t="s">
        <v>259</v>
      </c>
      <c r="E292" s="198"/>
      <c r="F292" s="329"/>
      <c r="G292" s="198"/>
      <c r="H292" s="298"/>
    </row>
    <row r="293" spans="1:9" s="261" customFormat="1" ht="12.75" hidden="1" customHeight="1" x14ac:dyDescent="0.2">
      <c r="A293" s="195"/>
      <c r="B293" s="196"/>
      <c r="C293" s="219"/>
      <c r="D293" s="232" t="s">
        <v>291</v>
      </c>
      <c r="E293" s="198"/>
      <c r="F293" s="329"/>
      <c r="G293" s="198"/>
      <c r="H293" s="298"/>
    </row>
    <row r="294" spans="1:9" s="261" customFormat="1" ht="12.75" hidden="1" customHeight="1" x14ac:dyDescent="0.2">
      <c r="A294" s="195"/>
      <c r="B294" s="196"/>
      <c r="C294" s="219"/>
      <c r="D294" s="278" t="s">
        <v>320</v>
      </c>
      <c r="E294" s="198"/>
      <c r="F294" s="329"/>
      <c r="G294" s="198"/>
      <c r="H294" s="298"/>
      <c r="I294" s="320"/>
    </row>
    <row r="295" spans="1:9" s="261" customFormat="1" ht="12.75" customHeight="1" x14ac:dyDescent="0.2">
      <c r="A295" s="199">
        <f>A287+1</f>
        <v>31</v>
      </c>
      <c r="B295" s="200">
        <v>4013</v>
      </c>
      <c r="C295" s="220" t="s">
        <v>224</v>
      </c>
      <c r="D295" s="279" t="str">
        <f>$D$5</f>
        <v>FTE AUG 23</v>
      </c>
      <c r="E295" s="201">
        <f>'4013'!I$142</f>
        <v>679815.82</v>
      </c>
      <c r="F295" s="328"/>
      <c r="G295" s="201">
        <f>SUBTOTAL(109,E295:F303)</f>
        <v>679815.82</v>
      </c>
      <c r="H295" s="298"/>
      <c r="I295" s="320"/>
    </row>
    <row r="296" spans="1:9" s="261" customFormat="1" ht="12.75" hidden="1" customHeight="1" x14ac:dyDescent="0.2">
      <c r="A296" s="199"/>
      <c r="B296" s="200"/>
      <c r="C296" s="220"/>
      <c r="D296" s="233" t="s">
        <v>280</v>
      </c>
      <c r="E296" s="201"/>
      <c r="F296" s="328"/>
      <c r="G296" s="201"/>
      <c r="H296" s="298"/>
    </row>
    <row r="297" spans="1:9" s="261" customFormat="1" ht="12.75" hidden="1" customHeight="1" x14ac:dyDescent="0.2">
      <c r="A297" s="199"/>
      <c r="B297" s="200"/>
      <c r="C297" s="220"/>
      <c r="D297" s="374" t="s">
        <v>339</v>
      </c>
      <c r="E297" s="201"/>
      <c r="F297" s="328"/>
      <c r="G297" s="201"/>
      <c r="H297" s="298"/>
    </row>
    <row r="298" spans="1:9" s="261" customFormat="1" ht="12.75" hidden="1" customHeight="1" x14ac:dyDescent="0.2">
      <c r="A298" s="199"/>
      <c r="B298" s="200"/>
      <c r="C298" s="220"/>
      <c r="D298" s="233" t="s">
        <v>282</v>
      </c>
      <c r="E298" s="201"/>
      <c r="F298" s="328"/>
      <c r="G298" s="201"/>
      <c r="H298" s="298"/>
    </row>
    <row r="299" spans="1:9" s="261" customFormat="1" ht="12.75" hidden="1" customHeight="1" x14ac:dyDescent="0.2">
      <c r="A299" s="199"/>
      <c r="B299" s="200"/>
      <c r="C299" s="220"/>
      <c r="D299" s="233" t="s">
        <v>329</v>
      </c>
      <c r="E299" s="201"/>
      <c r="F299" s="328"/>
      <c r="G299" s="201"/>
      <c r="H299" s="298"/>
    </row>
    <row r="300" spans="1:9" s="261" customFormat="1" ht="12.75" hidden="1" customHeight="1" x14ac:dyDescent="0.2">
      <c r="A300" s="199"/>
      <c r="B300" s="200"/>
      <c r="C300" s="220"/>
      <c r="D300" s="233" t="s">
        <v>290</v>
      </c>
      <c r="E300" s="201"/>
      <c r="F300" s="328"/>
      <c r="G300" s="201"/>
      <c r="H300" s="298"/>
    </row>
    <row r="301" spans="1:9" s="261" customFormat="1" ht="12.75" hidden="1" customHeight="1" x14ac:dyDescent="0.2">
      <c r="A301" s="199"/>
      <c r="B301" s="200"/>
      <c r="C301" s="220"/>
      <c r="D301" s="233" t="s">
        <v>259</v>
      </c>
      <c r="E301" s="201"/>
      <c r="F301" s="328"/>
      <c r="G301" s="201"/>
      <c r="H301" s="298"/>
    </row>
    <row r="302" spans="1:9" s="261" customFormat="1" ht="12.75" hidden="1" customHeight="1" x14ac:dyDescent="0.2">
      <c r="A302" s="199"/>
      <c r="B302" s="200"/>
      <c r="C302" s="220"/>
      <c r="D302" s="233" t="s">
        <v>334</v>
      </c>
      <c r="E302" s="201"/>
      <c r="F302" s="328"/>
      <c r="G302" s="201"/>
      <c r="H302" s="260"/>
      <c r="I302" s="318"/>
    </row>
    <row r="303" spans="1:9" s="261" customFormat="1" ht="12.75" hidden="1" customHeight="1" x14ac:dyDescent="0.2">
      <c r="A303" s="199"/>
      <c r="B303" s="200"/>
      <c r="C303" s="220"/>
      <c r="D303" s="233" t="s">
        <v>320</v>
      </c>
      <c r="E303" s="201"/>
      <c r="F303" s="328"/>
      <c r="G303" s="201"/>
      <c r="H303" s="298"/>
      <c r="I303" s="308"/>
    </row>
    <row r="304" spans="1:9" s="261" customFormat="1" ht="12.75" customHeight="1" x14ac:dyDescent="0.2">
      <c r="A304" s="195">
        <f>A295+1</f>
        <v>32</v>
      </c>
      <c r="B304" s="196">
        <v>4020</v>
      </c>
      <c r="C304" s="262" t="s">
        <v>322</v>
      </c>
      <c r="D304" s="496" t="str">
        <f>$D$5</f>
        <v>FTE AUG 23</v>
      </c>
      <c r="E304" s="198">
        <f>'4020'!I$142</f>
        <v>898085</v>
      </c>
      <c r="F304" s="329"/>
      <c r="G304" s="198">
        <f>SUBTOTAL(109,E304:F312)</f>
        <v>898085</v>
      </c>
      <c r="H304" s="298"/>
      <c r="I304" s="308"/>
    </row>
    <row r="305" spans="1:9" s="261" customFormat="1" ht="12.75" hidden="1" customHeight="1" x14ac:dyDescent="0.2">
      <c r="A305" s="195"/>
      <c r="B305" s="196"/>
      <c r="C305" s="219"/>
      <c r="D305" s="232" t="s">
        <v>280</v>
      </c>
      <c r="E305" s="198"/>
      <c r="F305" s="329"/>
      <c r="G305" s="198"/>
      <c r="H305" s="298"/>
    </row>
    <row r="306" spans="1:9" s="261" customFormat="1" ht="12.75" hidden="1" customHeight="1" x14ac:dyDescent="0.2">
      <c r="A306" s="195"/>
      <c r="B306" s="196"/>
      <c r="C306" s="219"/>
      <c r="D306" s="342" t="s">
        <v>338</v>
      </c>
      <c r="E306" s="198"/>
      <c r="F306" s="329"/>
      <c r="G306" s="198"/>
      <c r="H306" s="298"/>
    </row>
    <row r="307" spans="1:9" s="261" customFormat="1" ht="12.75" hidden="1" customHeight="1" x14ac:dyDescent="0.2">
      <c r="A307" s="195"/>
      <c r="B307" s="196"/>
      <c r="C307" s="219"/>
      <c r="D307" s="232" t="s">
        <v>282</v>
      </c>
      <c r="E307" s="198"/>
      <c r="F307" s="329"/>
      <c r="G307" s="198"/>
      <c r="H307" s="298"/>
      <c r="I307" s="196"/>
    </row>
    <row r="308" spans="1:9" s="261" customFormat="1" ht="12.75" hidden="1" customHeight="1" x14ac:dyDescent="0.2">
      <c r="A308" s="195"/>
      <c r="B308" s="196"/>
      <c r="C308" s="219"/>
      <c r="D308" s="232" t="s">
        <v>329</v>
      </c>
      <c r="E308" s="198"/>
      <c r="F308" s="329"/>
      <c r="G308" s="198"/>
      <c r="H308" s="298"/>
    </row>
    <row r="309" spans="1:9" s="261" customFormat="1" ht="12.75" hidden="1" customHeight="1" x14ac:dyDescent="0.2">
      <c r="A309" s="195"/>
      <c r="B309" s="196"/>
      <c r="C309" s="219"/>
      <c r="D309" s="232" t="s">
        <v>290</v>
      </c>
      <c r="E309" s="198"/>
      <c r="F309" s="329"/>
      <c r="G309" s="198"/>
      <c r="H309" s="298"/>
    </row>
    <row r="310" spans="1:9" s="261" customFormat="1" ht="12.75" hidden="1" customHeight="1" x14ac:dyDescent="0.2">
      <c r="A310" s="195"/>
      <c r="B310" s="196"/>
      <c r="C310" s="219"/>
      <c r="D310" s="232" t="s">
        <v>259</v>
      </c>
      <c r="E310" s="198"/>
      <c r="F310" s="329"/>
      <c r="G310" s="198"/>
      <c r="H310" s="298"/>
    </row>
    <row r="311" spans="1:9" s="261" customFormat="1" ht="12.75" hidden="1" customHeight="1" x14ac:dyDescent="0.2">
      <c r="A311" s="195"/>
      <c r="B311" s="196"/>
      <c r="C311" s="219"/>
      <c r="D311" s="232" t="s">
        <v>333</v>
      </c>
      <c r="E311" s="198"/>
      <c r="F311" s="329"/>
      <c r="G311" s="198"/>
      <c r="H311" s="298"/>
    </row>
    <row r="312" spans="1:9" s="261" customFormat="1" ht="12.75" hidden="1" customHeight="1" x14ac:dyDescent="0.2">
      <c r="A312" s="195"/>
      <c r="B312" s="196"/>
      <c r="C312" s="219"/>
      <c r="D312" s="278" t="s">
        <v>320</v>
      </c>
      <c r="E312" s="198"/>
      <c r="F312" s="329"/>
      <c r="G312" s="198"/>
      <c r="H312" s="298"/>
      <c r="I312" s="320"/>
    </row>
    <row r="313" spans="1:9" s="261" customFormat="1" ht="12.75" customHeight="1" x14ac:dyDescent="0.2">
      <c r="A313" s="199">
        <f>A304+1</f>
        <v>33</v>
      </c>
      <c r="B313" s="200">
        <v>4030</v>
      </c>
      <c r="C313" s="220" t="s">
        <v>311</v>
      </c>
      <c r="D313" s="279" t="str">
        <f>$D$5</f>
        <v>FTE AUG 23</v>
      </c>
      <c r="E313" s="201">
        <f>'4030'!I$142</f>
        <v>240977.85</v>
      </c>
      <c r="F313" s="328"/>
      <c r="G313" s="201">
        <f>SUBTOTAL(109,E313:F322)</f>
        <v>240977.85</v>
      </c>
      <c r="H313" s="298"/>
    </row>
    <row r="314" spans="1:9" s="261" customFormat="1" ht="12.75" hidden="1" customHeight="1" x14ac:dyDescent="0.2">
      <c r="A314" s="199"/>
      <c r="B314" s="200"/>
      <c r="C314" s="220"/>
      <c r="D314" s="233" t="s">
        <v>280</v>
      </c>
      <c r="E314" s="201"/>
      <c r="F314" s="328"/>
      <c r="G314" s="201"/>
      <c r="H314" s="298"/>
    </row>
    <row r="315" spans="1:9" s="261" customFormat="1" ht="12.75" hidden="1" customHeight="1" x14ac:dyDescent="0.2">
      <c r="A315" s="199"/>
      <c r="B315" s="200"/>
      <c r="C315" s="220"/>
      <c r="D315" s="374" t="s">
        <v>339</v>
      </c>
      <c r="E315" s="201"/>
      <c r="F315" s="328"/>
      <c r="G315" s="201"/>
      <c r="H315" s="298"/>
    </row>
    <row r="316" spans="1:9" s="261" customFormat="1" ht="12.75" hidden="1" customHeight="1" x14ac:dyDescent="0.2">
      <c r="A316" s="199"/>
      <c r="B316" s="200"/>
      <c r="C316" s="220"/>
      <c r="D316" s="374" t="s">
        <v>338</v>
      </c>
      <c r="E316" s="201"/>
      <c r="F316" s="328"/>
      <c r="G316" s="201"/>
      <c r="H316" s="298"/>
      <c r="I316" s="196"/>
    </row>
    <row r="317" spans="1:9" s="261" customFormat="1" ht="12.75" hidden="1" customHeight="1" x14ac:dyDescent="0.2">
      <c r="A317" s="199"/>
      <c r="B317" s="200"/>
      <c r="C317" s="220"/>
      <c r="D317" s="233" t="s">
        <v>282</v>
      </c>
      <c r="E317" s="201"/>
      <c r="F317" s="328"/>
      <c r="G317" s="201"/>
      <c r="H317" s="298"/>
    </row>
    <row r="318" spans="1:9" s="261" customFormat="1" ht="12.75" hidden="1" customHeight="1" x14ac:dyDescent="0.2">
      <c r="A318" s="199"/>
      <c r="B318" s="200"/>
      <c r="C318" s="220"/>
      <c r="D318" s="233" t="s">
        <v>281</v>
      </c>
      <c r="E318" s="201"/>
      <c r="F318" s="328"/>
      <c r="G318" s="201"/>
      <c r="H318" s="298"/>
    </row>
    <row r="319" spans="1:9" s="261" customFormat="1" ht="12.75" hidden="1" customHeight="1" x14ac:dyDescent="0.2">
      <c r="A319" s="199"/>
      <c r="B319" s="200"/>
      <c r="C319" s="220"/>
      <c r="D319" s="233" t="s">
        <v>290</v>
      </c>
      <c r="E319" s="201"/>
      <c r="F319" s="328"/>
      <c r="G319" s="201"/>
      <c r="H319" s="298"/>
    </row>
    <row r="320" spans="1:9" s="261" customFormat="1" ht="12.75" hidden="1" customHeight="1" x14ac:dyDescent="0.2">
      <c r="A320" s="199"/>
      <c r="B320" s="200"/>
      <c r="C320" s="220"/>
      <c r="D320" s="233" t="s">
        <v>259</v>
      </c>
      <c r="E320" s="201"/>
      <c r="F320" s="328"/>
      <c r="G320" s="201"/>
      <c r="H320" s="260"/>
      <c r="I320" s="318"/>
    </row>
    <row r="321" spans="1:9" s="261" customFormat="1" ht="12.75" hidden="1" customHeight="1" x14ac:dyDescent="0.2">
      <c r="A321" s="199"/>
      <c r="B321" s="200"/>
      <c r="C321" s="220"/>
      <c r="D321" s="233" t="s">
        <v>334</v>
      </c>
      <c r="E321" s="201"/>
      <c r="F321" s="328"/>
      <c r="G321" s="201"/>
      <c r="H321" s="298"/>
      <c r="I321" s="320"/>
    </row>
    <row r="322" spans="1:9" s="261" customFormat="1" ht="12.75" hidden="1" customHeight="1" x14ac:dyDescent="0.2">
      <c r="A322" s="199"/>
      <c r="B322" s="200"/>
      <c r="C322" s="220"/>
      <c r="D322" s="233" t="s">
        <v>320</v>
      </c>
      <c r="E322" s="201"/>
      <c r="F322" s="328"/>
      <c r="G322" s="201"/>
      <c r="H322" s="298"/>
    </row>
    <row r="323" spans="1:9" s="261" customFormat="1" ht="12.75" customHeight="1" x14ac:dyDescent="0.2">
      <c r="A323" s="195">
        <f>A313+1</f>
        <v>34</v>
      </c>
      <c r="B323" s="196">
        <v>4031</v>
      </c>
      <c r="C323" s="262" t="s">
        <v>327</v>
      </c>
      <c r="D323" s="496" t="str">
        <f>$D$5</f>
        <v>FTE AUG 23</v>
      </c>
      <c r="E323" s="198">
        <f>'4031'!I$142</f>
        <v>318794.64</v>
      </c>
      <c r="F323" s="329"/>
      <c r="G323" s="198">
        <f>SUBTOTAL(109,E323:F332)</f>
        <v>318794.64</v>
      </c>
      <c r="H323" s="298"/>
    </row>
    <row r="324" spans="1:9" s="261" customFormat="1" ht="12.75" hidden="1" customHeight="1" x14ac:dyDescent="0.2">
      <c r="A324" s="195"/>
      <c r="B324" s="196"/>
      <c r="C324" s="219"/>
      <c r="D324" s="232" t="s">
        <v>280</v>
      </c>
      <c r="E324" s="198"/>
      <c r="F324" s="329"/>
      <c r="G324" s="198"/>
      <c r="H324" s="298"/>
    </row>
    <row r="325" spans="1:9" s="261" customFormat="1" ht="12.75" hidden="1" customHeight="1" x14ac:dyDescent="0.2">
      <c r="A325" s="195"/>
      <c r="B325" s="196"/>
      <c r="C325" s="219"/>
      <c r="D325" s="342" t="s">
        <v>339</v>
      </c>
      <c r="E325" s="198"/>
      <c r="F325" s="329"/>
      <c r="G325" s="198"/>
      <c r="H325" s="298"/>
      <c r="I325" s="196"/>
    </row>
    <row r="326" spans="1:9" s="261" customFormat="1" ht="12.75" hidden="1" customHeight="1" x14ac:dyDescent="0.2">
      <c r="A326" s="195"/>
      <c r="B326" s="196"/>
      <c r="C326" s="219"/>
      <c r="D326" s="342" t="s">
        <v>338</v>
      </c>
      <c r="E326" s="198"/>
      <c r="F326" s="329"/>
      <c r="G326" s="198"/>
      <c r="H326" s="298"/>
      <c r="I326" s="196"/>
    </row>
    <row r="327" spans="1:9" s="261" customFormat="1" ht="12.75" hidden="1" customHeight="1" x14ac:dyDescent="0.2">
      <c r="A327" s="195"/>
      <c r="B327" s="196"/>
      <c r="C327" s="219"/>
      <c r="D327" s="232" t="s">
        <v>282</v>
      </c>
      <c r="E327" s="198"/>
      <c r="F327" s="329"/>
      <c r="G327" s="198"/>
      <c r="H327" s="298"/>
    </row>
    <row r="328" spans="1:9" s="261" customFormat="1" ht="12.75" hidden="1" customHeight="1" x14ac:dyDescent="0.2">
      <c r="A328" s="195"/>
      <c r="B328" s="196"/>
      <c r="C328" s="219"/>
      <c r="D328" s="232" t="s">
        <v>281</v>
      </c>
      <c r="E328" s="198"/>
      <c r="F328" s="329"/>
      <c r="G328" s="198"/>
      <c r="H328" s="298"/>
    </row>
    <row r="329" spans="1:9" s="261" customFormat="1" ht="12.75" hidden="1" customHeight="1" x14ac:dyDescent="0.2">
      <c r="A329" s="195"/>
      <c r="B329" s="196"/>
      <c r="C329" s="219"/>
      <c r="D329" s="232" t="s">
        <v>290</v>
      </c>
      <c r="E329" s="198"/>
      <c r="F329" s="329"/>
      <c r="G329" s="198"/>
      <c r="H329" s="298"/>
    </row>
    <row r="330" spans="1:9" s="261" customFormat="1" ht="12.75" hidden="1" customHeight="1" x14ac:dyDescent="0.2">
      <c r="A330" s="195"/>
      <c r="B330" s="196"/>
      <c r="C330" s="219"/>
      <c r="D330" s="232" t="s">
        <v>259</v>
      </c>
      <c r="E330" s="198"/>
      <c r="F330" s="329"/>
      <c r="G330" s="198"/>
      <c r="H330" s="298"/>
    </row>
    <row r="331" spans="1:9" s="261" customFormat="1" ht="12.75" hidden="1" customHeight="1" x14ac:dyDescent="0.2">
      <c r="A331" s="195"/>
      <c r="B331" s="196"/>
      <c r="C331" s="219"/>
      <c r="D331" s="232" t="s">
        <v>334</v>
      </c>
      <c r="E331" s="198"/>
      <c r="F331" s="329"/>
      <c r="G331" s="198"/>
      <c r="H331" s="298"/>
      <c r="I331" s="320"/>
    </row>
    <row r="332" spans="1:9" s="261" customFormat="1" ht="12.75" hidden="1" customHeight="1" x14ac:dyDescent="0.2">
      <c r="A332" s="195"/>
      <c r="B332" s="196"/>
      <c r="C332" s="219"/>
      <c r="D332" s="278" t="s">
        <v>320</v>
      </c>
      <c r="E332" s="198"/>
      <c r="F332" s="329"/>
      <c r="G332" s="198"/>
      <c r="H332" s="298"/>
    </row>
    <row r="333" spans="1:9" s="261" customFormat="1" ht="12.75" customHeight="1" x14ac:dyDescent="0.2">
      <c r="A333" s="199">
        <f>A323+1</f>
        <v>35</v>
      </c>
      <c r="B333" s="200">
        <v>4041</v>
      </c>
      <c r="C333" s="220" t="s">
        <v>226</v>
      </c>
      <c r="D333" s="279" t="str">
        <f>$D$5</f>
        <v>FTE AUG 23</v>
      </c>
      <c r="E333" s="201">
        <f>'4041'!I$142</f>
        <v>52698.55</v>
      </c>
      <c r="F333" s="328"/>
      <c r="G333" s="201">
        <f>SUBTOTAL(109,E333:F343)</f>
        <v>52698.55</v>
      </c>
      <c r="H333" s="298"/>
    </row>
    <row r="334" spans="1:9" s="261" customFormat="1" ht="12.75" hidden="1" customHeight="1" x14ac:dyDescent="0.2">
      <c r="A334" s="199"/>
      <c r="B334" s="200"/>
      <c r="C334" s="220"/>
      <c r="D334" s="233" t="s">
        <v>280</v>
      </c>
      <c r="E334" s="201"/>
      <c r="F334" s="328"/>
      <c r="G334" s="201"/>
      <c r="H334" s="298"/>
    </row>
    <row r="335" spans="1:9" s="261" customFormat="1" ht="12.75" hidden="1" customHeight="1" x14ac:dyDescent="0.2">
      <c r="A335" s="199"/>
      <c r="B335" s="200"/>
      <c r="C335" s="220"/>
      <c r="D335" s="374" t="s">
        <v>339</v>
      </c>
      <c r="E335" s="201"/>
      <c r="F335" s="328"/>
      <c r="G335" s="201"/>
      <c r="H335" s="298"/>
      <c r="I335" s="196"/>
    </row>
    <row r="336" spans="1:9" s="261" customFormat="1" ht="12.75" hidden="1" customHeight="1" x14ac:dyDescent="0.2">
      <c r="A336" s="199"/>
      <c r="B336" s="200"/>
      <c r="C336" s="220"/>
      <c r="D336" s="374" t="s">
        <v>338</v>
      </c>
      <c r="E336" s="201"/>
      <c r="F336" s="328"/>
      <c r="G336" s="201"/>
      <c r="H336" s="298"/>
      <c r="I336" s="196"/>
    </row>
    <row r="337" spans="1:9" s="261" customFormat="1" ht="12.75" hidden="1" customHeight="1" x14ac:dyDescent="0.2">
      <c r="A337" s="199"/>
      <c r="B337" s="200"/>
      <c r="C337" s="220"/>
      <c r="D337" s="233" t="s">
        <v>282</v>
      </c>
      <c r="E337" s="201"/>
      <c r="F337" s="328"/>
      <c r="G337" s="201"/>
      <c r="H337" s="298"/>
    </row>
    <row r="338" spans="1:9" s="261" customFormat="1" ht="12.75" hidden="1" customHeight="1" x14ac:dyDescent="0.2">
      <c r="A338" s="199"/>
      <c r="B338" s="200"/>
      <c r="C338" s="220"/>
      <c r="D338" s="233" t="s">
        <v>281</v>
      </c>
      <c r="E338" s="201"/>
      <c r="F338" s="328"/>
      <c r="G338" s="201"/>
      <c r="H338" s="298"/>
    </row>
    <row r="339" spans="1:9" s="261" customFormat="1" ht="12.75" hidden="1" customHeight="1" x14ac:dyDescent="0.2">
      <c r="A339" s="199"/>
      <c r="B339" s="200"/>
      <c r="C339" s="220"/>
      <c r="D339" s="233" t="s">
        <v>290</v>
      </c>
      <c r="E339" s="201"/>
      <c r="F339" s="328"/>
      <c r="G339" s="201"/>
      <c r="H339" s="298"/>
      <c r="I339" s="196"/>
    </row>
    <row r="340" spans="1:9" s="261" customFormat="1" ht="12.75" hidden="1" customHeight="1" x14ac:dyDescent="0.2">
      <c r="A340" s="199"/>
      <c r="B340" s="200"/>
      <c r="C340" s="220"/>
      <c r="D340" s="233" t="s">
        <v>259</v>
      </c>
      <c r="E340" s="201"/>
      <c r="F340" s="328"/>
      <c r="G340" s="201"/>
      <c r="H340" s="298"/>
      <c r="I340" s="318"/>
    </row>
    <row r="341" spans="1:9" s="261" customFormat="1" ht="12.75" hidden="1" customHeight="1" x14ac:dyDescent="0.2">
      <c r="A341" s="199"/>
      <c r="B341" s="200"/>
      <c r="C341" s="220"/>
      <c r="D341" s="233" t="s">
        <v>291</v>
      </c>
      <c r="E341" s="201"/>
      <c r="F341" s="328"/>
      <c r="G341" s="201"/>
      <c r="H341" s="298"/>
      <c r="I341" s="320"/>
    </row>
    <row r="342" spans="1:9" s="261" customFormat="1" ht="12.75" hidden="1" customHeight="1" x14ac:dyDescent="0.2">
      <c r="A342" s="199"/>
      <c r="B342" s="200"/>
      <c r="C342" s="220"/>
      <c r="D342" s="233" t="s">
        <v>334</v>
      </c>
      <c r="E342" s="201"/>
      <c r="F342" s="328"/>
      <c r="G342" s="201"/>
      <c r="H342" s="298"/>
    </row>
    <row r="343" spans="1:9" s="261" customFormat="1" ht="12.75" hidden="1" customHeight="1" x14ac:dyDescent="0.2">
      <c r="A343" s="199"/>
      <c r="B343" s="200"/>
      <c r="C343" s="220"/>
      <c r="D343" s="233" t="s">
        <v>320</v>
      </c>
      <c r="E343" s="201"/>
      <c r="F343" s="328"/>
      <c r="G343" s="201"/>
      <c r="H343" s="298"/>
    </row>
    <row r="344" spans="1:9" s="261" customFormat="1" ht="12.75" customHeight="1" x14ac:dyDescent="0.2">
      <c r="A344" s="195">
        <f>A333+1</f>
        <v>36</v>
      </c>
      <c r="B344" s="264">
        <v>4050</v>
      </c>
      <c r="C344" s="265" t="s">
        <v>217</v>
      </c>
      <c r="D344" s="496" t="str">
        <f>$D$5</f>
        <v>FTE AUG 23</v>
      </c>
      <c r="E344" s="198">
        <f>'4050'!I$142</f>
        <v>547614.96</v>
      </c>
      <c r="F344" s="329"/>
      <c r="G344" s="198">
        <f>SUBTOTAL(109,E344:F350)</f>
        <v>547614.96</v>
      </c>
      <c r="H344" s="298"/>
    </row>
    <row r="345" spans="1:9" s="261" customFormat="1" ht="12.75" hidden="1" customHeight="1" x14ac:dyDescent="0.2">
      <c r="A345" s="195"/>
      <c r="B345" s="264"/>
      <c r="C345" s="265"/>
      <c r="D345" s="232" t="s">
        <v>280</v>
      </c>
      <c r="E345" s="198"/>
      <c r="F345" s="329"/>
      <c r="G345" s="198"/>
      <c r="H345" s="298"/>
      <c r="I345" s="196"/>
    </row>
    <row r="346" spans="1:9" s="261" customFormat="1" ht="12.75" hidden="1" customHeight="1" x14ac:dyDescent="0.2">
      <c r="A346" s="195"/>
      <c r="B346" s="264"/>
      <c r="C346" s="265"/>
      <c r="D346" s="232" t="s">
        <v>282</v>
      </c>
      <c r="E346" s="198"/>
      <c r="F346" s="329"/>
      <c r="G346" s="198"/>
      <c r="H346" s="298"/>
      <c r="I346" s="196"/>
    </row>
    <row r="347" spans="1:9" s="261" customFormat="1" ht="12.75" hidden="1" customHeight="1" x14ac:dyDescent="0.2">
      <c r="A347" s="195"/>
      <c r="B347" s="196"/>
      <c r="C347" s="219"/>
      <c r="D347" s="232" t="s">
        <v>281</v>
      </c>
      <c r="E347" s="198"/>
      <c r="F347" s="329"/>
      <c r="G347" s="198"/>
      <c r="H347" s="298"/>
    </row>
    <row r="348" spans="1:9" s="261" customFormat="1" ht="12.75" hidden="1" customHeight="1" x14ac:dyDescent="0.2">
      <c r="A348" s="195"/>
      <c r="B348" s="196"/>
      <c r="C348" s="219"/>
      <c r="D348" s="232" t="s">
        <v>290</v>
      </c>
      <c r="E348" s="198"/>
      <c r="F348" s="329"/>
      <c r="G348" s="198"/>
      <c r="H348" s="298"/>
    </row>
    <row r="349" spans="1:9" s="261" customFormat="1" ht="12.75" hidden="1" customHeight="1" x14ac:dyDescent="0.2">
      <c r="A349" s="195"/>
      <c r="B349" s="196"/>
      <c r="C349" s="219"/>
      <c r="D349" s="232" t="s">
        <v>259</v>
      </c>
      <c r="E349" s="198"/>
      <c r="F349" s="329"/>
      <c r="G349" s="198"/>
      <c r="H349" s="298"/>
    </row>
    <row r="350" spans="1:9" s="261" customFormat="1" ht="12.75" hidden="1" customHeight="1" x14ac:dyDescent="0.2">
      <c r="A350" s="195"/>
      <c r="B350" s="196"/>
      <c r="C350" s="219"/>
      <c r="D350" s="278" t="s">
        <v>320</v>
      </c>
      <c r="E350" s="198"/>
      <c r="F350" s="329"/>
      <c r="G350" s="198"/>
      <c r="H350" s="298"/>
    </row>
    <row r="351" spans="1:9" s="261" customFormat="1" ht="12.75" customHeight="1" x14ac:dyDescent="0.2">
      <c r="A351" s="199">
        <f>A344+1</f>
        <v>37</v>
      </c>
      <c r="B351" s="200">
        <v>4051</v>
      </c>
      <c r="C351" s="220" t="s">
        <v>215</v>
      </c>
      <c r="D351" s="279" t="str">
        <f>$D$5</f>
        <v>FTE AUG 23</v>
      </c>
      <c r="E351" s="201">
        <f>'4051'!I$142</f>
        <v>572840.06999999995</v>
      </c>
      <c r="F351" s="328"/>
      <c r="G351" s="201">
        <f>SUBTOTAL(109,E351:F359)</f>
        <v>572840.06999999995</v>
      </c>
      <c r="H351" s="298"/>
    </row>
    <row r="352" spans="1:9" s="261" customFormat="1" ht="12.75" hidden="1" customHeight="1" x14ac:dyDescent="0.2">
      <c r="A352" s="199"/>
      <c r="B352" s="200"/>
      <c r="C352" s="220"/>
      <c r="D352" s="233" t="s">
        <v>280</v>
      </c>
      <c r="E352" s="201"/>
      <c r="F352" s="328"/>
      <c r="G352" s="201"/>
      <c r="H352" s="298"/>
      <c r="I352" s="320"/>
    </row>
    <row r="353" spans="1:9" s="261" customFormat="1" ht="12.75" hidden="1" customHeight="1" x14ac:dyDescent="0.2">
      <c r="A353" s="199"/>
      <c r="B353" s="200"/>
      <c r="C353" s="220"/>
      <c r="D353" s="233" t="s">
        <v>282</v>
      </c>
      <c r="E353" s="201"/>
      <c r="F353" s="328"/>
      <c r="G353" s="201"/>
      <c r="H353" s="298"/>
    </row>
    <row r="354" spans="1:9" s="261" customFormat="1" ht="12.75" hidden="1" customHeight="1" x14ac:dyDescent="0.2">
      <c r="A354" s="199"/>
      <c r="B354" s="200"/>
      <c r="C354" s="220"/>
      <c r="D354" s="233" t="s">
        <v>281</v>
      </c>
      <c r="E354" s="201"/>
      <c r="F354" s="328"/>
      <c r="G354" s="201"/>
      <c r="H354" s="298"/>
    </row>
    <row r="355" spans="1:9" s="261" customFormat="1" ht="12.75" hidden="1" customHeight="1" x14ac:dyDescent="0.2">
      <c r="A355" s="199"/>
      <c r="B355" s="200"/>
      <c r="C355" s="220"/>
      <c r="D355" s="233" t="s">
        <v>290</v>
      </c>
      <c r="E355" s="201"/>
      <c r="F355" s="328"/>
      <c r="G355" s="201"/>
      <c r="H355" s="298"/>
    </row>
    <row r="356" spans="1:9" s="261" customFormat="1" ht="12.75" hidden="1" customHeight="1" x14ac:dyDescent="0.2">
      <c r="A356" s="199"/>
      <c r="B356" s="200"/>
      <c r="C356" s="220"/>
      <c r="D356" s="233" t="s">
        <v>259</v>
      </c>
      <c r="E356" s="201"/>
      <c r="F356" s="328"/>
      <c r="G356" s="201"/>
      <c r="H356" s="298"/>
    </row>
    <row r="357" spans="1:9" s="261" customFormat="1" ht="12.75" hidden="1" customHeight="1" x14ac:dyDescent="0.2">
      <c r="A357" s="199"/>
      <c r="B357" s="200"/>
      <c r="C357" s="220"/>
      <c r="D357" s="233" t="s">
        <v>291</v>
      </c>
      <c r="E357" s="201"/>
      <c r="F357" s="328"/>
      <c r="G357" s="201"/>
      <c r="H357" s="298"/>
    </row>
    <row r="358" spans="1:9" s="261" customFormat="1" ht="12.75" hidden="1" customHeight="1" x14ac:dyDescent="0.2">
      <c r="A358" s="199"/>
      <c r="B358" s="200"/>
      <c r="C358" s="220"/>
      <c r="D358" s="233" t="s">
        <v>333</v>
      </c>
      <c r="E358" s="201"/>
      <c r="F358" s="328"/>
      <c r="G358" s="201"/>
      <c r="H358" s="298"/>
    </row>
    <row r="359" spans="1:9" s="261" customFormat="1" ht="12.75" hidden="1" customHeight="1" x14ac:dyDescent="0.2">
      <c r="A359" s="199"/>
      <c r="B359" s="200"/>
      <c r="C359" s="220"/>
      <c r="D359" s="233" t="s">
        <v>331</v>
      </c>
      <c r="E359" s="201"/>
      <c r="F359" s="328"/>
      <c r="G359" s="201"/>
      <c r="H359" s="298"/>
      <c r="I359" s="318"/>
    </row>
    <row r="360" spans="1:9" s="261" customFormat="1" ht="12.75" customHeight="1" x14ac:dyDescent="0.2">
      <c r="A360" s="195">
        <f>A351+1</f>
        <v>38</v>
      </c>
      <c r="B360" s="264">
        <v>4061</v>
      </c>
      <c r="C360" s="266" t="s">
        <v>324</v>
      </c>
      <c r="D360" s="496" t="str">
        <f>$D$5</f>
        <v>FTE AUG 23</v>
      </c>
      <c r="E360" s="198">
        <f>'4061'!I$142</f>
        <v>715136.15</v>
      </c>
      <c r="F360" s="329"/>
      <c r="G360" s="198">
        <f>SUBTOTAL(109,E360:F368)</f>
        <v>715136.15</v>
      </c>
      <c r="H360" s="298"/>
    </row>
    <row r="361" spans="1:9" s="261" customFormat="1" ht="12.75" hidden="1" customHeight="1" x14ac:dyDescent="0.2">
      <c r="A361" s="195"/>
      <c r="B361" s="264"/>
      <c r="C361" s="265"/>
      <c r="D361" s="232" t="s">
        <v>280</v>
      </c>
      <c r="E361" s="198"/>
      <c r="F361" s="329"/>
      <c r="G361" s="198"/>
      <c r="H361" s="298"/>
    </row>
    <row r="362" spans="1:9" s="261" customFormat="1" ht="12.75" hidden="1" customHeight="1" x14ac:dyDescent="0.2">
      <c r="A362" s="195"/>
      <c r="B362" s="196"/>
      <c r="C362" s="219"/>
      <c r="D362" s="342" t="s">
        <v>338</v>
      </c>
      <c r="E362" s="198"/>
      <c r="F362" s="329"/>
      <c r="G362" s="198"/>
      <c r="H362" s="298"/>
    </row>
    <row r="363" spans="1:9" s="261" customFormat="1" ht="12.75" hidden="1" customHeight="1" x14ac:dyDescent="0.2">
      <c r="A363" s="195"/>
      <c r="B363" s="264"/>
      <c r="C363" s="265"/>
      <c r="D363" s="232" t="s">
        <v>280</v>
      </c>
      <c r="E363" s="198"/>
      <c r="F363" s="329"/>
      <c r="G363" s="198"/>
      <c r="H363" s="298"/>
    </row>
    <row r="364" spans="1:9" s="261" customFormat="1" ht="12.75" hidden="1" customHeight="1" x14ac:dyDescent="0.2">
      <c r="A364" s="195"/>
      <c r="B364" s="264"/>
      <c r="C364" s="265"/>
      <c r="D364" s="232" t="s">
        <v>282</v>
      </c>
      <c r="E364" s="198"/>
      <c r="F364" s="329"/>
      <c r="G364" s="198"/>
      <c r="H364" s="298"/>
    </row>
    <row r="365" spans="1:9" s="261" customFormat="1" ht="12.75" hidden="1" customHeight="1" x14ac:dyDescent="0.2">
      <c r="A365" s="195"/>
      <c r="B365" s="196"/>
      <c r="C365" s="219"/>
      <c r="D365" s="232" t="s">
        <v>281</v>
      </c>
      <c r="E365" s="198"/>
      <c r="F365" s="329"/>
      <c r="G365" s="198"/>
      <c r="H365" s="298"/>
    </row>
    <row r="366" spans="1:9" s="261" customFormat="1" ht="12.75" hidden="1" customHeight="1" x14ac:dyDescent="0.2">
      <c r="A366" s="195"/>
      <c r="B366" s="196"/>
      <c r="C366" s="219"/>
      <c r="D366" s="232" t="s">
        <v>290</v>
      </c>
      <c r="E366" s="198"/>
      <c r="F366" s="329"/>
      <c r="G366" s="198"/>
      <c r="H366" s="298"/>
    </row>
    <row r="367" spans="1:9" s="261" customFormat="1" ht="12.75" hidden="1" customHeight="1" x14ac:dyDescent="0.2">
      <c r="A367" s="195"/>
      <c r="B367" s="196"/>
      <c r="C367" s="219"/>
      <c r="D367" s="232" t="s">
        <v>259</v>
      </c>
      <c r="E367" s="198"/>
      <c r="F367" s="329"/>
      <c r="G367" s="198"/>
      <c r="H367" s="298"/>
    </row>
    <row r="368" spans="1:9" s="261" customFormat="1" ht="12.75" hidden="1" customHeight="1" x14ac:dyDescent="0.2">
      <c r="A368" s="195"/>
      <c r="B368" s="196"/>
      <c r="C368" s="219"/>
      <c r="D368" s="439" t="s">
        <v>437</v>
      </c>
      <c r="E368" s="438"/>
      <c r="F368" s="329"/>
      <c r="G368" s="198"/>
      <c r="H368" s="298"/>
      <c r="I368" s="320"/>
    </row>
    <row r="369" spans="1:9" s="261" customFormat="1" ht="12.75" customHeight="1" x14ac:dyDescent="0.2">
      <c r="A369" s="199">
        <f>A360+1</f>
        <v>39</v>
      </c>
      <c r="B369" s="200">
        <v>4080</v>
      </c>
      <c r="C369" s="220" t="s">
        <v>239</v>
      </c>
      <c r="D369" s="279" t="str">
        <f>$D$5</f>
        <v>FTE AUG 23</v>
      </c>
      <c r="E369" s="201">
        <f>'4080'!I$142</f>
        <v>187582.84</v>
      </c>
      <c r="F369" s="328"/>
      <c r="G369" s="201">
        <f>SUBTOTAL(109,E369:F375)</f>
        <v>187582.84</v>
      </c>
      <c r="H369" s="298"/>
    </row>
    <row r="370" spans="1:9" s="261" customFormat="1" ht="12.75" hidden="1" customHeight="1" x14ac:dyDescent="0.2">
      <c r="A370" s="199"/>
      <c r="B370" s="200"/>
      <c r="C370" s="220"/>
      <c r="D370" s="233" t="s">
        <v>280</v>
      </c>
      <c r="E370" s="201"/>
      <c r="F370" s="328"/>
      <c r="G370" s="201"/>
      <c r="H370" s="298"/>
    </row>
    <row r="371" spans="1:9" s="261" customFormat="1" ht="12.75" hidden="1" customHeight="1" x14ac:dyDescent="0.2">
      <c r="A371" s="199"/>
      <c r="B371" s="200"/>
      <c r="C371" s="220"/>
      <c r="D371" s="233" t="s">
        <v>282</v>
      </c>
      <c r="E371" s="201"/>
      <c r="F371" s="328"/>
      <c r="G371" s="201"/>
      <c r="H371" s="298"/>
    </row>
    <row r="372" spans="1:9" s="261" customFormat="1" ht="12.75" hidden="1" customHeight="1" x14ac:dyDescent="0.2">
      <c r="A372" s="199"/>
      <c r="B372" s="200"/>
      <c r="C372" s="220"/>
      <c r="D372" s="233" t="s">
        <v>281</v>
      </c>
      <c r="E372" s="201"/>
      <c r="F372" s="328"/>
      <c r="G372" s="201"/>
      <c r="H372" s="298"/>
      <c r="I372" s="196"/>
    </row>
    <row r="373" spans="1:9" s="261" customFormat="1" ht="12.75" hidden="1" customHeight="1" x14ac:dyDescent="0.2">
      <c r="A373" s="199"/>
      <c r="B373" s="200"/>
      <c r="C373" s="220"/>
      <c r="D373" s="233" t="s">
        <v>290</v>
      </c>
      <c r="E373" s="201"/>
      <c r="F373" s="328"/>
      <c r="G373" s="201"/>
      <c r="H373" s="298"/>
    </row>
    <row r="374" spans="1:9" s="261" customFormat="1" ht="12.75" hidden="1" customHeight="1" x14ac:dyDescent="0.2">
      <c r="A374" s="199"/>
      <c r="B374" s="200"/>
      <c r="C374" s="220"/>
      <c r="D374" s="233" t="s">
        <v>259</v>
      </c>
      <c r="E374" s="201"/>
      <c r="F374" s="328"/>
      <c r="G374" s="201"/>
      <c r="H374" s="298"/>
    </row>
    <row r="375" spans="1:9" s="261" customFormat="1" ht="12.75" hidden="1" customHeight="1" x14ac:dyDescent="0.2">
      <c r="A375" s="199"/>
      <c r="B375" s="200"/>
      <c r="C375" s="220"/>
      <c r="D375" s="233" t="s">
        <v>320</v>
      </c>
      <c r="E375" s="201"/>
      <c r="F375" s="328"/>
      <c r="G375" s="201"/>
      <c r="H375" s="298"/>
      <c r="I375" s="196"/>
    </row>
    <row r="376" spans="1:9" s="261" customFormat="1" ht="12.75" customHeight="1" x14ac:dyDescent="0.2">
      <c r="A376" s="195">
        <f>1+A369</f>
        <v>40</v>
      </c>
      <c r="B376" s="264">
        <v>4081</v>
      </c>
      <c r="C376" s="266" t="s">
        <v>235</v>
      </c>
      <c r="D376" s="496" t="str">
        <f>$D$5</f>
        <v>FTE AUG 23</v>
      </c>
      <c r="E376" s="198">
        <f>'4081'!I$142</f>
        <v>89293.73</v>
      </c>
      <c r="F376" s="329"/>
      <c r="G376" s="198">
        <f>SUBTOTAL(109,E376:F384)</f>
        <v>89293.73</v>
      </c>
      <c r="H376" s="298"/>
    </row>
    <row r="377" spans="1:9" s="261" customFormat="1" ht="12.75" hidden="1" customHeight="1" x14ac:dyDescent="0.2">
      <c r="A377" s="195"/>
      <c r="B377" s="264"/>
      <c r="C377" s="266"/>
      <c r="D377" s="232" t="s">
        <v>280</v>
      </c>
      <c r="E377" s="198"/>
      <c r="F377" s="329"/>
      <c r="G377" s="198"/>
      <c r="H377" s="298"/>
      <c r="I377" s="318"/>
    </row>
    <row r="378" spans="1:9" s="261" customFormat="1" ht="12.75" hidden="1" customHeight="1" x14ac:dyDescent="0.2">
      <c r="A378" s="195"/>
      <c r="B378" s="196"/>
      <c r="C378" s="219"/>
      <c r="D378" s="342" t="s">
        <v>339</v>
      </c>
      <c r="E378" s="198"/>
      <c r="F378" s="329"/>
      <c r="G378" s="198"/>
      <c r="H378" s="298"/>
      <c r="I378" s="318"/>
    </row>
    <row r="379" spans="1:9" s="261" customFormat="1" ht="12.75" hidden="1" customHeight="1" x14ac:dyDescent="0.2">
      <c r="A379" s="195"/>
      <c r="B379" s="264"/>
      <c r="C379" s="266"/>
      <c r="D379" s="232" t="s">
        <v>282</v>
      </c>
      <c r="E379" s="198"/>
      <c r="F379" s="329"/>
      <c r="G379" s="198"/>
      <c r="H379" s="298"/>
    </row>
    <row r="380" spans="1:9" s="261" customFormat="1" ht="12.75" hidden="1" customHeight="1" x14ac:dyDescent="0.2">
      <c r="A380" s="195"/>
      <c r="B380" s="264"/>
      <c r="C380" s="266"/>
      <c r="D380" s="232" t="s">
        <v>281</v>
      </c>
      <c r="E380" s="198"/>
      <c r="F380" s="329"/>
      <c r="G380" s="198"/>
      <c r="H380" s="298"/>
    </row>
    <row r="381" spans="1:9" s="261" customFormat="1" ht="12.75" hidden="1" customHeight="1" x14ac:dyDescent="0.2">
      <c r="A381" s="195"/>
      <c r="B381" s="264"/>
      <c r="C381" s="266"/>
      <c r="D381" s="232" t="s">
        <v>290</v>
      </c>
      <c r="E381" s="198"/>
      <c r="F381" s="329"/>
      <c r="G381" s="198"/>
      <c r="H381" s="298"/>
    </row>
    <row r="382" spans="1:9" s="261" customFormat="1" ht="12.75" hidden="1" customHeight="1" x14ac:dyDescent="0.2">
      <c r="A382" s="195"/>
      <c r="B382" s="196"/>
      <c r="C382" s="219"/>
      <c r="D382" s="232" t="s">
        <v>259</v>
      </c>
      <c r="E382" s="198"/>
      <c r="F382" s="329"/>
      <c r="G382" s="198"/>
      <c r="H382" s="298"/>
    </row>
    <row r="383" spans="1:9" s="261" customFormat="1" ht="12.75" hidden="1" customHeight="1" x14ac:dyDescent="0.2">
      <c r="A383" s="195"/>
      <c r="B383" s="196"/>
      <c r="C383" s="219"/>
      <c r="D383" s="232" t="s">
        <v>334</v>
      </c>
      <c r="E383" s="198"/>
      <c r="F383" s="329"/>
      <c r="G383" s="198"/>
      <c r="H383" s="298"/>
    </row>
    <row r="384" spans="1:9" s="261" customFormat="1" ht="12.75" hidden="1" customHeight="1" x14ac:dyDescent="0.2">
      <c r="A384" s="195"/>
      <c r="B384" s="196"/>
      <c r="C384" s="219"/>
      <c r="D384" s="278" t="s">
        <v>320</v>
      </c>
      <c r="E384" s="198"/>
      <c r="F384" s="329"/>
      <c r="G384" s="198"/>
      <c r="H384" s="298"/>
    </row>
    <row r="385" spans="1:12" s="261" customFormat="1" ht="12.75" customHeight="1" x14ac:dyDescent="0.2">
      <c r="A385" s="199">
        <f>1+A376</f>
        <v>41</v>
      </c>
      <c r="B385" s="200">
        <v>4090</v>
      </c>
      <c r="C385" s="220" t="s">
        <v>276</v>
      </c>
      <c r="D385" s="279" t="str">
        <f>$D$5</f>
        <v>FTE AUG 23</v>
      </c>
      <c r="E385" s="201">
        <f>'4090'!I$142</f>
        <v>220481.9</v>
      </c>
      <c r="F385" s="328"/>
      <c r="G385" s="201">
        <f>SUBTOTAL(109,E385:F394)</f>
        <v>220481.9</v>
      </c>
      <c r="H385" s="298"/>
    </row>
    <row r="386" spans="1:12" s="261" customFormat="1" ht="12.75" hidden="1" customHeight="1" x14ac:dyDescent="0.2">
      <c r="A386" s="199"/>
      <c r="B386" s="200"/>
      <c r="C386" s="220"/>
      <c r="D386" s="233" t="s">
        <v>280</v>
      </c>
      <c r="E386" s="201"/>
      <c r="F386" s="328"/>
      <c r="G386" s="201"/>
      <c r="H386" s="298"/>
      <c r="L386" s="319"/>
    </row>
    <row r="387" spans="1:12" s="261" customFormat="1" ht="12.75" hidden="1" customHeight="1" x14ac:dyDescent="0.2">
      <c r="A387" s="199"/>
      <c r="B387" s="200"/>
      <c r="C387" s="220"/>
      <c r="D387" s="374" t="s">
        <v>339</v>
      </c>
      <c r="E387" s="201"/>
      <c r="F387" s="328"/>
      <c r="G387" s="201"/>
      <c r="H387" s="298"/>
    </row>
    <row r="388" spans="1:12" s="261" customFormat="1" ht="12.75" hidden="1" customHeight="1" x14ac:dyDescent="0.2">
      <c r="A388" s="199"/>
      <c r="B388" s="200"/>
      <c r="C388" s="220"/>
      <c r="D388" s="374" t="s">
        <v>338</v>
      </c>
      <c r="E388" s="201"/>
      <c r="F388" s="328"/>
      <c r="G388" s="201"/>
      <c r="H388" s="298"/>
      <c r="I388" s="196"/>
    </row>
    <row r="389" spans="1:12" s="261" customFormat="1" ht="12.75" hidden="1" customHeight="1" x14ac:dyDescent="0.2">
      <c r="A389" s="199"/>
      <c r="B389" s="200"/>
      <c r="C389" s="220"/>
      <c r="D389" s="233" t="s">
        <v>282</v>
      </c>
      <c r="E389" s="201"/>
      <c r="F389" s="328"/>
      <c r="G389" s="201"/>
      <c r="H389" s="298"/>
    </row>
    <row r="390" spans="1:12" s="261" customFormat="1" ht="12.75" hidden="1" customHeight="1" x14ac:dyDescent="0.2">
      <c r="A390" s="199"/>
      <c r="B390" s="200"/>
      <c r="C390" s="220"/>
      <c r="D390" s="233" t="s">
        <v>281</v>
      </c>
      <c r="E390" s="201"/>
      <c r="F390" s="328"/>
      <c r="G390" s="201"/>
      <c r="H390" s="298"/>
    </row>
    <row r="391" spans="1:12" s="261" customFormat="1" ht="12.75" hidden="1" customHeight="1" x14ac:dyDescent="0.2">
      <c r="A391" s="199"/>
      <c r="B391" s="200"/>
      <c r="C391" s="220"/>
      <c r="D391" s="233" t="s">
        <v>290</v>
      </c>
      <c r="E391" s="201"/>
      <c r="F391" s="328"/>
      <c r="G391" s="201"/>
      <c r="H391" s="298"/>
    </row>
    <row r="392" spans="1:12" s="261" customFormat="1" ht="12.75" hidden="1" customHeight="1" x14ac:dyDescent="0.2">
      <c r="A392" s="199"/>
      <c r="B392" s="200"/>
      <c r="C392" s="220"/>
      <c r="D392" s="233" t="s">
        <v>259</v>
      </c>
      <c r="E392" s="201"/>
      <c r="F392" s="328"/>
      <c r="G392" s="201"/>
      <c r="H392" s="298"/>
      <c r="I392" s="318"/>
    </row>
    <row r="393" spans="1:12" s="261" customFormat="1" ht="12.75" hidden="1" customHeight="1" x14ac:dyDescent="0.2">
      <c r="A393" s="199"/>
      <c r="B393" s="200"/>
      <c r="C393" s="220"/>
      <c r="D393" s="233" t="s">
        <v>334</v>
      </c>
      <c r="E393" s="201"/>
      <c r="F393" s="328"/>
      <c r="G393" s="201"/>
      <c r="H393" s="298"/>
      <c r="I393" s="320"/>
    </row>
    <row r="394" spans="1:12" s="261" customFormat="1" ht="12.75" hidden="1" customHeight="1" x14ac:dyDescent="0.2">
      <c r="A394" s="199"/>
      <c r="B394" s="200"/>
      <c r="C394" s="220"/>
      <c r="D394" s="233" t="s">
        <v>438</v>
      </c>
      <c r="E394" s="201"/>
      <c r="F394" s="328"/>
      <c r="G394" s="201"/>
      <c r="H394" s="298"/>
      <c r="I394" s="318"/>
    </row>
    <row r="395" spans="1:12" s="261" customFormat="1" ht="12.75" customHeight="1" x14ac:dyDescent="0.2">
      <c r="A395" s="195">
        <f>1+A385</f>
        <v>42</v>
      </c>
      <c r="B395" s="264">
        <v>4091</v>
      </c>
      <c r="C395" s="266" t="s">
        <v>277</v>
      </c>
      <c r="D395" s="496" t="str">
        <f>$D$5</f>
        <v>FTE AUG 23</v>
      </c>
      <c r="E395" s="198">
        <f>'4091'!I$142</f>
        <v>286572.12</v>
      </c>
      <c r="F395" s="329"/>
      <c r="G395" s="198">
        <f>SUBTOTAL(109,E395:F404)</f>
        <v>286572.12</v>
      </c>
      <c r="H395" s="298"/>
      <c r="L395" s="319"/>
    </row>
    <row r="396" spans="1:12" s="261" customFormat="1" ht="12.75" hidden="1" customHeight="1" x14ac:dyDescent="0.2">
      <c r="A396" s="195"/>
      <c r="B396" s="264"/>
      <c r="C396" s="266"/>
      <c r="D396" s="232" t="s">
        <v>280</v>
      </c>
      <c r="E396" s="198"/>
      <c r="F396" s="329"/>
      <c r="G396" s="198"/>
      <c r="H396" s="298"/>
    </row>
    <row r="397" spans="1:12" s="261" customFormat="1" ht="12.75" hidden="1" customHeight="1" x14ac:dyDescent="0.2">
      <c r="A397" s="195"/>
      <c r="B397" s="196"/>
      <c r="C397" s="219"/>
      <c r="D397" s="342" t="s">
        <v>339</v>
      </c>
      <c r="E397" s="198"/>
      <c r="F397" s="329"/>
      <c r="G397" s="198"/>
      <c r="H397" s="298"/>
      <c r="I397" s="196"/>
    </row>
    <row r="398" spans="1:12" s="261" customFormat="1" ht="12.75" hidden="1" customHeight="1" x14ac:dyDescent="0.2">
      <c r="A398" s="195"/>
      <c r="B398" s="264"/>
      <c r="C398" s="266"/>
      <c r="D398" s="232" t="s">
        <v>282</v>
      </c>
      <c r="E398" s="198"/>
      <c r="F398" s="329"/>
      <c r="G398" s="198"/>
      <c r="H398" s="298"/>
      <c r="I398" s="196"/>
    </row>
    <row r="399" spans="1:12" s="261" customFormat="1" ht="12.75" hidden="1" customHeight="1" x14ac:dyDescent="0.2">
      <c r="A399" s="195"/>
      <c r="B399" s="264"/>
      <c r="C399" s="266"/>
      <c r="D399" s="232" t="s">
        <v>281</v>
      </c>
      <c r="E399" s="198"/>
      <c r="F399" s="329"/>
      <c r="G399" s="198"/>
      <c r="H399" s="298"/>
    </row>
    <row r="400" spans="1:12" s="261" customFormat="1" ht="12.75" hidden="1" customHeight="1" x14ac:dyDescent="0.2">
      <c r="A400" s="195"/>
      <c r="B400" s="264"/>
      <c r="C400" s="266"/>
      <c r="D400" s="232" t="s">
        <v>290</v>
      </c>
      <c r="E400" s="198"/>
      <c r="F400" s="329"/>
      <c r="G400" s="198"/>
      <c r="H400" s="298"/>
    </row>
    <row r="401" spans="1:13" s="261" customFormat="1" ht="12.75" hidden="1" customHeight="1" x14ac:dyDescent="0.2">
      <c r="A401" s="195"/>
      <c r="B401" s="196"/>
      <c r="C401" s="219"/>
      <c r="D401" s="232" t="s">
        <v>259</v>
      </c>
      <c r="E401" s="198"/>
      <c r="F401" s="329"/>
      <c r="G401" s="198"/>
      <c r="H401" s="298"/>
    </row>
    <row r="402" spans="1:13" s="261" customFormat="1" ht="12.75" hidden="1" customHeight="1" x14ac:dyDescent="0.2">
      <c r="A402" s="195"/>
      <c r="B402" s="196"/>
      <c r="C402" s="219"/>
      <c r="D402" s="232" t="s">
        <v>334</v>
      </c>
      <c r="E402" s="198"/>
      <c r="F402" s="329"/>
      <c r="G402" s="198"/>
      <c r="H402" s="298"/>
    </row>
    <row r="403" spans="1:13" s="261" customFormat="1" ht="12.75" hidden="1" customHeight="1" x14ac:dyDescent="0.2">
      <c r="A403" s="195"/>
      <c r="B403" s="196"/>
      <c r="C403" s="219"/>
      <c r="D403" s="278" t="s">
        <v>320</v>
      </c>
      <c r="E403" s="198"/>
      <c r="F403" s="329"/>
      <c r="G403" s="198"/>
      <c r="H403" s="298"/>
    </row>
    <row r="404" spans="1:13" s="261" customFormat="1" ht="12.75" hidden="1" customHeight="1" x14ac:dyDescent="0.2">
      <c r="A404" s="195"/>
      <c r="B404" s="196"/>
      <c r="C404" s="219"/>
      <c r="D404" s="278" t="s">
        <v>369</v>
      </c>
      <c r="E404" s="198"/>
      <c r="F404" s="329"/>
      <c r="G404" s="198"/>
      <c r="H404" s="298"/>
    </row>
    <row r="405" spans="1:13" s="261" customFormat="1" ht="12.75" customHeight="1" x14ac:dyDescent="0.2">
      <c r="A405" s="199">
        <f>1+A395</f>
        <v>43</v>
      </c>
      <c r="B405" s="200">
        <v>4100</v>
      </c>
      <c r="C405" s="220" t="s">
        <v>269</v>
      </c>
      <c r="D405" s="279" t="str">
        <f>$D$5</f>
        <v>FTE AUG 23</v>
      </c>
      <c r="E405" s="201">
        <f>'4100'!I$142</f>
        <v>242125.08</v>
      </c>
      <c r="F405" s="328"/>
      <c r="G405" s="201">
        <f>SUBTOTAL(109,E405:F413)</f>
        <v>242125.08</v>
      </c>
      <c r="H405" s="298"/>
      <c r="M405" s="319"/>
    </row>
    <row r="406" spans="1:13" s="261" customFormat="1" ht="12.75" hidden="1" customHeight="1" x14ac:dyDescent="0.2">
      <c r="A406" s="199"/>
      <c r="B406" s="200"/>
      <c r="C406" s="220"/>
      <c r="D406" s="233" t="s">
        <v>280</v>
      </c>
      <c r="E406" s="201"/>
      <c r="F406" s="328"/>
      <c r="G406" s="201"/>
      <c r="H406" s="298"/>
    </row>
    <row r="407" spans="1:13" s="261" customFormat="1" ht="12.75" hidden="1" customHeight="1" x14ac:dyDescent="0.2">
      <c r="A407" s="199"/>
      <c r="B407" s="200"/>
      <c r="C407" s="220"/>
      <c r="D407" s="374" t="s">
        <v>339</v>
      </c>
      <c r="E407" s="201"/>
      <c r="F407" s="328"/>
      <c r="G407" s="201"/>
      <c r="H407" s="298"/>
      <c r="I407" s="196"/>
    </row>
    <row r="408" spans="1:13" s="261" customFormat="1" ht="12.75" hidden="1" customHeight="1" x14ac:dyDescent="0.2">
      <c r="A408" s="199"/>
      <c r="B408" s="200"/>
      <c r="C408" s="220"/>
      <c r="D408" s="233" t="s">
        <v>282</v>
      </c>
      <c r="E408" s="201"/>
      <c r="F408" s="328"/>
      <c r="G408" s="201"/>
      <c r="H408" s="298"/>
    </row>
    <row r="409" spans="1:13" s="261" customFormat="1" ht="12.75" hidden="1" customHeight="1" x14ac:dyDescent="0.2">
      <c r="A409" s="199"/>
      <c r="B409" s="200"/>
      <c r="C409" s="220"/>
      <c r="D409" s="233" t="s">
        <v>281</v>
      </c>
      <c r="E409" s="201"/>
      <c r="F409" s="328"/>
      <c r="G409" s="201"/>
      <c r="H409" s="298"/>
    </row>
    <row r="410" spans="1:13" s="261" customFormat="1" ht="12.75" hidden="1" customHeight="1" x14ac:dyDescent="0.2">
      <c r="A410" s="199"/>
      <c r="B410" s="200"/>
      <c r="C410" s="220"/>
      <c r="D410" s="233" t="s">
        <v>290</v>
      </c>
      <c r="E410" s="201"/>
      <c r="F410" s="328"/>
      <c r="G410" s="201"/>
      <c r="H410" s="298"/>
    </row>
    <row r="411" spans="1:13" s="261" customFormat="1" ht="12.75" hidden="1" customHeight="1" x14ac:dyDescent="0.2">
      <c r="A411" s="199"/>
      <c r="B411" s="200"/>
      <c r="C411" s="220"/>
      <c r="D411" s="233" t="s">
        <v>259</v>
      </c>
      <c r="E411" s="201"/>
      <c r="F411" s="328"/>
      <c r="G411" s="201"/>
      <c r="H411" s="298"/>
      <c r="I411" s="318"/>
    </row>
    <row r="412" spans="1:13" s="261" customFormat="1" ht="12.75" hidden="1" customHeight="1" x14ac:dyDescent="0.2">
      <c r="A412" s="199"/>
      <c r="B412" s="200"/>
      <c r="C412" s="220"/>
      <c r="D412" s="233" t="s">
        <v>334</v>
      </c>
      <c r="E412" s="201"/>
      <c r="F412" s="328"/>
      <c r="G412" s="201"/>
      <c r="H412" s="298"/>
      <c r="I412" s="320"/>
    </row>
    <row r="413" spans="1:13" s="261" customFormat="1" ht="12.75" hidden="1" customHeight="1" x14ac:dyDescent="0.2">
      <c r="A413" s="199"/>
      <c r="B413" s="200"/>
      <c r="C413" s="220"/>
      <c r="D413" s="233" t="s">
        <v>320</v>
      </c>
      <c r="E413" s="201"/>
      <c r="F413" s="328"/>
      <c r="G413" s="201"/>
      <c r="H413" s="298"/>
    </row>
    <row r="414" spans="1:13" s="261" customFormat="1" ht="12.75" customHeight="1" x14ac:dyDescent="0.2">
      <c r="A414" s="195">
        <f>1+A405</f>
        <v>44</v>
      </c>
      <c r="B414" s="264">
        <v>4102</v>
      </c>
      <c r="C414" s="266" t="s">
        <v>284</v>
      </c>
      <c r="D414" s="496" t="str">
        <f>$D$5</f>
        <v>FTE AUG 23</v>
      </c>
      <c r="E414" s="198">
        <f>'4102'!I$142</f>
        <v>113692</v>
      </c>
      <c r="F414" s="329"/>
      <c r="G414" s="198">
        <f>SUBTOTAL(109,E414:F421)</f>
        <v>113692</v>
      </c>
      <c r="H414" s="298"/>
    </row>
    <row r="415" spans="1:13" s="261" customFormat="1" ht="12.75" hidden="1" customHeight="1" x14ac:dyDescent="0.2">
      <c r="A415" s="195"/>
      <c r="B415" s="264"/>
      <c r="C415" s="266"/>
      <c r="D415" s="232" t="s">
        <v>280</v>
      </c>
      <c r="E415" s="198"/>
      <c r="F415" s="329"/>
      <c r="G415" s="198"/>
      <c r="H415" s="298"/>
    </row>
    <row r="416" spans="1:13" s="261" customFormat="1" ht="12.75" hidden="1" customHeight="1" x14ac:dyDescent="0.2">
      <c r="A416" s="195"/>
      <c r="B416" s="196"/>
      <c r="C416" s="219"/>
      <c r="D416" s="342" t="s">
        <v>338</v>
      </c>
      <c r="E416" s="198"/>
      <c r="F416" s="329"/>
      <c r="G416" s="198"/>
      <c r="H416" s="298"/>
    </row>
    <row r="417" spans="1:9" s="261" customFormat="1" ht="12.75" hidden="1" customHeight="1" x14ac:dyDescent="0.2">
      <c r="A417" s="195"/>
      <c r="B417" s="264"/>
      <c r="C417" s="266"/>
      <c r="D417" s="232" t="s">
        <v>282</v>
      </c>
      <c r="E417" s="198"/>
      <c r="F417" s="329"/>
      <c r="G417" s="198"/>
      <c r="H417" s="298"/>
      <c r="I417" s="196"/>
    </row>
    <row r="418" spans="1:9" s="261" customFormat="1" ht="12.75" hidden="1" customHeight="1" x14ac:dyDescent="0.2">
      <c r="A418" s="195"/>
      <c r="B418" s="264"/>
      <c r="C418" s="266"/>
      <c r="D418" s="232" t="s">
        <v>281</v>
      </c>
      <c r="E418" s="198"/>
      <c r="F418" s="329"/>
      <c r="G418" s="198"/>
      <c r="H418" s="298"/>
    </row>
    <row r="419" spans="1:9" s="261" customFormat="1" ht="12.75" hidden="1" customHeight="1" x14ac:dyDescent="0.2">
      <c r="A419" s="195"/>
      <c r="B419" s="264"/>
      <c r="C419" s="266"/>
      <c r="D419" s="232" t="s">
        <v>290</v>
      </c>
      <c r="E419" s="198"/>
      <c r="F419" s="329"/>
      <c r="G419" s="198"/>
      <c r="H419" s="298"/>
    </row>
    <row r="420" spans="1:9" s="261" customFormat="1" ht="12.75" hidden="1" customHeight="1" x14ac:dyDescent="0.2">
      <c r="A420" s="195"/>
      <c r="B420" s="196"/>
      <c r="C420" s="219"/>
      <c r="D420" s="232" t="s">
        <v>259</v>
      </c>
      <c r="E420" s="198"/>
      <c r="F420" s="329"/>
      <c r="G420" s="198"/>
      <c r="H420" s="298"/>
    </row>
    <row r="421" spans="1:9" s="261" customFormat="1" ht="12.75" hidden="1" customHeight="1" x14ac:dyDescent="0.2">
      <c r="A421" s="195"/>
      <c r="B421" s="196"/>
      <c r="C421" s="219"/>
      <c r="D421" s="278" t="s">
        <v>320</v>
      </c>
      <c r="E421" s="198"/>
      <c r="F421" s="329"/>
      <c r="G421" s="198"/>
      <c r="H421" s="298"/>
    </row>
    <row r="422" spans="1:9" s="261" customFormat="1" ht="12.75" customHeight="1" x14ac:dyDescent="0.2">
      <c r="A422" s="199">
        <f>A414+1</f>
        <v>45</v>
      </c>
      <c r="B422" s="200">
        <v>4103</v>
      </c>
      <c r="C422" s="220" t="s">
        <v>301</v>
      </c>
      <c r="D422" s="279" t="str">
        <f>$D$5</f>
        <v>FTE AUG 23</v>
      </c>
      <c r="E422" s="201">
        <f>'4103'!I$142</f>
        <v>665322.06000000006</v>
      </c>
      <c r="F422" s="328"/>
      <c r="G422" s="201">
        <f>SUBTOTAL(109,E422:F431)</f>
        <v>665322.06000000006</v>
      </c>
      <c r="H422" s="298"/>
    </row>
    <row r="423" spans="1:9" s="261" customFormat="1" ht="12.75" hidden="1" customHeight="1" x14ac:dyDescent="0.2">
      <c r="A423" s="199"/>
      <c r="B423" s="200"/>
      <c r="C423" s="220"/>
      <c r="D423" s="233" t="s">
        <v>280</v>
      </c>
      <c r="E423" s="201"/>
      <c r="F423" s="328"/>
      <c r="G423" s="201"/>
      <c r="H423" s="298"/>
    </row>
    <row r="424" spans="1:9" s="261" customFormat="1" ht="12.75" hidden="1" customHeight="1" x14ac:dyDescent="0.2">
      <c r="A424" s="199"/>
      <c r="B424" s="200"/>
      <c r="C424" s="220"/>
      <c r="D424" s="374" t="s">
        <v>339</v>
      </c>
      <c r="E424" s="201"/>
      <c r="F424" s="328"/>
      <c r="G424" s="201"/>
      <c r="H424" s="298"/>
    </row>
    <row r="425" spans="1:9" s="261" customFormat="1" ht="12.75" hidden="1" customHeight="1" x14ac:dyDescent="0.2">
      <c r="A425" s="199"/>
      <c r="B425" s="200"/>
      <c r="C425" s="220"/>
      <c r="D425" s="374" t="s">
        <v>338</v>
      </c>
      <c r="E425" s="201"/>
      <c r="F425" s="328"/>
      <c r="G425" s="201"/>
      <c r="H425" s="298"/>
    </row>
    <row r="426" spans="1:9" s="261" customFormat="1" ht="12.75" hidden="1" customHeight="1" x14ac:dyDescent="0.2">
      <c r="A426" s="199"/>
      <c r="B426" s="200"/>
      <c r="C426" s="220"/>
      <c r="D426" s="233" t="s">
        <v>282</v>
      </c>
      <c r="E426" s="201"/>
      <c r="F426" s="328"/>
      <c r="G426" s="201"/>
      <c r="H426" s="298"/>
      <c r="I426" s="196"/>
    </row>
    <row r="427" spans="1:9" s="261" customFormat="1" ht="12.75" hidden="1" customHeight="1" x14ac:dyDescent="0.2">
      <c r="A427" s="199"/>
      <c r="B427" s="200"/>
      <c r="C427" s="220"/>
      <c r="D427" s="233" t="s">
        <v>281</v>
      </c>
      <c r="E427" s="201"/>
      <c r="F427" s="328"/>
      <c r="G427" s="201"/>
      <c r="H427" s="298"/>
    </row>
    <row r="428" spans="1:9" s="261" customFormat="1" ht="12.75" hidden="1" customHeight="1" x14ac:dyDescent="0.2">
      <c r="A428" s="199"/>
      <c r="B428" s="200"/>
      <c r="C428" s="220"/>
      <c r="D428" s="233" t="s">
        <v>290</v>
      </c>
      <c r="E428" s="201"/>
      <c r="F428" s="328"/>
      <c r="G428" s="201"/>
      <c r="H428" s="298"/>
    </row>
    <row r="429" spans="1:9" s="261" customFormat="1" ht="12.75" hidden="1" customHeight="1" x14ac:dyDescent="0.2">
      <c r="A429" s="199"/>
      <c r="B429" s="200"/>
      <c r="C429" s="220"/>
      <c r="D429" s="233" t="s">
        <v>259</v>
      </c>
      <c r="E429" s="201"/>
      <c r="F429" s="328"/>
      <c r="G429" s="201"/>
      <c r="H429" s="298"/>
      <c r="I429" s="188"/>
    </row>
    <row r="430" spans="1:9" s="261" customFormat="1" ht="12.75" hidden="1" customHeight="1" x14ac:dyDescent="0.2">
      <c r="A430" s="199"/>
      <c r="B430" s="200"/>
      <c r="C430" s="220"/>
      <c r="D430" s="233" t="s">
        <v>334</v>
      </c>
      <c r="E430" s="201"/>
      <c r="F430" s="328"/>
      <c r="G430" s="201"/>
      <c r="H430" s="298"/>
      <c r="I430" s="318"/>
    </row>
    <row r="431" spans="1:9" s="261" customFormat="1" ht="12.75" hidden="1" customHeight="1" x14ac:dyDescent="0.2">
      <c r="A431" s="199"/>
      <c r="B431" s="200"/>
      <c r="C431" s="220"/>
      <c r="D431" s="233" t="s">
        <v>320</v>
      </c>
      <c r="E431" s="201"/>
      <c r="F431" s="328"/>
      <c r="G431" s="201"/>
      <c r="H431" s="298"/>
      <c r="I431" s="318"/>
    </row>
    <row r="432" spans="1:9" s="261" customFormat="1" ht="12.75" customHeight="1" x14ac:dyDescent="0.2">
      <c r="A432" s="195">
        <f>1+A422</f>
        <v>46</v>
      </c>
      <c r="B432" s="264">
        <v>4111</v>
      </c>
      <c r="C432" s="266" t="s">
        <v>317</v>
      </c>
      <c r="D432" s="496" t="str">
        <f>$D$5</f>
        <v>FTE AUG 23</v>
      </c>
      <c r="E432" s="198">
        <f>'4111'!I$142</f>
        <v>200600.78</v>
      </c>
      <c r="F432" s="329"/>
      <c r="G432" s="198">
        <f>SUBTOTAL(109,E432:F440)</f>
        <v>200600.78</v>
      </c>
      <c r="H432" s="298"/>
    </row>
    <row r="433" spans="1:9" s="261" customFormat="1" ht="12.75" hidden="1" customHeight="1" x14ac:dyDescent="0.2">
      <c r="A433" s="195"/>
      <c r="B433" s="264"/>
      <c r="C433" s="266"/>
      <c r="D433" s="232" t="s">
        <v>280</v>
      </c>
      <c r="E433" s="198"/>
      <c r="F433" s="329"/>
      <c r="G433" s="198"/>
      <c r="H433" s="298"/>
    </row>
    <row r="434" spans="1:9" s="261" customFormat="1" ht="12.75" hidden="1" customHeight="1" x14ac:dyDescent="0.2">
      <c r="A434" s="195"/>
      <c r="B434" s="196"/>
      <c r="C434" s="219"/>
      <c r="D434" s="342" t="s">
        <v>339</v>
      </c>
      <c r="E434" s="198"/>
      <c r="F434" s="329"/>
      <c r="G434" s="198"/>
      <c r="H434" s="298"/>
      <c r="I434" s="196"/>
    </row>
    <row r="435" spans="1:9" s="261" customFormat="1" ht="12.75" hidden="1" customHeight="1" x14ac:dyDescent="0.2">
      <c r="A435" s="195"/>
      <c r="B435" s="264"/>
      <c r="C435" s="266"/>
      <c r="D435" s="232" t="s">
        <v>282</v>
      </c>
      <c r="E435" s="198"/>
      <c r="F435" s="329"/>
      <c r="G435" s="198"/>
      <c r="H435" s="298"/>
      <c r="I435" s="196"/>
    </row>
    <row r="436" spans="1:9" s="261" customFormat="1" ht="12.75" hidden="1" customHeight="1" x14ac:dyDescent="0.2">
      <c r="A436" s="195"/>
      <c r="B436" s="264"/>
      <c r="C436" s="266"/>
      <c r="D436" s="232" t="s">
        <v>281</v>
      </c>
      <c r="E436" s="198"/>
      <c r="F436" s="329"/>
      <c r="G436" s="198"/>
      <c r="H436" s="298"/>
    </row>
    <row r="437" spans="1:9" s="261" customFormat="1" ht="12.75" hidden="1" customHeight="1" x14ac:dyDescent="0.2">
      <c r="A437" s="195"/>
      <c r="B437" s="264"/>
      <c r="C437" s="266"/>
      <c r="D437" s="232" t="s">
        <v>290</v>
      </c>
      <c r="E437" s="198"/>
      <c r="F437" s="329"/>
      <c r="G437" s="198"/>
      <c r="H437" s="298"/>
    </row>
    <row r="438" spans="1:9" s="261" customFormat="1" ht="12.75" hidden="1" customHeight="1" x14ac:dyDescent="0.2">
      <c r="A438" s="195"/>
      <c r="B438" s="196"/>
      <c r="C438" s="219"/>
      <c r="D438" s="232" t="s">
        <v>259</v>
      </c>
      <c r="E438" s="198"/>
      <c r="F438" s="329"/>
      <c r="G438" s="198"/>
      <c r="H438" s="298"/>
    </row>
    <row r="439" spans="1:9" s="261" customFormat="1" ht="12.75" hidden="1" customHeight="1" x14ac:dyDescent="0.2">
      <c r="A439" s="195"/>
      <c r="B439" s="196"/>
      <c r="C439" s="219"/>
      <c r="D439" s="232" t="s">
        <v>334</v>
      </c>
      <c r="E439" s="198"/>
      <c r="F439" s="329"/>
      <c r="G439" s="198"/>
      <c r="H439" s="298"/>
    </row>
    <row r="440" spans="1:9" s="261" customFormat="1" ht="12.75" hidden="1" customHeight="1" x14ac:dyDescent="0.2">
      <c r="A440" s="195"/>
      <c r="B440" s="196"/>
      <c r="C440" s="219"/>
      <c r="D440" s="278" t="s">
        <v>320</v>
      </c>
      <c r="E440" s="198"/>
      <c r="F440" s="329"/>
      <c r="G440" s="198"/>
      <c r="H440" s="298"/>
    </row>
    <row r="441" spans="1:9" s="261" customFormat="1" ht="12.75" customHeight="1" x14ac:dyDescent="0.2">
      <c r="A441" s="199">
        <f>1+A432</f>
        <v>47</v>
      </c>
      <c r="B441" s="381">
        <v>4131</v>
      </c>
      <c r="C441" s="382" t="s">
        <v>354</v>
      </c>
      <c r="D441" s="279" t="str">
        <f>$D$5</f>
        <v>FTE AUG 23</v>
      </c>
      <c r="E441" s="201">
        <f>'4131'!I$142</f>
        <v>24354.32</v>
      </c>
      <c r="F441" s="328"/>
      <c r="G441" s="201">
        <f>SUBTOTAL(109,E441:F449)</f>
        <v>24354.32</v>
      </c>
      <c r="H441" s="298"/>
    </row>
    <row r="442" spans="1:9" s="261" customFormat="1" ht="12.75" hidden="1" customHeight="1" x14ac:dyDescent="0.2">
      <c r="A442" s="199"/>
      <c r="B442" s="381"/>
      <c r="C442" s="382"/>
      <c r="D442" s="233" t="s">
        <v>280</v>
      </c>
      <c r="E442" s="201"/>
      <c r="F442" s="328"/>
      <c r="G442" s="201"/>
      <c r="H442" s="298"/>
    </row>
    <row r="443" spans="1:9" s="261" customFormat="1" ht="12.75" hidden="1" customHeight="1" x14ac:dyDescent="0.2">
      <c r="A443" s="199"/>
      <c r="B443" s="200"/>
      <c r="C443" s="220"/>
      <c r="D443" s="374" t="s">
        <v>339</v>
      </c>
      <c r="E443" s="201"/>
      <c r="F443" s="328"/>
      <c r="G443" s="201"/>
      <c r="H443" s="298"/>
    </row>
    <row r="444" spans="1:9" s="261" customFormat="1" ht="12.75" hidden="1" customHeight="1" x14ac:dyDescent="0.2">
      <c r="A444" s="199"/>
      <c r="B444" s="381"/>
      <c r="C444" s="382"/>
      <c r="D444" s="233" t="s">
        <v>282</v>
      </c>
      <c r="E444" s="201"/>
      <c r="F444" s="328"/>
      <c r="G444" s="201"/>
      <c r="H444" s="298"/>
      <c r="I444" s="196"/>
    </row>
    <row r="445" spans="1:9" s="261" customFormat="1" ht="12.75" hidden="1" customHeight="1" x14ac:dyDescent="0.2">
      <c r="A445" s="199"/>
      <c r="B445" s="381"/>
      <c r="C445" s="382"/>
      <c r="D445" s="233" t="s">
        <v>281</v>
      </c>
      <c r="E445" s="201"/>
      <c r="F445" s="328"/>
      <c r="G445" s="201"/>
      <c r="H445" s="298"/>
    </row>
    <row r="446" spans="1:9" s="261" customFormat="1" ht="12.75" hidden="1" customHeight="1" x14ac:dyDescent="0.2">
      <c r="A446" s="199"/>
      <c r="B446" s="381"/>
      <c r="C446" s="382"/>
      <c r="D446" s="233" t="s">
        <v>290</v>
      </c>
      <c r="E446" s="201"/>
      <c r="F446" s="328"/>
      <c r="G446" s="201"/>
      <c r="H446" s="298"/>
    </row>
    <row r="447" spans="1:9" s="261" customFormat="1" ht="12.75" hidden="1" customHeight="1" x14ac:dyDescent="0.2">
      <c r="A447" s="199"/>
      <c r="B447" s="200"/>
      <c r="C447" s="220"/>
      <c r="D447" s="233" t="s">
        <v>259</v>
      </c>
      <c r="E447" s="201"/>
      <c r="F447" s="328"/>
      <c r="G447" s="201"/>
      <c r="H447" s="298"/>
      <c r="I447" s="188"/>
    </row>
    <row r="448" spans="1:9" s="261" customFormat="1" ht="12.75" hidden="1" customHeight="1" x14ac:dyDescent="0.2">
      <c r="A448" s="199"/>
      <c r="B448" s="200"/>
      <c r="C448" s="220"/>
      <c r="D448" s="233" t="s">
        <v>334</v>
      </c>
      <c r="E448" s="201"/>
      <c r="F448" s="328"/>
      <c r="G448" s="201"/>
      <c r="H448" s="298"/>
      <c r="I448" s="318"/>
    </row>
    <row r="449" spans="1:9" s="261" customFormat="1" ht="12.75" hidden="1" customHeight="1" x14ac:dyDescent="0.2">
      <c r="A449" s="199"/>
      <c r="B449" s="200"/>
      <c r="C449" s="220"/>
      <c r="D449" s="280" t="s">
        <v>320</v>
      </c>
      <c r="E449" s="201"/>
      <c r="F449" s="328"/>
      <c r="G449" s="201"/>
      <c r="H449" s="298"/>
      <c r="I449" s="320"/>
    </row>
    <row r="450" spans="1:9" s="261" customFormat="1" ht="12.75" customHeight="1" x14ac:dyDescent="0.2">
      <c r="A450" s="192"/>
      <c r="B450" s="188"/>
      <c r="C450" s="188"/>
      <c r="D450" s="282"/>
      <c r="E450" s="188"/>
      <c r="F450" s="330"/>
      <c r="G450" s="188"/>
      <c r="H450" s="298"/>
      <c r="I450" s="318"/>
    </row>
    <row r="451" spans="1:9" s="261" customFormat="1" ht="12.75" customHeight="1" thickBot="1" x14ac:dyDescent="0.25">
      <c r="A451" s="188"/>
      <c r="B451" s="191"/>
      <c r="C451" s="218"/>
      <c r="D451" s="282" t="s">
        <v>185</v>
      </c>
      <c r="E451" s="203">
        <f>SUBTOTAL(109,E5:E450)</f>
        <v>16728932.900000002</v>
      </c>
      <c r="F451" s="203">
        <f>SUBTOTAL(109,F5:F450)</f>
        <v>-20211.97</v>
      </c>
      <c r="G451" s="203">
        <f>ROUND(SUM(G5:G450),2)</f>
        <v>16708720.93</v>
      </c>
      <c r="H451" s="298"/>
    </row>
    <row r="452" spans="1:9" s="261" customFormat="1" ht="12.75" customHeight="1" thickTop="1" x14ac:dyDescent="0.2">
      <c r="A452" s="188"/>
      <c r="B452" s="191"/>
      <c r="C452" s="218"/>
      <c r="D452" s="188"/>
      <c r="E452" s="188"/>
      <c r="F452" s="239"/>
      <c r="G452" s="202">
        <f>ROUND(G451-E451-F451,2)</f>
        <v>0</v>
      </c>
      <c r="H452" s="298"/>
    </row>
    <row r="453" spans="1:9" s="261" customFormat="1" ht="12.75" customHeight="1" x14ac:dyDescent="0.2">
      <c r="A453" s="188"/>
      <c r="B453" s="191"/>
      <c r="C453" s="218"/>
      <c r="D453" s="188"/>
      <c r="E453" s="188"/>
      <c r="F453" s="239"/>
      <c r="G453" s="188"/>
      <c r="H453" s="298"/>
      <c r="I453" s="196"/>
    </row>
    <row r="454" spans="1:9" s="261" customFormat="1" ht="12.75" customHeight="1" x14ac:dyDescent="0.2">
      <c r="A454" s="188"/>
      <c r="B454" s="191"/>
      <c r="C454" s="218"/>
      <c r="D454" s="188"/>
      <c r="E454" s="188"/>
      <c r="F454" s="239"/>
      <c r="G454" s="188"/>
      <c r="H454" s="298"/>
    </row>
    <row r="455" spans="1:9" s="261" customFormat="1" ht="12.75" customHeight="1" x14ac:dyDescent="0.2">
      <c r="A455" s="188"/>
      <c r="B455" s="191"/>
      <c r="C455" s="218"/>
      <c r="D455" s="188"/>
      <c r="E455" s="188"/>
      <c r="F455" s="239"/>
      <c r="G455" s="188"/>
      <c r="H455" s="298"/>
    </row>
    <row r="456" spans="1:9" s="261" customFormat="1" ht="12.75" customHeight="1" x14ac:dyDescent="0.2">
      <c r="A456" s="188"/>
      <c r="B456" s="191"/>
      <c r="C456" s="218"/>
      <c r="D456" s="188"/>
      <c r="E456" s="188"/>
      <c r="F456" s="239"/>
      <c r="G456" s="188"/>
      <c r="H456" s="298"/>
      <c r="I456" s="188"/>
    </row>
    <row r="457" spans="1:9" s="261" customFormat="1" ht="12.75" customHeight="1" x14ac:dyDescent="0.2">
      <c r="A457" s="188"/>
      <c r="B457" s="191"/>
      <c r="C457" s="218"/>
      <c r="D457" s="188"/>
      <c r="E457" s="188"/>
      <c r="F457" s="239"/>
      <c r="G457" s="188"/>
      <c r="H457" s="298"/>
      <c r="I457" s="318"/>
    </row>
    <row r="458" spans="1:9" s="261" customFormat="1" ht="12.75" customHeight="1" x14ac:dyDescent="0.2">
      <c r="A458" s="270"/>
      <c r="B458" s="191"/>
      <c r="C458" s="242"/>
      <c r="D458" s="270" t="s">
        <v>256</v>
      </c>
      <c r="E458" s="202">
        <f>Consolidated!I143</f>
        <v>16728932.900000002</v>
      </c>
      <c r="F458" s="239"/>
      <c r="G458" s="202">
        <f t="shared" ref="G458:G463" si="0">E458+F458</f>
        <v>16728932.900000002</v>
      </c>
      <c r="H458" s="298"/>
      <c r="I458" s="320"/>
    </row>
    <row r="459" spans="1:9" s="261" customFormat="1" ht="12.75" hidden="1" customHeight="1" x14ac:dyDescent="0.2">
      <c r="A459" s="188"/>
      <c r="B459" s="188"/>
      <c r="C459" s="188"/>
      <c r="D459" s="197" t="s">
        <v>280</v>
      </c>
      <c r="E459" s="188"/>
      <c r="F459" s="260">
        <f t="shared" ref="F459:F477" si="1">SUM(SUMIF(D$5:D$450,D459,F$5:F$450))</f>
        <v>0</v>
      </c>
      <c r="G459" s="202">
        <f t="shared" si="0"/>
        <v>0</v>
      </c>
      <c r="H459" s="298"/>
      <c r="I459" s="318"/>
    </row>
    <row r="460" spans="1:9" ht="12.75" hidden="1" customHeight="1" x14ac:dyDescent="0.2">
      <c r="D460" s="378" t="s">
        <v>351</v>
      </c>
      <c r="F460" s="260">
        <f t="shared" si="1"/>
        <v>0</v>
      </c>
      <c r="G460" s="202">
        <f t="shared" si="0"/>
        <v>0</v>
      </c>
      <c r="H460" s="299"/>
    </row>
    <row r="461" spans="1:9" ht="12.75" hidden="1" customHeight="1" x14ac:dyDescent="0.2">
      <c r="D461" s="197" t="s">
        <v>340</v>
      </c>
      <c r="F461" s="260">
        <f t="shared" si="1"/>
        <v>0</v>
      </c>
      <c r="G461" s="202">
        <f t="shared" si="0"/>
        <v>0</v>
      </c>
    </row>
    <row r="462" spans="1:9" ht="12.75" hidden="1" customHeight="1" thickTop="1" x14ac:dyDescent="0.2">
      <c r="D462" s="197" t="s">
        <v>341</v>
      </c>
      <c r="F462" s="260">
        <f t="shared" si="1"/>
        <v>0</v>
      </c>
      <c r="G462" s="202">
        <f t="shared" si="0"/>
        <v>0</v>
      </c>
    </row>
    <row r="463" spans="1:9" ht="12.75" hidden="1" customHeight="1" x14ac:dyDescent="0.2">
      <c r="D463" s="373" t="s">
        <v>338</v>
      </c>
      <c r="F463" s="260">
        <f t="shared" si="1"/>
        <v>0</v>
      </c>
      <c r="G463" s="202">
        <f t="shared" si="0"/>
        <v>0</v>
      </c>
    </row>
    <row r="464" spans="1:9" ht="12.75" hidden="1" customHeight="1" x14ac:dyDescent="0.2">
      <c r="D464" s="197" t="s">
        <v>282</v>
      </c>
      <c r="F464" s="260">
        <f t="shared" si="1"/>
        <v>0</v>
      </c>
      <c r="G464" s="202">
        <f t="shared" ref="G464:G469" si="2">E464+F464</f>
        <v>0</v>
      </c>
    </row>
    <row r="465" spans="1:10" ht="12.75" hidden="1" customHeight="1" x14ac:dyDescent="0.2">
      <c r="D465" s="197" t="s">
        <v>329</v>
      </c>
      <c r="F465" s="260">
        <f t="shared" si="1"/>
        <v>0</v>
      </c>
      <c r="G465" s="202">
        <f t="shared" si="2"/>
        <v>0</v>
      </c>
    </row>
    <row r="466" spans="1:10" ht="12.75" hidden="1" customHeight="1" x14ac:dyDescent="0.2">
      <c r="D466" s="188" t="s">
        <v>290</v>
      </c>
      <c r="F466" s="260">
        <f t="shared" si="1"/>
        <v>0</v>
      </c>
      <c r="G466" s="202">
        <f t="shared" si="2"/>
        <v>0</v>
      </c>
    </row>
    <row r="467" spans="1:10" ht="12.75" hidden="1" customHeight="1" x14ac:dyDescent="0.2">
      <c r="A467" s="195"/>
      <c r="B467" s="196"/>
      <c r="C467" s="219"/>
      <c r="D467" s="197" t="s">
        <v>259</v>
      </c>
      <c r="E467" s="198"/>
      <c r="F467" s="260">
        <f t="shared" si="1"/>
        <v>0</v>
      </c>
      <c r="G467" s="202">
        <f t="shared" si="2"/>
        <v>0</v>
      </c>
    </row>
    <row r="468" spans="1:10" ht="12.75" hidden="1" customHeight="1" x14ac:dyDescent="0.2">
      <c r="D468" s="314" t="s">
        <v>293</v>
      </c>
      <c r="F468" s="260">
        <f t="shared" si="1"/>
        <v>0</v>
      </c>
      <c r="G468" s="202">
        <f t="shared" si="2"/>
        <v>0</v>
      </c>
      <c r="J468" s="202"/>
    </row>
    <row r="469" spans="1:10" ht="12.75" hidden="1" customHeight="1" x14ac:dyDescent="0.2">
      <c r="D469" s="314" t="s">
        <v>286</v>
      </c>
      <c r="F469" s="260">
        <f t="shared" si="1"/>
        <v>0</v>
      </c>
      <c r="G469" s="202">
        <f t="shared" si="2"/>
        <v>0</v>
      </c>
      <c r="J469" s="202"/>
    </row>
    <row r="470" spans="1:10" ht="12.75" customHeight="1" x14ac:dyDescent="0.2">
      <c r="D470" s="188" t="s">
        <v>230</v>
      </c>
      <c r="F470" s="260">
        <f t="shared" si="1"/>
        <v>-16909</v>
      </c>
      <c r="G470" s="202">
        <f t="shared" ref="G470:G478" si="3">E470+F470</f>
        <v>-16909</v>
      </c>
      <c r="J470" s="202"/>
    </row>
    <row r="471" spans="1:10" ht="12.75" customHeight="1" x14ac:dyDescent="0.2">
      <c r="D471" s="188" t="s">
        <v>231</v>
      </c>
      <c r="F471" s="260">
        <f t="shared" si="1"/>
        <v>-287.2</v>
      </c>
      <c r="G471" s="202">
        <f t="shared" si="3"/>
        <v>-287.2</v>
      </c>
      <c r="J471" s="202"/>
    </row>
    <row r="472" spans="1:10" ht="12.75" customHeight="1" x14ac:dyDescent="0.2">
      <c r="D472" s="242" t="s">
        <v>435</v>
      </c>
      <c r="F472" s="260">
        <f t="shared" si="1"/>
        <v>-188.96</v>
      </c>
      <c r="G472" s="202">
        <f t="shared" si="3"/>
        <v>-188.96</v>
      </c>
      <c r="J472" s="202"/>
    </row>
    <row r="473" spans="1:10" ht="12.75" customHeight="1" x14ac:dyDescent="0.2">
      <c r="D473" s="188" t="s">
        <v>313</v>
      </c>
      <c r="F473" s="260">
        <f t="shared" si="1"/>
        <v>-180</v>
      </c>
      <c r="G473" s="202">
        <f t="shared" si="3"/>
        <v>-180</v>
      </c>
      <c r="J473" s="202"/>
    </row>
    <row r="474" spans="1:10" ht="12.75" hidden="1" customHeight="1" x14ac:dyDescent="0.2">
      <c r="A474" s="195"/>
      <c r="B474" s="196"/>
      <c r="C474" s="219"/>
      <c r="D474" s="197" t="s">
        <v>291</v>
      </c>
      <c r="E474" s="198"/>
      <c r="F474" s="260">
        <f t="shared" si="1"/>
        <v>0</v>
      </c>
      <c r="G474" s="202">
        <f t="shared" si="3"/>
        <v>0</v>
      </c>
    </row>
    <row r="475" spans="1:10" ht="12.75" hidden="1" customHeight="1" x14ac:dyDescent="0.2">
      <c r="D475" s="242" t="s">
        <v>333</v>
      </c>
      <c r="F475" s="260">
        <f t="shared" si="1"/>
        <v>0</v>
      </c>
      <c r="G475" s="202">
        <f t="shared" si="3"/>
        <v>0</v>
      </c>
    </row>
    <row r="476" spans="1:10" ht="12.75" hidden="1" customHeight="1" x14ac:dyDescent="0.2">
      <c r="D476" s="242" t="s">
        <v>332</v>
      </c>
      <c r="F476" s="260">
        <f t="shared" si="1"/>
        <v>0</v>
      </c>
      <c r="G476" s="202">
        <f t="shared" si="3"/>
        <v>0</v>
      </c>
    </row>
    <row r="477" spans="1:10" s="261" customFormat="1" ht="12.75" hidden="1" customHeight="1" x14ac:dyDescent="0.2">
      <c r="A477" s="188"/>
      <c r="B477" s="188"/>
      <c r="C477" s="188"/>
      <c r="D477" s="242" t="s">
        <v>334</v>
      </c>
      <c r="E477" s="188"/>
      <c r="F477" s="260">
        <f t="shared" si="1"/>
        <v>0</v>
      </c>
      <c r="G477" s="202">
        <f t="shared" si="3"/>
        <v>0</v>
      </c>
      <c r="H477" s="298"/>
      <c r="I477" s="318"/>
    </row>
    <row r="478" spans="1:10" ht="12.75" customHeight="1" x14ac:dyDescent="0.2">
      <c r="D478" s="197" t="s">
        <v>237</v>
      </c>
      <c r="F478" s="331">
        <f>SUM(SUMIF(D$5:D$450,"*WPB*",F$5:F$450))</f>
        <v>-2646.81</v>
      </c>
      <c r="G478" s="202">
        <f t="shared" si="3"/>
        <v>-2646.81</v>
      </c>
    </row>
    <row r="479" spans="1:10" ht="12.75" customHeight="1" x14ac:dyDescent="0.2">
      <c r="D479" s="197"/>
      <c r="F479" s="331"/>
      <c r="G479" s="202"/>
    </row>
    <row r="480" spans="1:10" ht="12.75" customHeight="1" thickBot="1" x14ac:dyDescent="0.25">
      <c r="D480" s="285" t="s">
        <v>251</v>
      </c>
      <c r="E480" s="203">
        <f>SUM(E458:E479)</f>
        <v>16728932.900000002</v>
      </c>
      <c r="F480" s="203">
        <f>SUM(F458:F479)</f>
        <v>-20211.97</v>
      </c>
      <c r="G480" s="203">
        <f>SUM(G458:G479)</f>
        <v>16708720.930000002</v>
      </c>
    </row>
    <row r="481" spans="1:9" ht="12.75" customHeight="1" thickTop="1" x14ac:dyDescent="0.2">
      <c r="E481" s="202">
        <f>E480-E451</f>
        <v>0</v>
      </c>
      <c r="F481" s="202">
        <f>ROUND(F480-F451,2)</f>
        <v>0</v>
      </c>
      <c r="G481" s="202">
        <f>G480-G451</f>
        <v>0</v>
      </c>
    </row>
    <row r="482" spans="1:9" ht="12.75" customHeight="1" thickBot="1" x14ac:dyDescent="0.25">
      <c r="E482" s="202"/>
      <c r="F482" s="202"/>
      <c r="G482" s="202"/>
    </row>
    <row r="483" spans="1:9" ht="12.75" customHeight="1" thickBot="1" x14ac:dyDescent="0.25">
      <c r="C483" s="505" t="s">
        <v>279</v>
      </c>
      <c r="D483" s="506"/>
      <c r="E483" s="506"/>
      <c r="F483" s="506"/>
      <c r="G483" s="507"/>
    </row>
    <row r="484" spans="1:9" s="261" customFormat="1" ht="12.75" customHeight="1" x14ac:dyDescent="0.2">
      <c r="A484" s="188"/>
      <c r="B484" s="188"/>
      <c r="C484" s="370"/>
      <c r="D484" s="371"/>
      <c r="E484" s="371"/>
      <c r="F484" s="499"/>
      <c r="G484" s="500"/>
      <c r="H484" s="298"/>
      <c r="I484" s="188"/>
    </row>
    <row r="485" spans="1:9" ht="12.75" customHeight="1" x14ac:dyDescent="0.2">
      <c r="C485" s="440" t="s">
        <v>480</v>
      </c>
      <c r="D485" s="371"/>
      <c r="E485" s="371"/>
      <c r="F485" s="499"/>
      <c r="G485" s="501"/>
    </row>
    <row r="486" spans="1:9" ht="12.75" customHeight="1" x14ac:dyDescent="0.2">
      <c r="C486" s="384" t="s">
        <v>481</v>
      </c>
      <c r="D486" s="371"/>
      <c r="E486" s="371"/>
      <c r="F486" s="499"/>
      <c r="G486" s="501"/>
    </row>
    <row r="487" spans="1:9" ht="12.75" customHeight="1" x14ac:dyDescent="0.2">
      <c r="C487" s="440"/>
      <c r="D487" s="371"/>
      <c r="E487" s="371"/>
      <c r="F487" s="499"/>
      <c r="G487" s="501"/>
    </row>
    <row r="488" spans="1:9" ht="12.75" customHeight="1" x14ac:dyDescent="0.2">
      <c r="C488" s="440" t="s">
        <v>482</v>
      </c>
      <c r="D488" s="371"/>
      <c r="E488" s="371"/>
      <c r="F488" s="499"/>
      <c r="G488" s="501"/>
    </row>
    <row r="489" spans="1:9" ht="12.75" customHeight="1" x14ac:dyDescent="0.2">
      <c r="C489" s="384" t="s">
        <v>483</v>
      </c>
      <c r="D489" s="371"/>
      <c r="E489" s="371"/>
      <c r="F489" s="499"/>
      <c r="G489" s="501"/>
      <c r="I489" s="309"/>
    </row>
    <row r="490" spans="1:9" ht="12.75" customHeight="1" x14ac:dyDescent="0.2">
      <c r="C490" s="384" t="s">
        <v>484</v>
      </c>
      <c r="D490" s="371"/>
      <c r="E490" s="371"/>
      <c r="F490" s="499"/>
      <c r="G490" s="501"/>
      <c r="H490" s="309"/>
      <c r="I490" s="261"/>
    </row>
    <row r="491" spans="1:9" ht="12.75" customHeight="1" x14ac:dyDescent="0.2">
      <c r="C491" s="384"/>
      <c r="D491" s="371"/>
      <c r="E491" s="371"/>
      <c r="F491" s="499"/>
      <c r="G491" s="501"/>
      <c r="H491" s="309"/>
      <c r="I491" s="261"/>
    </row>
    <row r="492" spans="1:9" ht="12.75" customHeight="1" x14ac:dyDescent="0.2">
      <c r="C492" s="384"/>
      <c r="D492" s="371"/>
      <c r="E492" s="371"/>
      <c r="F492" s="499"/>
      <c r="G492" s="501"/>
      <c r="H492" s="309"/>
      <c r="I492" s="261"/>
    </row>
    <row r="493" spans="1:9" ht="12.75" customHeight="1" x14ac:dyDescent="0.2">
      <c r="C493" s="384"/>
      <c r="D493" s="371"/>
      <c r="E493" s="371"/>
      <c r="F493" s="499"/>
      <c r="G493" s="501"/>
      <c r="H493" s="309"/>
      <c r="I493" s="261"/>
    </row>
    <row r="494" spans="1:9" ht="12.75" customHeight="1" x14ac:dyDescent="0.2">
      <c r="C494" s="384"/>
      <c r="D494" s="371"/>
      <c r="E494" s="371"/>
      <c r="F494" s="499"/>
      <c r="G494" s="501"/>
      <c r="H494" s="309"/>
      <c r="I494" s="261"/>
    </row>
    <row r="495" spans="1:9" ht="12.75" customHeight="1" x14ac:dyDescent="0.2">
      <c r="C495" s="384"/>
      <c r="D495" s="371"/>
      <c r="E495" s="371"/>
      <c r="F495" s="499"/>
      <c r="G495" s="501"/>
      <c r="H495" s="309"/>
      <c r="I495" s="261"/>
    </row>
    <row r="496" spans="1:9" ht="12.75" customHeight="1" x14ac:dyDescent="0.2">
      <c r="C496" s="384"/>
      <c r="D496" s="371"/>
      <c r="E496" s="371"/>
      <c r="F496" s="499"/>
      <c r="G496" s="501"/>
      <c r="H496" s="309"/>
      <c r="I496" s="261"/>
    </row>
    <row r="497" spans="3:9" ht="12.75" customHeight="1" x14ac:dyDescent="0.2">
      <c r="C497" s="384"/>
      <c r="D497" s="371"/>
      <c r="E497" s="371"/>
      <c r="F497" s="499"/>
      <c r="G497" s="501"/>
      <c r="H497" s="309"/>
      <c r="I497" s="261"/>
    </row>
    <row r="498" spans="3:9" ht="12.75" customHeight="1" x14ac:dyDescent="0.2">
      <c r="C498" s="384"/>
      <c r="D498" s="371"/>
      <c r="E498" s="371"/>
      <c r="F498" s="499"/>
      <c r="G498" s="501"/>
      <c r="H498" s="309"/>
      <c r="I498" s="261"/>
    </row>
    <row r="499" spans="3:9" ht="12.75" customHeight="1" x14ac:dyDescent="0.2">
      <c r="C499" s="384"/>
      <c r="D499" s="371"/>
      <c r="E499" s="371"/>
      <c r="F499" s="499"/>
      <c r="G499" s="501"/>
      <c r="H499" s="309"/>
      <c r="I499" s="261"/>
    </row>
    <row r="500" spans="3:9" ht="12.75" customHeight="1" x14ac:dyDescent="0.2">
      <c r="C500" s="384"/>
      <c r="D500" s="371"/>
      <c r="E500" s="371"/>
      <c r="F500" s="499"/>
      <c r="G500" s="501"/>
      <c r="H500" s="309"/>
      <c r="I500" s="261"/>
    </row>
    <row r="501" spans="3:9" ht="12.75" customHeight="1" x14ac:dyDescent="0.2">
      <c r="C501" s="384"/>
      <c r="D501" s="371"/>
      <c r="E501" s="371"/>
      <c r="F501" s="499"/>
      <c r="G501" s="501"/>
      <c r="H501" s="309"/>
      <c r="I501" s="261"/>
    </row>
    <row r="502" spans="3:9" ht="12.75" customHeight="1" x14ac:dyDescent="0.2">
      <c r="C502" s="384"/>
      <c r="D502" s="371"/>
      <c r="E502" s="371"/>
      <c r="F502" s="499"/>
      <c r="G502" s="501"/>
      <c r="H502" s="309"/>
      <c r="I502" s="261"/>
    </row>
    <row r="503" spans="3:9" ht="12.75" customHeight="1" x14ac:dyDescent="0.2">
      <c r="C503" s="384"/>
      <c r="D503" s="371"/>
      <c r="E503" s="371"/>
      <c r="F503" s="499"/>
      <c r="G503" s="501"/>
      <c r="H503" s="309"/>
      <c r="I503" s="261"/>
    </row>
    <row r="504" spans="3:9" ht="12.75" customHeight="1" x14ac:dyDescent="0.2">
      <c r="C504" s="440" t="s">
        <v>485</v>
      </c>
      <c r="D504" s="371"/>
      <c r="E504" s="371"/>
      <c r="F504" s="499"/>
      <c r="G504" s="501"/>
      <c r="H504" s="309"/>
      <c r="I504" s="261"/>
    </row>
    <row r="505" spans="3:9" ht="12.75" customHeight="1" x14ac:dyDescent="0.2">
      <c r="C505" s="384" t="s">
        <v>487</v>
      </c>
      <c r="D505" s="371"/>
      <c r="E505" s="371"/>
      <c r="F505" s="499"/>
      <c r="G505" s="501"/>
      <c r="H505" s="309"/>
      <c r="I505" s="261"/>
    </row>
    <row r="506" spans="3:9" ht="12.75" customHeight="1" x14ac:dyDescent="0.2">
      <c r="C506" s="384" t="s">
        <v>486</v>
      </c>
      <c r="D506" s="371"/>
      <c r="E506" s="371"/>
      <c r="F506" s="499"/>
      <c r="G506" s="501"/>
      <c r="H506" s="309"/>
      <c r="I506" s="261"/>
    </row>
    <row r="507" spans="3:9" ht="12.75" customHeight="1" x14ac:dyDescent="0.2">
      <c r="C507" s="384"/>
      <c r="D507" s="371"/>
      <c r="E507" s="371"/>
      <c r="F507" s="499"/>
      <c r="G507" s="501"/>
      <c r="H507" s="309"/>
      <c r="I507" s="261"/>
    </row>
    <row r="508" spans="3:9" ht="12.75" customHeight="1" x14ac:dyDescent="0.2">
      <c r="C508" s="384" t="s">
        <v>488</v>
      </c>
      <c r="D508" s="371"/>
      <c r="E508" s="371"/>
      <c r="F508" s="499"/>
      <c r="G508" s="501"/>
      <c r="H508" s="309"/>
      <c r="I508" s="261"/>
    </row>
    <row r="509" spans="3:9" ht="12.75" customHeight="1" x14ac:dyDescent="0.2">
      <c r="C509" s="384" t="s">
        <v>489</v>
      </c>
      <c r="D509" s="371"/>
      <c r="E509" s="371"/>
      <c r="F509" s="499"/>
      <c r="G509" s="501"/>
      <c r="H509" s="309"/>
      <c r="I509" s="261"/>
    </row>
    <row r="510" spans="3:9" ht="12.75" customHeight="1" x14ac:dyDescent="0.2">
      <c r="C510" s="384"/>
      <c r="D510" s="371"/>
      <c r="E510" s="371"/>
      <c r="F510" s="499"/>
      <c r="G510" s="501"/>
      <c r="H510" s="309"/>
      <c r="I510" s="261"/>
    </row>
    <row r="511" spans="3:9" ht="12.75" customHeight="1" x14ac:dyDescent="0.2">
      <c r="C511" s="440" t="s">
        <v>490</v>
      </c>
      <c r="D511" s="371"/>
      <c r="E511" s="371"/>
      <c r="F511" s="499"/>
      <c r="G511" s="501"/>
      <c r="H511" s="309"/>
      <c r="I511" s="261"/>
    </row>
    <row r="512" spans="3:9" ht="12.75" customHeight="1" x14ac:dyDescent="0.2">
      <c r="C512" s="384" t="s">
        <v>491</v>
      </c>
      <c r="D512" s="371"/>
      <c r="E512" s="371"/>
      <c r="F512" s="499"/>
      <c r="G512" s="501"/>
      <c r="H512" s="309"/>
      <c r="I512" s="261"/>
    </row>
    <row r="513" spans="3:9" ht="12.75" customHeight="1" x14ac:dyDescent="0.2">
      <c r="C513" s="384" t="s">
        <v>478</v>
      </c>
      <c r="D513" s="371"/>
      <c r="E513" s="371"/>
      <c r="F513" s="499"/>
      <c r="G513" s="501"/>
      <c r="H513" s="309"/>
      <c r="I513" s="261"/>
    </row>
    <row r="514" spans="3:9" ht="12.75" customHeight="1" x14ac:dyDescent="0.2">
      <c r="C514" s="384" t="s">
        <v>479</v>
      </c>
      <c r="D514" s="371"/>
      <c r="E514" s="371"/>
      <c r="F514" s="499"/>
      <c r="G514" s="501"/>
      <c r="H514" s="309"/>
      <c r="I514" s="261"/>
    </row>
    <row r="515" spans="3:9" ht="12.75" customHeight="1" x14ac:dyDescent="0.2">
      <c r="C515" s="384" t="s">
        <v>493</v>
      </c>
      <c r="D515" s="371"/>
      <c r="E515" s="371"/>
      <c r="F515" s="499"/>
      <c r="G515" s="501"/>
      <c r="H515" s="309"/>
      <c r="I515" s="261"/>
    </row>
    <row r="516" spans="3:9" ht="12.75" customHeight="1" x14ac:dyDescent="0.2">
      <c r="C516" s="498" t="s">
        <v>492</v>
      </c>
      <c r="D516" s="371"/>
      <c r="E516" s="371"/>
      <c r="F516" s="499"/>
      <c r="G516" s="501"/>
      <c r="H516" s="309"/>
      <c r="I516" s="261"/>
    </row>
    <row r="517" spans="3:9" ht="12.75" customHeight="1" thickBot="1" x14ac:dyDescent="0.25">
      <c r="C517" s="383"/>
      <c r="D517" s="372"/>
      <c r="E517" s="372"/>
      <c r="F517" s="372"/>
      <c r="G517" s="502"/>
      <c r="H517" s="309"/>
      <c r="I517" s="261"/>
    </row>
    <row r="518" spans="3:9" ht="12.75" customHeight="1" x14ac:dyDescent="0.2">
      <c r="H518" s="309"/>
      <c r="I518" s="261"/>
    </row>
    <row r="519" spans="3:9" ht="12.75" customHeight="1" x14ac:dyDescent="0.2">
      <c r="H519" s="309"/>
      <c r="I519" s="261"/>
    </row>
    <row r="520" spans="3:9" ht="12.75" customHeight="1" x14ac:dyDescent="0.2">
      <c r="H520" s="309"/>
      <c r="I520" s="261"/>
    </row>
    <row r="521" spans="3:9" ht="12.75" customHeight="1" x14ac:dyDescent="0.2">
      <c r="H521" s="309"/>
      <c r="I521" s="261"/>
    </row>
    <row r="522" spans="3:9" ht="12.75" customHeight="1" x14ac:dyDescent="0.2">
      <c r="H522" s="309"/>
      <c r="I522" s="261"/>
    </row>
    <row r="523" spans="3:9" ht="12.75" customHeight="1" x14ac:dyDescent="0.2">
      <c r="H523" s="309"/>
      <c r="I523" s="261"/>
    </row>
    <row r="524" spans="3:9" ht="12.75" customHeight="1" x14ac:dyDescent="0.2">
      <c r="H524" s="309"/>
      <c r="I524" s="261"/>
    </row>
    <row r="525" spans="3:9" ht="12.75" customHeight="1" x14ac:dyDescent="0.2">
      <c r="H525" s="309"/>
      <c r="I525" s="261"/>
    </row>
    <row r="526" spans="3:9" ht="12.75" customHeight="1" x14ac:dyDescent="0.2">
      <c r="H526" s="309"/>
      <c r="I526" s="261"/>
    </row>
    <row r="527" spans="3:9" ht="12.75" customHeight="1" x14ac:dyDescent="0.2">
      <c r="H527" s="252"/>
    </row>
    <row r="528" spans="3:9" ht="12.75" customHeight="1" x14ac:dyDescent="0.2">
      <c r="E528" s="297"/>
      <c r="F528" s="188"/>
    </row>
    <row r="529" spans="5:11" ht="12.75" customHeight="1" x14ac:dyDescent="0.2">
      <c r="E529" s="297"/>
      <c r="F529" s="188"/>
    </row>
    <row r="531" spans="5:11" ht="12.75" customHeight="1" x14ac:dyDescent="0.2">
      <c r="K531" s="297"/>
    </row>
    <row r="532" spans="5:11" ht="12.75" customHeight="1" x14ac:dyDescent="0.2">
      <c r="K532" s="297"/>
    </row>
    <row r="538" spans="5:11" ht="12.75" customHeight="1" x14ac:dyDescent="0.2">
      <c r="H538" s="188"/>
    </row>
    <row r="539" spans="5:11" ht="12.75" customHeight="1" x14ac:dyDescent="0.2">
      <c r="H539" s="188"/>
    </row>
  </sheetData>
  <mergeCells count="2">
    <mergeCell ref="F3:G3"/>
    <mergeCell ref="C483:G483"/>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83">
    <cfRule type="cellIs" dxfId="5" priority="301" stopIfTrue="1" operator="notEqual">
      <formula>0</formula>
    </cfRule>
    <cfRule type="cellIs" dxfId="4" priority="302" stopIfTrue="1" operator="equal">
      <formula>0</formula>
    </cfRule>
  </conditionalFormatting>
  <conditionalFormatting sqref="H485:H487">
    <cfRule type="cellIs" dxfId="3" priority="299" stopIfTrue="1" operator="notEqual">
      <formula>0</formula>
    </cfRule>
    <cfRule type="cellIs" dxfId="2" priority="300" stopIfTrue="1" operator="equal">
      <formula>0</formula>
    </cfRule>
  </conditionalFormatting>
  <pageMargins left="1" right="0.1" top="0.5" bottom="0.5" header="0" footer="0.1"/>
  <pageSetup scale="85" fitToHeight="3" orientation="portrait"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CCC"/>
  </sheetPr>
  <dimension ref="A1:V218"/>
  <sheetViews>
    <sheetView showGridLines="0" zoomScaleNormal="100" workbookViewId="0">
      <pane ySplit="1" topLeftCell="A106"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114</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91.99</v>
      </c>
      <c r="D14" s="143">
        <v>88.09</v>
      </c>
      <c r="E14" s="187">
        <f>IF(D$30=0,C14*2,C14+D14)</f>
        <v>180.07999999999998</v>
      </c>
      <c r="F14" s="558">
        <f>'1461'!F14:G14</f>
        <v>1.1220000000000001</v>
      </c>
      <c r="G14" s="558"/>
      <c r="H14" s="145">
        <f>ROUND(E14*F14,4)</f>
        <v>202.0498</v>
      </c>
      <c r="I14" s="111">
        <f>ROUND(ROUND(ROUND(H14*$C$8,4)*($H$8),2)*(MAX($H$9,1)),2)</f>
        <v>1084382.3</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15.48</v>
      </c>
      <c r="D15" s="143">
        <v>15.01</v>
      </c>
      <c r="E15" s="116">
        <f t="shared" ref="E15:E29" si="1">IF(D$30=0,C15*2,C15+D15)</f>
        <v>30.490000000000002</v>
      </c>
      <c r="F15" s="555">
        <f>'1461'!F15:G15</f>
        <v>1.1220000000000001</v>
      </c>
      <c r="G15" s="555"/>
      <c r="H15" s="80">
        <f t="shared" ref="H15:H29" si="2">ROUND(E15*F15,4)</f>
        <v>34.209800000000001</v>
      </c>
      <c r="I15" s="101">
        <f t="shared" ref="I15:I29" si="3">ROUND(ROUND(ROUND(H15*$C$8,4)*($H$8),2)*(MAX($H$9,1)),2)</f>
        <v>183600.78</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141.65</v>
      </c>
      <c r="D16" s="143">
        <v>138.54</v>
      </c>
      <c r="E16" s="116">
        <f t="shared" si="1"/>
        <v>280.19</v>
      </c>
      <c r="F16" s="555">
        <f>'1461'!F16:G16</f>
        <v>1</v>
      </c>
      <c r="G16" s="555"/>
      <c r="H16" s="80">
        <f t="shared" si="2"/>
        <v>280.19</v>
      </c>
      <c r="I16" s="101">
        <f t="shared" si="3"/>
        <v>1503753.41</v>
      </c>
      <c r="N16" s="568" t="s">
        <v>22</v>
      </c>
      <c r="O16" s="568"/>
      <c r="P16" s="569">
        <f t="shared" si="0"/>
        <v>0</v>
      </c>
      <c r="Q16" s="569"/>
      <c r="R16" s="570">
        <v>1</v>
      </c>
      <c r="S16" s="570"/>
      <c r="T16" s="95">
        <f t="shared" si="4"/>
        <v>0</v>
      </c>
      <c r="U16" s="475">
        <f t="shared" si="5"/>
        <v>0</v>
      </c>
    </row>
    <row r="17" spans="1:21" x14ac:dyDescent="0.25">
      <c r="A17" s="517" t="s">
        <v>23</v>
      </c>
      <c r="B17" s="517"/>
      <c r="C17" s="143">
        <v>35.119999999999997</v>
      </c>
      <c r="D17" s="143">
        <v>33.909999999999997</v>
      </c>
      <c r="E17" s="116">
        <f t="shared" si="1"/>
        <v>69.03</v>
      </c>
      <c r="F17" s="555">
        <f>'1461'!F17:G17</f>
        <v>1</v>
      </c>
      <c r="G17" s="555"/>
      <c r="H17" s="80">
        <f t="shared" si="2"/>
        <v>69.03</v>
      </c>
      <c r="I17" s="101">
        <f t="shared" si="3"/>
        <v>370477.53</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6.99</v>
      </c>
      <c r="D26" s="143">
        <v>7.01</v>
      </c>
      <c r="E26" s="116">
        <f t="shared" si="1"/>
        <v>14</v>
      </c>
      <c r="F26" s="555">
        <f>'1461'!F26:G26</f>
        <v>1.208</v>
      </c>
      <c r="G26" s="555"/>
      <c r="H26" s="80">
        <f t="shared" si="2"/>
        <v>16.911999999999999</v>
      </c>
      <c r="I26" s="101">
        <f t="shared" si="3"/>
        <v>90765.119999999995</v>
      </c>
      <c r="N26" s="568" t="s">
        <v>85</v>
      </c>
      <c r="O26" s="568"/>
      <c r="P26" s="569">
        <f t="shared" si="0"/>
        <v>0</v>
      </c>
      <c r="Q26" s="569"/>
      <c r="R26" s="570">
        <v>1</v>
      </c>
      <c r="S26" s="570"/>
      <c r="T26" s="95">
        <f t="shared" si="4"/>
        <v>0</v>
      </c>
      <c r="U26" s="475">
        <f t="shared" si="5"/>
        <v>0</v>
      </c>
    </row>
    <row r="27" spans="1:21" x14ac:dyDescent="0.25">
      <c r="A27" s="517" t="s">
        <v>86</v>
      </c>
      <c r="B27" s="517"/>
      <c r="C27" s="143">
        <v>0.77</v>
      </c>
      <c r="D27" s="143">
        <v>0.84</v>
      </c>
      <c r="E27" s="116">
        <f t="shared" si="1"/>
        <v>1.6099999999999999</v>
      </c>
      <c r="F27" s="555">
        <f>'1461'!F27:G27</f>
        <v>1.208</v>
      </c>
      <c r="G27" s="555"/>
      <c r="H27" s="80">
        <f t="shared" si="2"/>
        <v>1.9449000000000001</v>
      </c>
      <c r="I27" s="101">
        <f t="shared" si="3"/>
        <v>10438.1</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292</v>
      </c>
      <c r="D30" s="94">
        <f>SUM(D14:D29)</f>
        <v>283.39999999999992</v>
      </c>
      <c r="E30" s="94">
        <f>SUM(E14:E29)</f>
        <v>575.4</v>
      </c>
      <c r="F30" s="536"/>
      <c r="G30" s="536"/>
      <c r="H30" s="99">
        <f>SUM(H14:H29)</f>
        <v>604.3365</v>
      </c>
      <c r="I30" s="94">
        <f>SUM(I14:I29)</f>
        <v>3243417.2400000007</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604.3365</v>
      </c>
      <c r="F46" s="34"/>
      <c r="G46" s="106"/>
      <c r="H46" s="107" t="s">
        <v>98</v>
      </c>
      <c r="I46" s="94">
        <f>SUM(I44,I30)</f>
        <v>3243417.2400000007</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3243417.2400000007</v>
      </c>
      <c r="G51" s="109" t="s">
        <v>6</v>
      </c>
      <c r="H51" s="403">
        <v>4.5199999999999997E-2</v>
      </c>
      <c r="I51" s="101">
        <f>ROUND(F51*H51,2)</f>
        <v>146602.46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3243417.2400000007</v>
      </c>
      <c r="G52" s="109" t="s">
        <v>6</v>
      </c>
      <c r="H52" s="403">
        <v>1.41E-2</v>
      </c>
      <c r="I52" s="101">
        <f>ROUND(F52*H52,2)</f>
        <v>45732.18</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192334.63999999998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12.38</v>
      </c>
      <c r="D57" s="143">
        <v>12.09</v>
      </c>
      <c r="E57" s="116">
        <f t="shared" ref="E57:E65" si="10">IF(D$72=0,C57*2,C57+D57)</f>
        <v>24.47</v>
      </c>
      <c r="F57" s="445" t="s">
        <v>439</v>
      </c>
      <c r="G57" s="445">
        <v>251</v>
      </c>
      <c r="H57" s="459">
        <f>'1461'!H57</f>
        <v>1047</v>
      </c>
      <c r="I57" s="101">
        <f>ROUND(E57*H57,2)</f>
        <v>25620.09</v>
      </c>
      <c r="N57" s="618" t="s">
        <v>447</v>
      </c>
      <c r="O57" s="618"/>
      <c r="P57" s="621"/>
      <c r="Q57" s="621"/>
      <c r="R57" s="451" t="s">
        <v>439</v>
      </c>
      <c r="S57" s="451">
        <v>251</v>
      </c>
      <c r="T57" s="462">
        <f>H57</f>
        <v>1047</v>
      </c>
      <c r="U57" s="476">
        <f>ROUND(P57*T57,2)</f>
        <v>0</v>
      </c>
      <c r="V57" s="426"/>
    </row>
    <row r="58" spans="1:22" x14ac:dyDescent="0.25">
      <c r="A58" s="533"/>
      <c r="B58" s="533"/>
      <c r="C58" s="143">
        <v>3.1</v>
      </c>
      <c r="D58" s="143">
        <v>2.92</v>
      </c>
      <c r="E58" s="116">
        <f t="shared" si="10"/>
        <v>6.02</v>
      </c>
      <c r="F58" s="445" t="s">
        <v>439</v>
      </c>
      <c r="G58" s="445">
        <v>252</v>
      </c>
      <c r="H58" s="459">
        <f>'1461'!H58</f>
        <v>3380</v>
      </c>
      <c r="I58" s="101">
        <f t="shared" ref="I58:I65" si="11">ROUND(E58*H58,2)</f>
        <v>20347.599999999999</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31.61</v>
      </c>
      <c r="D60" s="143">
        <v>30.5</v>
      </c>
      <c r="E60" s="116">
        <f t="shared" si="10"/>
        <v>62.11</v>
      </c>
      <c r="F60" s="446" t="s">
        <v>13</v>
      </c>
      <c r="G60" s="445">
        <v>251</v>
      </c>
      <c r="H60" s="459">
        <f>'1461'!H60</f>
        <v>1173</v>
      </c>
      <c r="I60" s="101">
        <f t="shared" si="11"/>
        <v>72855.03</v>
      </c>
      <c r="N60" s="619"/>
      <c r="O60" s="619"/>
      <c r="P60" s="622"/>
      <c r="Q60" s="622"/>
      <c r="R60" s="40" t="s">
        <v>13</v>
      </c>
      <c r="S60" s="451">
        <v>251</v>
      </c>
      <c r="T60" s="462">
        <f t="shared" si="12"/>
        <v>1173</v>
      </c>
      <c r="U60" s="476">
        <f t="shared" si="13"/>
        <v>0</v>
      </c>
      <c r="V60" s="426"/>
    </row>
    <row r="61" spans="1:22" x14ac:dyDescent="0.25">
      <c r="A61" s="533"/>
      <c r="B61" s="533"/>
      <c r="C61" s="143">
        <v>3.51</v>
      </c>
      <c r="D61" s="143">
        <v>3.41</v>
      </c>
      <c r="E61" s="116">
        <f t="shared" si="10"/>
        <v>6.92</v>
      </c>
      <c r="F61" s="446" t="s">
        <v>13</v>
      </c>
      <c r="G61" s="445">
        <v>252</v>
      </c>
      <c r="H61" s="459">
        <f>'1461'!H61</f>
        <v>3506</v>
      </c>
      <c r="I61" s="101">
        <f t="shared" si="11"/>
        <v>24261.52</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50.6</v>
      </c>
      <c r="D66" s="97">
        <f>SUM(D57:D65)</f>
        <v>48.92</v>
      </c>
      <c r="E66" s="97">
        <f>SUM(E57:E65)</f>
        <v>99.52</v>
      </c>
      <c r="F66" s="520" t="s">
        <v>448</v>
      </c>
      <c r="G66" s="520"/>
      <c r="H66" s="520"/>
      <c r="I66" s="97">
        <f>SUM(I57:I65)</f>
        <v>143084.24</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575.4</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2.8300000000000001E-3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604.3365</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2.6559999999999999E-3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575.4</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3.0790000000000001E-3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575.4</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2.833E-3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575.4</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3.0820000000000001E-3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2.833E-3</v>
      </c>
      <c r="I85" s="101">
        <f>ROUND(F85*H85,2)</f>
        <v>126537.46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2.8300000000000001E-3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3.0820000000000001E-3</v>
      </c>
      <c r="I90" s="101">
        <f>ROUND(F90*H90,2)</f>
        <v>49826.85</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3.0790000000000001E-3</v>
      </c>
      <c r="I92" s="101">
        <f t="shared" ref="I92:I96" si="14">ROUND(F92*H92,2)</f>
        <v>30913.46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2.6559999999999999E-3</v>
      </c>
      <c r="I94" s="101">
        <f t="shared" si="14"/>
        <v>634777.81999999995</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2.6559999999999999E-3</v>
      </c>
      <c r="I96" s="101">
        <f t="shared" si="14"/>
        <v>-4249.72</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253.17160000000001</v>
      </c>
      <c r="D101" s="515"/>
      <c r="E101" s="46">
        <f>H8</f>
        <v>1.0442</v>
      </c>
      <c r="F101" s="304">
        <f>'1461'!F101</f>
        <v>947.59</v>
      </c>
      <c r="G101" s="39" t="s">
        <v>12</v>
      </c>
      <c r="H101" s="101">
        <f>ROUND(C101*E101*F101,2)</f>
        <v>250506.58</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351.16490000000005</v>
      </c>
      <c r="D102" s="515"/>
      <c r="E102" s="46">
        <f>H8</f>
        <v>1.0442</v>
      </c>
      <c r="F102" s="304">
        <f>'1461'!F102</f>
        <v>904.74</v>
      </c>
      <c r="G102" s="39" t="s">
        <v>12</v>
      </c>
      <c r="H102" s="101">
        <f>ROUND(C102*E102*F102,2)</f>
        <v>331755.84000000003</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604.33650000000011</v>
      </c>
      <c r="D104" s="528"/>
      <c r="E104" s="123"/>
      <c r="F104" s="123"/>
      <c r="G104" s="123"/>
      <c r="H104" s="124" t="s">
        <v>100</v>
      </c>
      <c r="I104" s="101">
        <f>IF(A1=75,0,H103+H102+H101)</f>
        <v>582262.42000000004</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1</v>
      </c>
      <c r="E110" s="116">
        <f>(C110+D110)/2</f>
        <v>0.5</v>
      </c>
      <c r="F110" s="126" t="s">
        <v>30</v>
      </c>
      <c r="G110" s="305">
        <f>'1461'!G110</f>
        <v>565</v>
      </c>
      <c r="I110" s="101">
        <f>ROUND(G110*E110,2)</f>
        <v>282.5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4806852.2700000005</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4614517.6300000008</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4614517.6300000008</v>
      </c>
      <c r="I132" s="94">
        <f>ROUND(IF(E30=0,0,IF(E30&gt;250,-(((250/E30)*H132)*IF(G132="H",0.02,0.05)),IF(G132="H",-0.02*H132,-0.05*H132))),2)</f>
        <v>-40098.35</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4766753.9200000009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-416679.61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4350074.3100000005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395461.3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52192.002600000014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CCC"/>
  </sheetPr>
  <dimension ref="A1:V218"/>
  <sheetViews>
    <sheetView showGridLines="0" zoomScaleNormal="100" workbookViewId="0">
      <pane ySplit="1" topLeftCell="A109" activePane="bottomLeft" state="frozen"/>
      <selection activeCell="F97" sqref="F97"/>
      <selection pane="bottomLeft" activeCell="C3" sqref="C3"/>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115</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0.25</v>
      </c>
      <c r="D14" s="143">
        <v>0</v>
      </c>
      <c r="E14" s="187">
        <f>IF(D$30=0,C14*2,C14+D14)</f>
        <v>0.25</v>
      </c>
      <c r="F14" s="558">
        <f>'1461'!F14:G14</f>
        <v>1.1220000000000001</v>
      </c>
      <c r="G14" s="558"/>
      <c r="H14" s="145">
        <f>ROUND(E14*F14,4)</f>
        <v>0.28050000000000003</v>
      </c>
      <c r="I14" s="111">
        <f>ROUND(ROUND(ROUND(H14*$C$8,4)*($H$8),2)*(MAX($H$9,1)),2)</f>
        <v>1505.42</v>
      </c>
      <c r="N14" s="574" t="s">
        <v>20</v>
      </c>
      <c r="O14" s="574"/>
      <c r="P14" s="569">
        <f t="shared" ref="P14:P29" si="0">IF($H$130=1,E14,0)</f>
        <v>0.25</v>
      </c>
      <c r="Q14" s="569"/>
      <c r="R14" s="575">
        <v>1</v>
      </c>
      <c r="S14" s="575"/>
      <c r="T14" s="95">
        <f>ROUND(P14*R14,4)</f>
        <v>0.25</v>
      </c>
      <c r="U14" s="475">
        <f>ROUND(ROUND(ROUND(T14*$C$8,4)*($H$8),2)*(MAX($H$9,1)),2)</f>
        <v>1341.73</v>
      </c>
    </row>
    <row r="15" spans="1:21" x14ac:dyDescent="0.25">
      <c r="A15" s="517" t="s">
        <v>21</v>
      </c>
      <c r="B15" s="517"/>
      <c r="C15" s="143">
        <v>4.75</v>
      </c>
      <c r="D15" s="143">
        <v>6</v>
      </c>
      <c r="E15" s="116">
        <f t="shared" ref="E15:E29" si="1">IF(D$30=0,C15*2,C15+D15)</f>
        <v>10.75</v>
      </c>
      <c r="F15" s="555">
        <f>'1461'!F15:G15</f>
        <v>1.1220000000000001</v>
      </c>
      <c r="G15" s="555"/>
      <c r="H15" s="80">
        <f t="shared" ref="H15:H29" si="2">ROUND(E15*F15,4)</f>
        <v>12.061500000000001</v>
      </c>
      <c r="I15" s="101">
        <f t="shared" ref="I15:I29" si="3">ROUND(ROUND(ROUND(H15*$C$8,4)*($H$8),2)*(MAX($H$9,1)),2)</f>
        <v>64732.94</v>
      </c>
      <c r="J15" s="65" t="str">
        <f>IF(ROUND(E15,2)=ROUND(SUM(E57:E59),2)," ","CHECK PK-3 LINES BELOW")</f>
        <v xml:space="preserve"> </v>
      </c>
      <c r="N15" s="568" t="s">
        <v>21</v>
      </c>
      <c r="O15" s="568"/>
      <c r="P15" s="569">
        <f t="shared" si="0"/>
        <v>10.75</v>
      </c>
      <c r="Q15" s="569"/>
      <c r="R15" s="570">
        <v>1</v>
      </c>
      <c r="S15" s="570"/>
      <c r="T15" s="95">
        <f t="shared" ref="T15:T29" si="4">ROUND(P15*R15,4)</f>
        <v>10.75</v>
      </c>
      <c r="U15" s="475">
        <f t="shared" ref="U15:U29" si="5">ROUND(ROUND(ROUND(T15*$C$8,4)*($H$8),2)*(MAX($H$9,1)),2)</f>
        <v>57694.239999999998</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11</v>
      </c>
      <c r="D17" s="143">
        <v>10.5</v>
      </c>
      <c r="E17" s="116">
        <f t="shared" si="1"/>
        <v>21.5</v>
      </c>
      <c r="F17" s="555">
        <f>'1461'!F17:G17</f>
        <v>1</v>
      </c>
      <c r="G17" s="555"/>
      <c r="H17" s="80">
        <f t="shared" si="2"/>
        <v>21.5</v>
      </c>
      <c r="I17" s="101">
        <f t="shared" si="3"/>
        <v>115388.48</v>
      </c>
      <c r="J17" s="65" t="str">
        <f>IF(ROUND(E17,2)=ROUND(SUM(E60:E62),2)," ","CHECK 4-8 LINES BELOW")</f>
        <v xml:space="preserve"> </v>
      </c>
      <c r="N17" s="568" t="s">
        <v>23</v>
      </c>
      <c r="O17" s="568"/>
      <c r="P17" s="569">
        <f t="shared" si="0"/>
        <v>21.5</v>
      </c>
      <c r="Q17" s="569"/>
      <c r="R17" s="570">
        <v>1</v>
      </c>
      <c r="S17" s="570"/>
      <c r="T17" s="95">
        <f t="shared" si="4"/>
        <v>21.5</v>
      </c>
      <c r="U17" s="475">
        <f t="shared" si="5"/>
        <v>115388.48</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21.84</v>
      </c>
      <c r="D19" s="143">
        <v>24.98</v>
      </c>
      <c r="E19" s="116">
        <f t="shared" si="1"/>
        <v>46.82</v>
      </c>
      <c r="F19" s="555">
        <f>'1461'!F19:G19</f>
        <v>0.98799999999999999</v>
      </c>
      <c r="G19" s="555"/>
      <c r="H19" s="80">
        <f t="shared" si="2"/>
        <v>46.258200000000002</v>
      </c>
      <c r="I19" s="101">
        <f t="shared" si="3"/>
        <v>248263.41</v>
      </c>
      <c r="J19" s="65" t="str">
        <f>IF(ROUND(E19,2)=ROUND(SUM(E63:E65),2)," ","CHECK 4-8 LINES BELOW")</f>
        <v xml:space="preserve"> </v>
      </c>
      <c r="N19" s="568" t="s">
        <v>25</v>
      </c>
      <c r="O19" s="568"/>
      <c r="P19" s="569">
        <f t="shared" si="0"/>
        <v>46.82</v>
      </c>
      <c r="Q19" s="569"/>
      <c r="R19" s="570">
        <v>1</v>
      </c>
      <c r="S19" s="570"/>
      <c r="T19" s="95">
        <f t="shared" si="4"/>
        <v>46.82</v>
      </c>
      <c r="U19" s="474">
        <f t="shared" si="5"/>
        <v>251278.54</v>
      </c>
    </row>
    <row r="20" spans="1:21" x14ac:dyDescent="0.25">
      <c r="A20" s="517" t="s">
        <v>79</v>
      </c>
      <c r="B20" s="517"/>
      <c r="C20" s="143">
        <v>51.5</v>
      </c>
      <c r="D20" s="143">
        <v>53</v>
      </c>
      <c r="E20" s="116">
        <f t="shared" si="1"/>
        <v>104.5</v>
      </c>
      <c r="F20" s="555">
        <f>'1461'!F20:G20</f>
        <v>3.706</v>
      </c>
      <c r="G20" s="555"/>
      <c r="H20" s="80">
        <f t="shared" si="2"/>
        <v>387.27699999999999</v>
      </c>
      <c r="I20" s="101">
        <f t="shared" si="3"/>
        <v>2078479.28</v>
      </c>
      <c r="N20" s="568" t="s">
        <v>79</v>
      </c>
      <c r="O20" s="568"/>
      <c r="P20" s="569">
        <f t="shared" si="0"/>
        <v>104.5</v>
      </c>
      <c r="Q20" s="569"/>
      <c r="R20" s="570">
        <v>1</v>
      </c>
      <c r="S20" s="570"/>
      <c r="T20" s="95">
        <f t="shared" si="4"/>
        <v>104.5</v>
      </c>
      <c r="U20" s="475">
        <f t="shared" si="5"/>
        <v>560841.68000000005</v>
      </c>
    </row>
    <row r="21" spans="1:21" x14ac:dyDescent="0.25">
      <c r="A21" s="517" t="s">
        <v>80</v>
      </c>
      <c r="B21" s="517"/>
      <c r="C21" s="143">
        <v>31.5</v>
      </c>
      <c r="D21" s="143">
        <v>32</v>
      </c>
      <c r="E21" s="116">
        <f t="shared" si="1"/>
        <v>63.5</v>
      </c>
      <c r="F21" s="555">
        <f>'1461'!F21:G21</f>
        <v>3.706</v>
      </c>
      <c r="G21" s="555"/>
      <c r="H21" s="80">
        <f t="shared" si="2"/>
        <v>235.33099999999999</v>
      </c>
      <c r="I21" s="101">
        <f t="shared" si="3"/>
        <v>1262999.3700000001</v>
      </c>
      <c r="N21" s="568" t="s">
        <v>80</v>
      </c>
      <c r="O21" s="568"/>
      <c r="P21" s="569">
        <f t="shared" si="0"/>
        <v>63.5</v>
      </c>
      <c r="Q21" s="569"/>
      <c r="R21" s="570">
        <v>1</v>
      </c>
      <c r="S21" s="570"/>
      <c r="T21" s="95">
        <f t="shared" si="4"/>
        <v>63.5</v>
      </c>
      <c r="U21" s="475">
        <f t="shared" si="5"/>
        <v>340798.54</v>
      </c>
    </row>
    <row r="22" spans="1:21" x14ac:dyDescent="0.25">
      <c r="A22" s="517" t="s">
        <v>81</v>
      </c>
      <c r="B22" s="517"/>
      <c r="C22" s="143">
        <v>30.5</v>
      </c>
      <c r="D22" s="143">
        <v>30.46</v>
      </c>
      <c r="E22" s="116">
        <f t="shared" si="1"/>
        <v>60.96</v>
      </c>
      <c r="F22" s="555">
        <f>'1461'!F22:G22</f>
        <v>3.706</v>
      </c>
      <c r="G22" s="555"/>
      <c r="H22" s="80">
        <f t="shared" si="2"/>
        <v>225.9178</v>
      </c>
      <c r="I22" s="101">
        <f t="shared" si="3"/>
        <v>1212479.6100000001</v>
      </c>
      <c r="N22" s="568" t="s">
        <v>81</v>
      </c>
      <c r="O22" s="568"/>
      <c r="P22" s="569">
        <f t="shared" si="0"/>
        <v>60.96</v>
      </c>
      <c r="Q22" s="569"/>
      <c r="R22" s="570">
        <v>1</v>
      </c>
      <c r="S22" s="570"/>
      <c r="T22" s="95">
        <f t="shared" si="4"/>
        <v>60.96</v>
      </c>
      <c r="U22" s="475">
        <f t="shared" si="5"/>
        <v>327166.59000000003</v>
      </c>
    </row>
    <row r="23" spans="1:21" x14ac:dyDescent="0.25">
      <c r="A23" s="517" t="s">
        <v>82</v>
      </c>
      <c r="B23" s="517"/>
      <c r="C23" s="143">
        <v>6</v>
      </c>
      <c r="D23" s="143">
        <v>5</v>
      </c>
      <c r="E23" s="116">
        <f t="shared" si="1"/>
        <v>11</v>
      </c>
      <c r="F23" s="555">
        <f>'1461'!F23:G23</f>
        <v>5.7069999999999999</v>
      </c>
      <c r="G23" s="555"/>
      <c r="H23" s="80">
        <f t="shared" si="2"/>
        <v>62.777000000000001</v>
      </c>
      <c r="I23" s="101">
        <f t="shared" si="3"/>
        <v>336918.26</v>
      </c>
      <c r="N23" s="568" t="s">
        <v>82</v>
      </c>
      <c r="O23" s="568"/>
      <c r="P23" s="569">
        <f t="shared" si="0"/>
        <v>11</v>
      </c>
      <c r="Q23" s="569"/>
      <c r="R23" s="570">
        <v>1</v>
      </c>
      <c r="S23" s="570"/>
      <c r="T23" s="95">
        <f t="shared" si="4"/>
        <v>11</v>
      </c>
      <c r="U23" s="475">
        <f t="shared" si="5"/>
        <v>59035.97</v>
      </c>
    </row>
    <row r="24" spans="1:21" x14ac:dyDescent="0.25">
      <c r="A24" s="517" t="s">
        <v>83</v>
      </c>
      <c r="B24" s="517"/>
      <c r="C24" s="143">
        <v>19.5</v>
      </c>
      <c r="D24" s="143">
        <v>17.5</v>
      </c>
      <c r="E24" s="116">
        <f t="shared" si="1"/>
        <v>37</v>
      </c>
      <c r="F24" s="555">
        <f>'1461'!F24:G24</f>
        <v>5.7069999999999999</v>
      </c>
      <c r="G24" s="555"/>
      <c r="H24" s="80">
        <f t="shared" si="2"/>
        <v>211.15899999999999</v>
      </c>
      <c r="I24" s="101">
        <f t="shared" si="3"/>
        <v>1133270.52</v>
      </c>
      <c r="N24" s="568" t="s">
        <v>83</v>
      </c>
      <c r="O24" s="568"/>
      <c r="P24" s="569">
        <f t="shared" si="0"/>
        <v>37</v>
      </c>
      <c r="Q24" s="569"/>
      <c r="R24" s="570">
        <v>1</v>
      </c>
      <c r="S24" s="570"/>
      <c r="T24" s="95">
        <f t="shared" si="4"/>
        <v>37</v>
      </c>
      <c r="U24" s="475">
        <f t="shared" si="5"/>
        <v>198575.52</v>
      </c>
    </row>
    <row r="25" spans="1:21" x14ac:dyDescent="0.25">
      <c r="A25" s="517" t="s">
        <v>84</v>
      </c>
      <c r="B25" s="517"/>
      <c r="C25" s="143">
        <v>16</v>
      </c>
      <c r="D25" s="143">
        <v>14.18</v>
      </c>
      <c r="E25" s="116">
        <f t="shared" si="1"/>
        <v>30.18</v>
      </c>
      <c r="F25" s="555">
        <f>'1461'!F25:G25</f>
        <v>5.7069999999999999</v>
      </c>
      <c r="G25" s="555"/>
      <c r="H25" s="80">
        <f t="shared" si="2"/>
        <v>172.2373</v>
      </c>
      <c r="I25" s="101">
        <f t="shared" si="3"/>
        <v>924381.41</v>
      </c>
      <c r="N25" s="568" t="s">
        <v>84</v>
      </c>
      <c r="O25" s="568"/>
      <c r="P25" s="569">
        <f t="shared" si="0"/>
        <v>30.18</v>
      </c>
      <c r="Q25" s="569"/>
      <c r="R25" s="570">
        <v>1</v>
      </c>
      <c r="S25" s="570"/>
      <c r="T25" s="95">
        <f t="shared" si="4"/>
        <v>30.18</v>
      </c>
      <c r="U25" s="475">
        <f t="shared" si="5"/>
        <v>161973.23000000001</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192.84</v>
      </c>
      <c r="D30" s="94">
        <f>SUM(D14:D29)</f>
        <v>193.62</v>
      </c>
      <c r="E30" s="94">
        <f>SUM(E14:E29)</f>
        <v>386.46</v>
      </c>
      <c r="F30" s="536"/>
      <c r="G30" s="536"/>
      <c r="H30" s="99">
        <f>SUM(H14:H29)</f>
        <v>1374.7992999999999</v>
      </c>
      <c r="I30" s="94">
        <f>SUM(I14:I29)</f>
        <v>7378418.7000000011</v>
      </c>
      <c r="N30" s="587" t="s">
        <v>5</v>
      </c>
      <c r="O30" s="587"/>
      <c r="P30" s="588">
        <f>SUM(P14:P29)</f>
        <v>386.46</v>
      </c>
      <c r="Q30" s="588"/>
      <c r="R30" s="589"/>
      <c r="S30" s="589"/>
      <c r="T30" s="100">
        <f>SUM(T14:T29)</f>
        <v>386.46</v>
      </c>
      <c r="U30" s="475">
        <f>SUM(U14:U29)</f>
        <v>2074094.52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1374.7992999999999</v>
      </c>
      <c r="F46" s="34"/>
      <c r="G46" s="106"/>
      <c r="H46" s="107" t="s">
        <v>98</v>
      </c>
      <c r="I46" s="94">
        <f>SUM(I44,I30)</f>
        <v>7378418.7000000011</v>
      </c>
      <c r="N46" s="613" t="s">
        <v>44</v>
      </c>
      <c r="O46" s="613"/>
      <c r="P46" s="613"/>
      <c r="Q46" s="613"/>
      <c r="R46" s="35">
        <f>R44+T30</f>
        <v>386.46</v>
      </c>
      <c r="S46" s="589" t="s">
        <v>42</v>
      </c>
      <c r="T46" s="589"/>
      <c r="U46" s="108">
        <f>SUM(U44,U30)</f>
        <v>2074094.52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7378418.7000000011</v>
      </c>
      <c r="G51" s="109" t="s">
        <v>6</v>
      </c>
      <c r="H51" s="403">
        <v>4.5199999999999997E-2</v>
      </c>
      <c r="I51" s="101">
        <f>ROUND(F51*H51,2)</f>
        <v>333504.53000000003</v>
      </c>
      <c r="N51" s="408"/>
      <c r="O51" s="409" t="s">
        <v>398</v>
      </c>
      <c r="P51" s="28"/>
      <c r="Q51" s="44" t="s">
        <v>399</v>
      </c>
      <c r="R51" s="410">
        <f>U30</f>
        <v>2074094.52</v>
      </c>
      <c r="S51" s="411" t="s">
        <v>6</v>
      </c>
      <c r="T51" s="412">
        <v>4.5199999999999997E-2</v>
      </c>
      <c r="U51" s="404">
        <f>ROUND(R51*T51,2)</f>
        <v>93749.07</v>
      </c>
    </row>
    <row r="52" spans="1:22" x14ac:dyDescent="0.25">
      <c r="A52" s="26"/>
      <c r="B52" s="81" t="s">
        <v>400</v>
      </c>
      <c r="C52" s="26"/>
      <c r="D52" s="26"/>
      <c r="E52" s="43" t="s">
        <v>399</v>
      </c>
      <c r="F52" s="402">
        <f>I46</f>
        <v>7378418.7000000011</v>
      </c>
      <c r="G52" s="109" t="s">
        <v>6</v>
      </c>
      <c r="H52" s="403">
        <v>1.41E-2</v>
      </c>
      <c r="I52" s="101">
        <f>ROUND(F52*H52,2)</f>
        <v>104035.7</v>
      </c>
      <c r="N52" s="28"/>
      <c r="O52" s="385" t="s">
        <v>400</v>
      </c>
      <c r="P52" s="28"/>
      <c r="Q52" s="44" t="s">
        <v>399</v>
      </c>
      <c r="R52" s="410">
        <f>U30</f>
        <v>2074094.52</v>
      </c>
      <c r="S52" s="411" t="s">
        <v>6</v>
      </c>
      <c r="T52" s="412">
        <v>1.41E-2</v>
      </c>
      <c r="U52" s="413">
        <f>ROUND(R52*T52,2)</f>
        <v>29244.73</v>
      </c>
    </row>
    <row r="53" spans="1:22" x14ac:dyDescent="0.25">
      <c r="A53" s="26"/>
      <c r="B53" s="81" t="s">
        <v>401</v>
      </c>
      <c r="C53" s="26"/>
      <c r="D53" s="26"/>
      <c r="E53" s="43"/>
      <c r="F53" s="402"/>
      <c r="G53" s="109"/>
      <c r="H53" s="403"/>
      <c r="I53" s="97">
        <f>SUM(I51:I52)</f>
        <v>437540.23000000004</v>
      </c>
      <c r="N53" s="28"/>
      <c r="O53" s="385" t="s">
        <v>401</v>
      </c>
      <c r="P53" s="28"/>
      <c r="Q53" s="44"/>
      <c r="R53" s="410"/>
      <c r="S53" s="411"/>
      <c r="T53" s="412"/>
      <c r="U53" s="404">
        <f>SUM(U51:U52)</f>
        <v>122993.8</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4.75</v>
      </c>
      <c r="D59" s="143">
        <v>6</v>
      </c>
      <c r="E59" s="116">
        <f t="shared" si="10"/>
        <v>10.75</v>
      </c>
      <c r="F59" s="445" t="s">
        <v>439</v>
      </c>
      <c r="G59" s="445">
        <v>253</v>
      </c>
      <c r="H59" s="459">
        <f>'1461'!H59</f>
        <v>6896</v>
      </c>
      <c r="I59" s="101">
        <f t="shared" si="11"/>
        <v>74132</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11</v>
      </c>
      <c r="D62" s="143">
        <v>10.5</v>
      </c>
      <c r="E62" s="116">
        <f t="shared" si="10"/>
        <v>21.5</v>
      </c>
      <c r="F62" s="446" t="s">
        <v>13</v>
      </c>
      <c r="G62" s="445">
        <v>253</v>
      </c>
      <c r="H62" s="459">
        <f>'1461'!H62</f>
        <v>7023</v>
      </c>
      <c r="I62" s="101">
        <f t="shared" si="11"/>
        <v>150994.5</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1</v>
      </c>
      <c r="D64" s="143">
        <v>0.91</v>
      </c>
      <c r="E64" s="116">
        <f t="shared" si="10"/>
        <v>1.9100000000000001</v>
      </c>
      <c r="F64" s="446" t="s">
        <v>14</v>
      </c>
      <c r="G64" s="445">
        <v>252</v>
      </c>
      <c r="H64" s="459">
        <f>'1461'!H64</f>
        <v>3168</v>
      </c>
      <c r="I64" s="101">
        <f t="shared" si="11"/>
        <v>6050.88</v>
      </c>
      <c r="N64" s="619"/>
      <c r="O64" s="619"/>
      <c r="P64" s="622"/>
      <c r="Q64" s="622"/>
      <c r="R64" s="40" t="s">
        <v>14</v>
      </c>
      <c r="S64" s="451">
        <v>252</v>
      </c>
      <c r="T64" s="462">
        <f t="shared" si="12"/>
        <v>3168</v>
      </c>
      <c r="U64" s="476">
        <f t="shared" si="13"/>
        <v>0</v>
      </c>
      <c r="V64" s="426"/>
    </row>
    <row r="65" spans="1:22" ht="16.5" thickBot="1" x14ac:dyDescent="0.3">
      <c r="A65" s="533"/>
      <c r="B65" s="533"/>
      <c r="C65" s="143">
        <v>20.84</v>
      </c>
      <c r="D65" s="143">
        <v>24.07</v>
      </c>
      <c r="E65" s="116">
        <f t="shared" si="10"/>
        <v>44.91</v>
      </c>
      <c r="F65" s="446" t="s">
        <v>14</v>
      </c>
      <c r="G65" s="445">
        <v>253</v>
      </c>
      <c r="H65" s="459">
        <f>'1461'!H65</f>
        <v>6685</v>
      </c>
      <c r="I65" s="101">
        <f t="shared" si="11"/>
        <v>300223.34999999998</v>
      </c>
      <c r="N65" s="619"/>
      <c r="O65" s="619"/>
      <c r="P65" s="623"/>
      <c r="Q65" s="623"/>
      <c r="R65" s="40" t="s">
        <v>14</v>
      </c>
      <c r="S65" s="451">
        <v>253</v>
      </c>
      <c r="T65" s="462">
        <f t="shared" si="12"/>
        <v>6685</v>
      </c>
      <c r="U65" s="477">
        <f t="shared" si="13"/>
        <v>0</v>
      </c>
      <c r="V65" s="426"/>
    </row>
    <row r="66" spans="1:22" ht="16.5" thickBot="1" x14ac:dyDescent="0.3">
      <c r="A66" s="442"/>
      <c r="C66" s="97">
        <f>SUM(C57:C65)</f>
        <v>37.590000000000003</v>
      </c>
      <c r="D66" s="97">
        <f>SUM(D57:D65)</f>
        <v>41.480000000000004</v>
      </c>
      <c r="E66" s="97">
        <f>SUM(E57:E65)</f>
        <v>79.069999999999993</v>
      </c>
      <c r="F66" s="520" t="s">
        <v>448</v>
      </c>
      <c r="G66" s="520"/>
      <c r="H66" s="520"/>
      <c r="I66" s="97">
        <f>SUM(I57:I65)</f>
        <v>531400.73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386.46</v>
      </c>
      <c r="D69" s="530" t="s">
        <v>413</v>
      </c>
      <c r="E69" s="530"/>
      <c r="F69" s="530"/>
      <c r="G69" s="530"/>
      <c r="H69" s="301">
        <f>'1461'!H69</f>
        <v>203305.63</v>
      </c>
      <c r="I69" s="113"/>
      <c r="N69" s="591" t="s">
        <v>406</v>
      </c>
      <c r="O69" s="568"/>
      <c r="P69" s="41">
        <f>P30</f>
        <v>386.46</v>
      </c>
      <c r="Q69" s="596" t="s">
        <v>408</v>
      </c>
      <c r="R69" s="597"/>
      <c r="S69" s="597"/>
      <c r="T69" s="595">
        <f>H69</f>
        <v>203305.63</v>
      </c>
      <c r="U69" s="595"/>
    </row>
    <row r="70" spans="1:22" x14ac:dyDescent="0.25">
      <c r="B70" s="69"/>
      <c r="G70" s="42" t="s">
        <v>12</v>
      </c>
      <c r="H70" s="114">
        <f>ROUND(C69/H69,6)</f>
        <v>1.9009999999999999E-3</v>
      </c>
      <c r="I70" s="115"/>
      <c r="N70" s="568"/>
      <c r="O70" s="568"/>
      <c r="P70" s="568"/>
      <c r="Q70" s="568"/>
      <c r="R70" s="568"/>
      <c r="S70" s="568"/>
      <c r="T70" s="598">
        <f>ROUND(P69/T69,6)</f>
        <v>1.9009999999999999E-3</v>
      </c>
      <c r="U70" s="598"/>
    </row>
    <row r="71" spans="1:22" x14ac:dyDescent="0.25">
      <c r="A71" s="444" t="s">
        <v>451</v>
      </c>
      <c r="N71" s="455" t="s">
        <v>459</v>
      </c>
      <c r="O71" s="51"/>
      <c r="P71" s="51"/>
      <c r="Q71" s="51"/>
      <c r="R71" s="51"/>
      <c r="S71" s="51"/>
      <c r="T71" s="51"/>
      <c r="U71" s="51"/>
    </row>
    <row r="72" spans="1:22" x14ac:dyDescent="0.25">
      <c r="A72" s="516" t="s">
        <v>403</v>
      </c>
      <c r="B72" s="517"/>
      <c r="C72" s="112">
        <f>H30</f>
        <v>1374.7992999999999</v>
      </c>
      <c r="D72" s="530" t="s">
        <v>414</v>
      </c>
      <c r="E72" s="530"/>
      <c r="F72" s="530"/>
      <c r="G72" s="530"/>
      <c r="H72" s="302">
        <f>'1461'!H72</f>
        <v>227540.36</v>
      </c>
      <c r="I72" s="116"/>
      <c r="N72" s="591" t="s">
        <v>407</v>
      </c>
      <c r="O72" s="568"/>
      <c r="P72" s="41">
        <f>T30</f>
        <v>386.46</v>
      </c>
      <c r="Q72" s="596" t="s">
        <v>409</v>
      </c>
      <c r="R72" s="597"/>
      <c r="S72" s="597"/>
      <c r="T72" s="595">
        <f>H72</f>
        <v>227540.36</v>
      </c>
      <c r="U72" s="595"/>
    </row>
    <row r="73" spans="1:22" x14ac:dyDescent="0.25">
      <c r="G73" s="42" t="s">
        <v>12</v>
      </c>
      <c r="H73" s="114">
        <f>ROUND(C72/H72,6)</f>
        <v>6.0419999999999996E-3</v>
      </c>
      <c r="I73" s="114"/>
      <c r="N73" s="568"/>
      <c r="O73" s="568"/>
      <c r="P73" s="568"/>
      <c r="Q73" s="568"/>
      <c r="R73" s="568"/>
      <c r="S73" s="568"/>
      <c r="T73" s="598">
        <f>ROUND(P72/T72,6)</f>
        <v>1.6980000000000001E-3</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386.46</v>
      </c>
      <c r="D75" s="529" t="s">
        <v>415</v>
      </c>
      <c r="E75" s="529"/>
      <c r="F75" s="529"/>
      <c r="G75" s="529"/>
      <c r="H75" s="301">
        <f>'1461'!H75</f>
        <v>186907.73</v>
      </c>
      <c r="I75" s="113"/>
      <c r="N75" s="591" t="s">
        <v>405</v>
      </c>
      <c r="O75" s="568"/>
      <c r="P75" s="41">
        <f>P30</f>
        <v>386.46</v>
      </c>
      <c r="Q75" s="601" t="s">
        <v>410</v>
      </c>
      <c r="R75" s="602"/>
      <c r="S75" s="602"/>
      <c r="T75" s="595">
        <f>H75</f>
        <v>186907.73</v>
      </c>
      <c r="U75" s="595"/>
    </row>
    <row r="76" spans="1:22" x14ac:dyDescent="0.25">
      <c r="B76" s="69"/>
      <c r="G76" s="42" t="s">
        <v>12</v>
      </c>
      <c r="H76" s="114">
        <f>ROUND(C75/H75,6)</f>
        <v>2.068E-3</v>
      </c>
      <c r="I76" s="115"/>
      <c r="N76" s="568"/>
      <c r="O76" s="568"/>
      <c r="P76" s="568"/>
      <c r="Q76" s="568"/>
      <c r="R76" s="568"/>
      <c r="S76" s="568"/>
      <c r="T76" s="598">
        <f>ROUND(P75/T75,6)</f>
        <v>2.068E-3</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386.46</v>
      </c>
      <c r="D78" s="525" t="s">
        <v>416</v>
      </c>
      <c r="E78" s="525"/>
      <c r="F78" s="525"/>
      <c r="G78" s="525"/>
      <c r="H78" s="301">
        <f>'1461'!H78</f>
        <v>203080.55</v>
      </c>
      <c r="I78" s="113"/>
      <c r="N78" s="591" t="s">
        <v>405</v>
      </c>
      <c r="O78" s="568"/>
      <c r="P78" s="41">
        <f>P30</f>
        <v>386.46</v>
      </c>
      <c r="Q78" s="599" t="s">
        <v>411</v>
      </c>
      <c r="R78" s="600"/>
      <c r="S78" s="600"/>
      <c r="T78" s="595">
        <f>H78</f>
        <v>203080.55</v>
      </c>
      <c r="U78" s="595"/>
    </row>
    <row r="79" spans="1:22" x14ac:dyDescent="0.25">
      <c r="B79" s="69"/>
      <c r="G79" s="42" t="s">
        <v>12</v>
      </c>
      <c r="H79" s="114">
        <f>ROUND(C78/H78,6)</f>
        <v>1.903E-3</v>
      </c>
      <c r="I79" s="115"/>
      <c r="N79" s="568"/>
      <c r="O79" s="568"/>
      <c r="P79" s="568"/>
      <c r="Q79" s="568"/>
      <c r="R79" s="568"/>
      <c r="S79" s="568"/>
      <c r="T79" s="598">
        <f>ROUND(P78/T78,6)</f>
        <v>1.903E-3</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386.46</v>
      </c>
      <c r="D81" s="529" t="s">
        <v>417</v>
      </c>
      <c r="E81" s="529"/>
      <c r="F81" s="529"/>
      <c r="G81" s="529"/>
      <c r="H81" s="301">
        <f>'1461'!H81</f>
        <v>186682.65</v>
      </c>
      <c r="I81" s="113"/>
      <c r="N81" s="591" t="s">
        <v>418</v>
      </c>
      <c r="O81" s="568"/>
      <c r="P81" s="41">
        <f>P30</f>
        <v>386.46</v>
      </c>
      <c r="Q81" s="601" t="s">
        <v>419</v>
      </c>
      <c r="R81" s="602"/>
      <c r="S81" s="602"/>
      <c r="T81" s="595">
        <f>H81</f>
        <v>186682.65</v>
      </c>
      <c r="U81" s="595"/>
    </row>
    <row r="82" spans="1:21" x14ac:dyDescent="0.25">
      <c r="B82" s="69"/>
      <c r="G82" s="42" t="s">
        <v>12</v>
      </c>
      <c r="H82" s="114">
        <f>ROUND(C81/H81,6)</f>
        <v>2.0699999999999998E-3</v>
      </c>
      <c r="I82" s="115"/>
      <c r="N82" s="568"/>
      <c r="O82" s="568"/>
      <c r="P82" s="568"/>
      <c r="Q82" s="568"/>
      <c r="R82" s="568"/>
      <c r="S82" s="568"/>
      <c r="T82" s="598">
        <f>ROUND(P81/T81,6)</f>
        <v>2.0699999999999998E-3</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1.903E-3</v>
      </c>
      <c r="I85" s="101">
        <f>ROUND(F85*H85,2)</f>
        <v>84998.52</v>
      </c>
      <c r="N85" s="455" t="s">
        <v>455</v>
      </c>
      <c r="O85" s="51"/>
      <c r="P85" s="51"/>
      <c r="Q85" s="44"/>
      <c r="R85" s="421">
        <f>F85</f>
        <v>44665536</v>
      </c>
      <c r="S85" s="38" t="s">
        <v>6</v>
      </c>
      <c r="T85" s="423">
        <f>T79</f>
        <v>1.903E-3</v>
      </c>
      <c r="U85" s="475">
        <f>ROUND(R85*T85,2)</f>
        <v>84998.52</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1.9009999999999999E-3</v>
      </c>
      <c r="I88" s="101">
        <f>ROUND(F88*H88,2)</f>
        <v>0</v>
      </c>
      <c r="N88" s="603" t="s">
        <v>99</v>
      </c>
      <c r="O88" s="568"/>
      <c r="P88" s="568"/>
      <c r="Q88" s="44"/>
      <c r="R88" s="421">
        <f>F88</f>
        <v>0</v>
      </c>
      <c r="S88" s="38" t="s">
        <v>6</v>
      </c>
      <c r="T88" s="423">
        <f>T70</f>
        <v>1.9009999999999999E-3</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2.0699999999999998E-3</v>
      </c>
      <c r="I90" s="101">
        <f>ROUND(F90*H90,2)</f>
        <v>33465.800000000003</v>
      </c>
      <c r="N90" s="455" t="s">
        <v>456</v>
      </c>
      <c r="O90" s="51"/>
      <c r="P90" s="51"/>
      <c r="Q90" s="44"/>
      <c r="R90" s="421">
        <f>F90</f>
        <v>16167052</v>
      </c>
      <c r="S90" s="38" t="s">
        <v>6</v>
      </c>
      <c r="T90" s="423">
        <f>T82</f>
        <v>2.0699999999999998E-3</v>
      </c>
      <c r="U90" s="475">
        <f>ROUND(R90*T90,2)</f>
        <v>33465.800000000003</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2.068E-3</v>
      </c>
      <c r="I92" s="101">
        <f t="shared" ref="I92:I96" si="14">ROUND(F92*H92,2)</f>
        <v>20762.919999999998</v>
      </c>
      <c r="N92" s="455" t="s">
        <v>457</v>
      </c>
      <c r="O92" s="51"/>
      <c r="P92" s="51"/>
      <c r="Q92" s="44"/>
      <c r="R92" s="421">
        <f t="shared" ref="R92:R96" si="15">F92</f>
        <v>10040099</v>
      </c>
      <c r="S92" s="38" t="s">
        <v>6</v>
      </c>
      <c r="T92" s="423">
        <f>T76</f>
        <v>2.068E-3</v>
      </c>
      <c r="U92" s="475">
        <f>ROUND(R92*T92,2)</f>
        <v>20762.919999999998</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6.0419999999999996E-3</v>
      </c>
      <c r="I94" s="101">
        <f t="shared" si="14"/>
        <v>1444023.95</v>
      </c>
      <c r="N94" s="568" t="s">
        <v>421</v>
      </c>
      <c r="O94" s="568"/>
      <c r="P94" s="568"/>
      <c r="Q94" s="44"/>
      <c r="R94" s="421">
        <f t="shared" si="15"/>
        <v>238997674</v>
      </c>
      <c r="S94" s="38" t="s">
        <v>6</v>
      </c>
      <c r="T94" s="423">
        <f>T73</f>
        <v>1.6980000000000001E-3</v>
      </c>
      <c r="U94" s="475">
        <f>ROUND(R94*T94,2)</f>
        <v>405818.05</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6.0419999999999996E-3</v>
      </c>
      <c r="I96" s="101">
        <f t="shared" si="14"/>
        <v>-9667.48</v>
      </c>
      <c r="N96" s="591" t="s">
        <v>422</v>
      </c>
      <c r="O96" s="568"/>
      <c r="P96" s="568"/>
      <c r="Q96" s="44"/>
      <c r="R96" s="421">
        <f t="shared" si="15"/>
        <v>-1600047</v>
      </c>
      <c r="S96" s="38" t="s">
        <v>6</v>
      </c>
      <c r="T96" s="423">
        <f>T73</f>
        <v>1.6980000000000001E-3</v>
      </c>
      <c r="U96" s="475">
        <f>ROUND(R96*T96,2)</f>
        <v>-2716.88</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462.39599999999996</v>
      </c>
      <c r="D101" s="515"/>
      <c r="E101" s="46">
        <f>H8</f>
        <v>1.0442</v>
      </c>
      <c r="F101" s="304">
        <f>'1461'!F101</f>
        <v>947.59</v>
      </c>
      <c r="G101" s="39" t="s">
        <v>12</v>
      </c>
      <c r="H101" s="101">
        <f>ROUND(C101*E101*F101,2)</f>
        <v>457528.58</v>
      </c>
      <c r="I101" s="104"/>
      <c r="N101" s="28" t="s">
        <v>17</v>
      </c>
      <c r="O101" s="47">
        <f>T14+T15+T20+T23+T26</f>
        <v>126.5</v>
      </c>
      <c r="P101" s="606">
        <f>T8</f>
        <v>1.0442</v>
      </c>
      <c r="Q101" s="606"/>
      <c r="R101" s="48">
        <f>F101</f>
        <v>947.59</v>
      </c>
      <c r="S101" s="40" t="s">
        <v>12</v>
      </c>
      <c r="T101" s="481">
        <f>ROUND(O101*P101*R101,2)</f>
        <v>125168.39</v>
      </c>
      <c r="U101" s="102"/>
    </row>
    <row r="102" spans="1:21" x14ac:dyDescent="0.25">
      <c r="A102" s="49"/>
      <c r="B102" s="49" t="s">
        <v>104</v>
      </c>
      <c r="C102" s="515">
        <f>H16+H17+H21+H24+H27</f>
        <v>467.99</v>
      </c>
      <c r="D102" s="515"/>
      <c r="E102" s="46">
        <f>H8</f>
        <v>1.0442</v>
      </c>
      <c r="F102" s="304">
        <f>'1461'!F102</f>
        <v>904.74</v>
      </c>
      <c r="G102" s="39" t="s">
        <v>12</v>
      </c>
      <c r="H102" s="101">
        <f>ROUND(C102*E102*F102,2)</f>
        <v>442123.96</v>
      </c>
      <c r="N102" s="50" t="s">
        <v>13</v>
      </c>
      <c r="O102" s="47">
        <f>T16+T17+T21+T24+T27</f>
        <v>122</v>
      </c>
      <c r="P102" s="606">
        <f>T8</f>
        <v>1.0442</v>
      </c>
      <c r="Q102" s="606"/>
      <c r="R102" s="48">
        <f>F102</f>
        <v>904.74</v>
      </c>
      <c r="S102" s="40" t="s">
        <v>12</v>
      </c>
      <c r="T102" s="481">
        <f>ROUND(O102*P102*R102,2)</f>
        <v>115257</v>
      </c>
      <c r="U102" s="51"/>
    </row>
    <row r="103" spans="1:21" ht="16.5" thickBot="1" x14ac:dyDescent="0.3">
      <c r="A103" s="52"/>
      <c r="B103" s="52" t="s">
        <v>103</v>
      </c>
      <c r="C103" s="515">
        <f>H18+H19+H22+H25+H28+H29</f>
        <v>444.41329999999999</v>
      </c>
      <c r="D103" s="515"/>
      <c r="E103" s="46">
        <f>H8</f>
        <v>1.0442</v>
      </c>
      <c r="F103" s="304">
        <f>'1461'!F103</f>
        <v>906.93</v>
      </c>
      <c r="G103" s="39" t="s">
        <v>12</v>
      </c>
      <c r="H103" s="94">
        <f>ROUND(C103*E103*F103,2)</f>
        <v>420866.64</v>
      </c>
      <c r="N103" s="53" t="s">
        <v>14</v>
      </c>
      <c r="O103" s="54">
        <f>T18+T19+T22+T25+T28+T29</f>
        <v>137.96</v>
      </c>
      <c r="P103" s="606">
        <f>T8</f>
        <v>1.0442</v>
      </c>
      <c r="Q103" s="606"/>
      <c r="R103" s="48">
        <f>F103</f>
        <v>906.93</v>
      </c>
      <c r="S103" s="40" t="s">
        <v>12</v>
      </c>
      <c r="T103" s="481">
        <f>ROUND(O103*P103*R103,2)</f>
        <v>130650.37</v>
      </c>
      <c r="U103" s="51"/>
    </row>
    <row r="104" spans="1:21" ht="16.5" thickBot="1" x14ac:dyDescent="0.3">
      <c r="A104" s="55"/>
      <c r="B104" s="122" t="s">
        <v>102</v>
      </c>
      <c r="C104" s="528">
        <f>SUM(C101:C103)</f>
        <v>1374.7992999999999</v>
      </c>
      <c r="D104" s="528"/>
      <c r="E104" s="123"/>
      <c r="F104" s="123"/>
      <c r="G104" s="123"/>
      <c r="H104" s="124" t="s">
        <v>100</v>
      </c>
      <c r="I104" s="101">
        <f>IF(A1=75,0,H103+H102+H101)</f>
        <v>1320519.1800000002</v>
      </c>
      <c r="N104" s="56" t="s">
        <v>89</v>
      </c>
      <c r="O104" s="57">
        <f>SUM(O101:O103)</f>
        <v>386.46000000000004</v>
      </c>
      <c r="P104" s="607" t="s">
        <v>16</v>
      </c>
      <c r="Q104" s="608"/>
      <c r="R104" s="608"/>
      <c r="S104" s="608"/>
      <c r="T104" s="608"/>
      <c r="U104" s="475">
        <f>IF(N1=75,0,T103+T102+T101)</f>
        <v>371075.76</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1</v>
      </c>
      <c r="E110" s="116">
        <f>(C110+D110)/2</f>
        <v>0.5</v>
      </c>
      <c r="F110" s="126" t="s">
        <v>30</v>
      </c>
      <c r="G110" s="305">
        <f>'1461'!G110</f>
        <v>565</v>
      </c>
      <c r="I110" s="101">
        <f>ROUND(G110*E110,2)</f>
        <v>282.5</v>
      </c>
      <c r="N110" s="617" t="s">
        <v>52</v>
      </c>
      <c r="O110" s="617"/>
      <c r="P110" s="605">
        <f>IF(H130=1,E110,0)</f>
        <v>0.5</v>
      </c>
      <c r="Q110" s="605"/>
      <c r="R110" s="605"/>
      <c r="S110" s="83" t="s">
        <v>30</v>
      </c>
      <c r="T110" s="58">
        <f>G110</f>
        <v>565</v>
      </c>
      <c r="U110" s="475">
        <f>ROUND(T110*P110,2)</f>
        <v>282.5</v>
      </c>
    </row>
    <row r="111" spans="1:21" x14ac:dyDescent="0.25">
      <c r="A111" s="529" t="s">
        <v>380</v>
      </c>
      <c r="B111" s="550"/>
      <c r="C111" s="143">
        <v>0</v>
      </c>
      <c r="D111" s="143">
        <v>1</v>
      </c>
      <c r="E111" s="116">
        <f>(C111+D111)/2</f>
        <v>0.5</v>
      </c>
      <c r="F111" s="126" t="s">
        <v>30</v>
      </c>
      <c r="G111" s="305">
        <f>'1461'!G111</f>
        <v>1762</v>
      </c>
      <c r="I111" s="101">
        <f>ROUND(G111*E111,2)</f>
        <v>881</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10805085.82</v>
      </c>
      <c r="N125" s="455"/>
      <c r="O125" s="454"/>
      <c r="P125" s="454"/>
      <c r="Q125" s="307"/>
      <c r="R125" s="307"/>
      <c r="S125" s="307"/>
      <c r="T125" s="307"/>
      <c r="U125" s="482">
        <f>SUM(U30,U85,U88,U90,U92,U94,U96,U104,U110,U111,U121,U123)</f>
        <v>2987781.1899999995</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10367545.59</v>
      </c>
      <c r="N127" s="613" t="s">
        <v>33</v>
      </c>
      <c r="O127" s="613"/>
      <c r="P127" s="613"/>
      <c r="Q127" s="613"/>
      <c r="R127" s="613"/>
      <c r="S127" s="613"/>
      <c r="T127" s="613"/>
      <c r="U127" s="473">
        <f>U125-U53</f>
        <v>2864787.3899999997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f>IF(E30=0,"",IF((E15+E17+SUM(E19:E25))/E30&gt;0.75,1,""))</f>
        <v>1</v>
      </c>
      <c r="I130" s="116">
        <f>U127</f>
        <v>2864787.3899999997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2864787.3899999997</v>
      </c>
      <c r="I132" s="94">
        <f>ROUND(IF(E30=0,0,IF(E30&gt;250,-(((250/E30)*H132)*IF(G132="H",0.02,0.05)),IF(G132="H",-0.02*H132,-0.05*H132))),2)</f>
        <v>-92661.19</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10712424.630000001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-895488.78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9816935.8500000015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892448.71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50578.179499999998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321</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5.5</v>
      </c>
      <c r="D19" s="143">
        <v>5</v>
      </c>
      <c r="E19" s="116">
        <f t="shared" si="1"/>
        <v>10.5</v>
      </c>
      <c r="F19" s="555">
        <f>'1461'!F19:G19</f>
        <v>0.98799999999999999</v>
      </c>
      <c r="G19" s="555"/>
      <c r="H19" s="80">
        <f t="shared" si="2"/>
        <v>10.374000000000001</v>
      </c>
      <c r="I19" s="101">
        <f t="shared" si="3"/>
        <v>55676.28</v>
      </c>
      <c r="J19" s="65" t="str">
        <f>IF(ROUND(E19,2)=ROUND(SUM(E63:E65),2)," ","CHECK 4-8 LINES BELOW")</f>
        <v xml:space="preserve"> </v>
      </c>
      <c r="N19" s="568" t="s">
        <v>25</v>
      </c>
      <c r="O19" s="568"/>
      <c r="P19" s="569">
        <f t="shared" si="0"/>
        <v>10.5</v>
      </c>
      <c r="Q19" s="569"/>
      <c r="R19" s="570">
        <v>1</v>
      </c>
      <c r="S19" s="570"/>
      <c r="T19" s="95">
        <f t="shared" si="4"/>
        <v>10.5</v>
      </c>
      <c r="U19" s="474">
        <f t="shared" si="5"/>
        <v>56352.51</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24</v>
      </c>
      <c r="D22" s="143">
        <v>23.5</v>
      </c>
      <c r="E22" s="116">
        <f t="shared" si="1"/>
        <v>47.5</v>
      </c>
      <c r="F22" s="555">
        <f>'1461'!F22:G22</f>
        <v>3.706</v>
      </c>
      <c r="G22" s="555"/>
      <c r="H22" s="80">
        <f t="shared" si="2"/>
        <v>176.035</v>
      </c>
      <c r="I22" s="101">
        <f t="shared" si="3"/>
        <v>944763.31</v>
      </c>
      <c r="N22" s="568" t="s">
        <v>81</v>
      </c>
      <c r="O22" s="568"/>
      <c r="P22" s="569">
        <f t="shared" si="0"/>
        <v>47.5</v>
      </c>
      <c r="Q22" s="569"/>
      <c r="R22" s="570">
        <v>1</v>
      </c>
      <c r="S22" s="570"/>
      <c r="T22" s="95">
        <f t="shared" si="4"/>
        <v>47.5</v>
      </c>
      <c r="U22" s="475">
        <f t="shared" si="5"/>
        <v>254928.04</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32.5</v>
      </c>
      <c r="D25" s="143">
        <v>33.5</v>
      </c>
      <c r="E25" s="116">
        <f t="shared" si="1"/>
        <v>66</v>
      </c>
      <c r="F25" s="555">
        <f>'1461'!F25:G25</f>
        <v>5.7069999999999999</v>
      </c>
      <c r="G25" s="555"/>
      <c r="H25" s="80">
        <f t="shared" si="2"/>
        <v>376.66199999999998</v>
      </c>
      <c r="I25" s="101">
        <f t="shared" si="3"/>
        <v>2021509.57</v>
      </c>
      <c r="N25" s="568" t="s">
        <v>84</v>
      </c>
      <c r="O25" s="568"/>
      <c r="P25" s="569">
        <f t="shared" si="0"/>
        <v>66</v>
      </c>
      <c r="Q25" s="569"/>
      <c r="R25" s="570">
        <v>1</v>
      </c>
      <c r="S25" s="570"/>
      <c r="T25" s="95">
        <f t="shared" si="4"/>
        <v>66</v>
      </c>
      <c r="U25" s="475">
        <f t="shared" si="5"/>
        <v>354215.8</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62</v>
      </c>
      <c r="D30" s="94">
        <f>SUM(D14:D29)</f>
        <v>62</v>
      </c>
      <c r="E30" s="94">
        <f>SUM(E14:E29)</f>
        <v>124</v>
      </c>
      <c r="F30" s="536"/>
      <c r="G30" s="536"/>
      <c r="H30" s="99">
        <f>SUM(H14:H29)</f>
        <v>563.07099999999991</v>
      </c>
      <c r="I30" s="94">
        <f>SUM(I14:I29)</f>
        <v>3021949.16</v>
      </c>
      <c r="N30" s="587" t="s">
        <v>5</v>
      </c>
      <c r="O30" s="587"/>
      <c r="P30" s="588">
        <f>SUM(P14:P29)</f>
        <v>124</v>
      </c>
      <c r="Q30" s="588"/>
      <c r="R30" s="589"/>
      <c r="S30" s="589"/>
      <c r="T30" s="100">
        <f>SUM(T14:T29)</f>
        <v>124</v>
      </c>
      <c r="U30" s="475">
        <f>SUM(U14:U29)</f>
        <v>665496.35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563.07099999999991</v>
      </c>
      <c r="F46" s="34"/>
      <c r="G46" s="106"/>
      <c r="H46" s="107" t="s">
        <v>98</v>
      </c>
      <c r="I46" s="94">
        <f>SUM(I44,I30)</f>
        <v>3021949.16</v>
      </c>
      <c r="N46" s="613" t="s">
        <v>44</v>
      </c>
      <c r="O46" s="613"/>
      <c r="P46" s="613"/>
      <c r="Q46" s="613"/>
      <c r="R46" s="35">
        <f>R44+T30</f>
        <v>124</v>
      </c>
      <c r="S46" s="589" t="s">
        <v>42</v>
      </c>
      <c r="T46" s="589"/>
      <c r="U46" s="108">
        <f>SUM(U44,U30)</f>
        <v>665496.35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3021949.16</v>
      </c>
      <c r="G51" s="109" t="s">
        <v>6</v>
      </c>
      <c r="H51" s="403">
        <v>4.5199999999999997E-2</v>
      </c>
      <c r="I51" s="101">
        <f>ROUND(F51*H51,2)</f>
        <v>136592.1</v>
      </c>
      <c r="N51" s="408"/>
      <c r="O51" s="409" t="s">
        <v>398</v>
      </c>
      <c r="P51" s="28"/>
      <c r="Q51" s="44" t="s">
        <v>399</v>
      </c>
      <c r="R51" s="410">
        <f>U30</f>
        <v>665496.35</v>
      </c>
      <c r="S51" s="411" t="s">
        <v>6</v>
      </c>
      <c r="T51" s="412">
        <v>4.5199999999999997E-2</v>
      </c>
      <c r="U51" s="404">
        <f>ROUND(R51*T51,2)</f>
        <v>30080.44</v>
      </c>
    </row>
    <row r="52" spans="1:22" x14ac:dyDescent="0.25">
      <c r="A52" s="26"/>
      <c r="B52" s="81" t="s">
        <v>400</v>
      </c>
      <c r="C52" s="26"/>
      <c r="D52" s="26"/>
      <c r="E52" s="43" t="s">
        <v>399</v>
      </c>
      <c r="F52" s="402">
        <f>I46</f>
        <v>3021949.16</v>
      </c>
      <c r="G52" s="109" t="s">
        <v>6</v>
      </c>
      <c r="H52" s="403">
        <v>1.41E-2</v>
      </c>
      <c r="I52" s="101">
        <f>ROUND(F52*H52,2)</f>
        <v>42609.48</v>
      </c>
      <c r="N52" s="28"/>
      <c r="O52" s="385" t="s">
        <v>400</v>
      </c>
      <c r="P52" s="28"/>
      <c r="Q52" s="44" t="s">
        <v>399</v>
      </c>
      <c r="R52" s="410">
        <f>U30</f>
        <v>665496.35</v>
      </c>
      <c r="S52" s="411" t="s">
        <v>6</v>
      </c>
      <c r="T52" s="412">
        <v>1.41E-2</v>
      </c>
      <c r="U52" s="413">
        <f>ROUND(R52*T52,2)</f>
        <v>9383.5</v>
      </c>
    </row>
    <row r="53" spans="1:22" x14ac:dyDescent="0.25">
      <c r="A53" s="26"/>
      <c r="B53" s="81" t="s">
        <v>401</v>
      </c>
      <c r="C53" s="26"/>
      <c r="D53" s="26"/>
      <c r="E53" s="43"/>
      <c r="F53" s="402"/>
      <c r="G53" s="109"/>
      <c r="H53" s="403"/>
      <c r="I53" s="97">
        <f>SUM(I51:I52)</f>
        <v>179201.58000000002</v>
      </c>
      <c r="N53" s="28"/>
      <c r="O53" s="385" t="s">
        <v>401</v>
      </c>
      <c r="P53" s="28"/>
      <c r="Q53" s="44"/>
      <c r="R53" s="410"/>
      <c r="S53" s="411"/>
      <c r="T53" s="412"/>
      <c r="U53" s="404">
        <f>SUM(U51:U52)</f>
        <v>39463.94</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5.5</v>
      </c>
      <c r="D65" s="143">
        <v>5</v>
      </c>
      <c r="E65" s="116">
        <f t="shared" si="10"/>
        <v>10.5</v>
      </c>
      <c r="F65" s="446" t="s">
        <v>14</v>
      </c>
      <c r="G65" s="445">
        <v>253</v>
      </c>
      <c r="H65" s="459">
        <f>'1461'!H65</f>
        <v>6685</v>
      </c>
      <c r="I65" s="101">
        <f t="shared" si="11"/>
        <v>70192.5</v>
      </c>
      <c r="N65" s="619"/>
      <c r="O65" s="619"/>
      <c r="P65" s="623"/>
      <c r="Q65" s="623"/>
      <c r="R65" s="40" t="s">
        <v>14</v>
      </c>
      <c r="S65" s="451">
        <v>253</v>
      </c>
      <c r="T65" s="462">
        <f t="shared" si="12"/>
        <v>6685</v>
      </c>
      <c r="U65" s="477">
        <f t="shared" si="13"/>
        <v>0</v>
      </c>
      <c r="V65" s="426"/>
    </row>
    <row r="66" spans="1:22" ht="16.5" thickBot="1" x14ac:dyDescent="0.3">
      <c r="A66" s="442"/>
      <c r="C66" s="97">
        <f>SUM(C57:C65)</f>
        <v>5.5</v>
      </c>
      <c r="D66" s="97">
        <f>SUM(D57:D65)</f>
        <v>5</v>
      </c>
      <c r="E66" s="97">
        <f>SUM(E57:E65)</f>
        <v>10.5</v>
      </c>
      <c r="F66" s="520" t="s">
        <v>448</v>
      </c>
      <c r="G66" s="520"/>
      <c r="H66" s="520"/>
      <c r="I66" s="97">
        <f>SUM(I57:I65)</f>
        <v>70192.5</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124</v>
      </c>
      <c r="D69" s="530" t="s">
        <v>413</v>
      </c>
      <c r="E69" s="530"/>
      <c r="F69" s="530"/>
      <c r="G69" s="530"/>
      <c r="H69" s="301">
        <f>'1461'!H69</f>
        <v>203305.63</v>
      </c>
      <c r="I69" s="113"/>
      <c r="N69" s="591" t="s">
        <v>406</v>
      </c>
      <c r="O69" s="568"/>
      <c r="P69" s="41">
        <f>P30</f>
        <v>124</v>
      </c>
      <c r="Q69" s="596" t="s">
        <v>408</v>
      </c>
      <c r="R69" s="597"/>
      <c r="S69" s="597"/>
      <c r="T69" s="595">
        <f>H69</f>
        <v>203305.63</v>
      </c>
      <c r="U69" s="595"/>
    </row>
    <row r="70" spans="1:22" x14ac:dyDescent="0.25">
      <c r="B70" s="69"/>
      <c r="G70" s="42" t="s">
        <v>12</v>
      </c>
      <c r="H70" s="114">
        <f>ROUND(C69/H69,6)</f>
        <v>6.0999999999999997E-4</v>
      </c>
      <c r="I70" s="115"/>
      <c r="N70" s="568"/>
      <c r="O70" s="568"/>
      <c r="P70" s="568"/>
      <c r="Q70" s="568"/>
      <c r="R70" s="568"/>
      <c r="S70" s="568"/>
      <c r="T70" s="598">
        <f>ROUND(P69/T69,6)</f>
        <v>6.0999999999999997E-4</v>
      </c>
      <c r="U70" s="598"/>
    </row>
    <row r="71" spans="1:22" x14ac:dyDescent="0.25">
      <c r="A71" s="444" t="s">
        <v>451</v>
      </c>
      <c r="N71" s="455" t="s">
        <v>459</v>
      </c>
      <c r="O71" s="51"/>
      <c r="P71" s="51"/>
      <c r="Q71" s="51"/>
      <c r="R71" s="51"/>
      <c r="S71" s="51"/>
      <c r="T71" s="51"/>
      <c r="U71" s="51"/>
    </row>
    <row r="72" spans="1:22" x14ac:dyDescent="0.25">
      <c r="A72" s="516" t="s">
        <v>403</v>
      </c>
      <c r="B72" s="517"/>
      <c r="C72" s="112">
        <f>H30</f>
        <v>563.07099999999991</v>
      </c>
      <c r="D72" s="530" t="s">
        <v>414</v>
      </c>
      <c r="E72" s="530"/>
      <c r="F72" s="530"/>
      <c r="G72" s="530"/>
      <c r="H72" s="302">
        <f>'1461'!H72</f>
        <v>227540.36</v>
      </c>
      <c r="I72" s="116"/>
      <c r="N72" s="591" t="s">
        <v>407</v>
      </c>
      <c r="O72" s="568"/>
      <c r="P72" s="41">
        <f>T30</f>
        <v>124</v>
      </c>
      <c r="Q72" s="596" t="s">
        <v>409</v>
      </c>
      <c r="R72" s="597"/>
      <c r="S72" s="597"/>
      <c r="T72" s="595">
        <f>H72</f>
        <v>227540.36</v>
      </c>
      <c r="U72" s="595"/>
    </row>
    <row r="73" spans="1:22" x14ac:dyDescent="0.25">
      <c r="G73" s="42" t="s">
        <v>12</v>
      </c>
      <c r="H73" s="114">
        <f>ROUND(C72/H72,6)</f>
        <v>2.4750000000000002E-3</v>
      </c>
      <c r="I73" s="114"/>
      <c r="N73" s="568"/>
      <c r="O73" s="568"/>
      <c r="P73" s="568"/>
      <c r="Q73" s="568"/>
      <c r="R73" s="568"/>
      <c r="S73" s="568"/>
      <c r="T73" s="598">
        <f>ROUND(P72/T72,6)</f>
        <v>5.4500000000000002E-4</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124</v>
      </c>
      <c r="D75" s="529" t="s">
        <v>415</v>
      </c>
      <c r="E75" s="529"/>
      <c r="F75" s="529"/>
      <c r="G75" s="529"/>
      <c r="H75" s="301">
        <f>'1461'!H75</f>
        <v>186907.73</v>
      </c>
      <c r="I75" s="113"/>
      <c r="N75" s="591" t="s">
        <v>405</v>
      </c>
      <c r="O75" s="568"/>
      <c r="P75" s="41">
        <f>P30</f>
        <v>124</v>
      </c>
      <c r="Q75" s="601" t="s">
        <v>410</v>
      </c>
      <c r="R75" s="602"/>
      <c r="S75" s="602"/>
      <c r="T75" s="595">
        <f>H75</f>
        <v>186907.73</v>
      </c>
      <c r="U75" s="595"/>
    </row>
    <row r="76" spans="1:22" x14ac:dyDescent="0.25">
      <c r="B76" s="69"/>
      <c r="G76" s="42" t="s">
        <v>12</v>
      </c>
      <c r="H76" s="114">
        <f>ROUND(C75/H75,6)</f>
        <v>6.6299999999999996E-4</v>
      </c>
      <c r="I76" s="115"/>
      <c r="N76" s="568"/>
      <c r="O76" s="568"/>
      <c r="P76" s="568"/>
      <c r="Q76" s="568"/>
      <c r="R76" s="568"/>
      <c r="S76" s="568"/>
      <c r="T76" s="598">
        <f>ROUND(P75/T75,6)</f>
        <v>6.6299999999999996E-4</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124</v>
      </c>
      <c r="D78" s="525" t="s">
        <v>416</v>
      </c>
      <c r="E78" s="525"/>
      <c r="F78" s="525"/>
      <c r="G78" s="525"/>
      <c r="H78" s="301">
        <f>'1461'!H78</f>
        <v>203080.55</v>
      </c>
      <c r="I78" s="113"/>
      <c r="N78" s="591" t="s">
        <v>405</v>
      </c>
      <c r="O78" s="568"/>
      <c r="P78" s="41">
        <f>P30</f>
        <v>124</v>
      </c>
      <c r="Q78" s="599" t="s">
        <v>411</v>
      </c>
      <c r="R78" s="600"/>
      <c r="S78" s="600"/>
      <c r="T78" s="595">
        <f>H78</f>
        <v>203080.55</v>
      </c>
      <c r="U78" s="595"/>
    </row>
    <row r="79" spans="1:22" x14ac:dyDescent="0.25">
      <c r="B79" s="69"/>
      <c r="G79" s="42" t="s">
        <v>12</v>
      </c>
      <c r="H79" s="114">
        <f>ROUND(C78/H78,6)</f>
        <v>6.11E-4</v>
      </c>
      <c r="I79" s="115"/>
      <c r="N79" s="568"/>
      <c r="O79" s="568"/>
      <c r="P79" s="568"/>
      <c r="Q79" s="568"/>
      <c r="R79" s="568"/>
      <c r="S79" s="568"/>
      <c r="T79" s="598">
        <f>ROUND(P78/T78,6)</f>
        <v>6.11E-4</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124</v>
      </c>
      <c r="D81" s="529" t="s">
        <v>417</v>
      </c>
      <c r="E81" s="529"/>
      <c r="F81" s="529"/>
      <c r="G81" s="529"/>
      <c r="H81" s="301">
        <f>'1461'!H81</f>
        <v>186682.65</v>
      </c>
      <c r="I81" s="113"/>
      <c r="N81" s="591" t="s">
        <v>418</v>
      </c>
      <c r="O81" s="568"/>
      <c r="P81" s="41">
        <f>P30</f>
        <v>124</v>
      </c>
      <c r="Q81" s="601" t="s">
        <v>419</v>
      </c>
      <c r="R81" s="602"/>
      <c r="S81" s="602"/>
      <c r="T81" s="595">
        <f>H81</f>
        <v>186682.65</v>
      </c>
      <c r="U81" s="595"/>
    </row>
    <row r="82" spans="1:21" x14ac:dyDescent="0.25">
      <c r="B82" s="69"/>
      <c r="G82" s="42" t="s">
        <v>12</v>
      </c>
      <c r="H82" s="114">
        <f>ROUND(C81/H81,6)</f>
        <v>6.6399999999999999E-4</v>
      </c>
      <c r="I82" s="115"/>
      <c r="N82" s="568"/>
      <c r="O82" s="568"/>
      <c r="P82" s="568"/>
      <c r="Q82" s="568"/>
      <c r="R82" s="568"/>
      <c r="S82" s="568"/>
      <c r="T82" s="598">
        <f>ROUND(P81/T81,6)</f>
        <v>6.6399999999999999E-4</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6.11E-4</v>
      </c>
      <c r="I85" s="101">
        <f>ROUND(F85*H85,2)</f>
        <v>27290.639999999999</v>
      </c>
      <c r="N85" s="455" t="s">
        <v>455</v>
      </c>
      <c r="O85" s="51"/>
      <c r="P85" s="51"/>
      <c r="Q85" s="44"/>
      <c r="R85" s="421">
        <f>F85</f>
        <v>44665536</v>
      </c>
      <c r="S85" s="38" t="s">
        <v>6</v>
      </c>
      <c r="T85" s="423">
        <f>T79</f>
        <v>6.11E-4</v>
      </c>
      <c r="U85" s="475">
        <f>ROUND(R85*T85,2)</f>
        <v>27290.639999999999</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6.0999999999999997E-4</v>
      </c>
      <c r="I88" s="101">
        <f>ROUND(F88*H88,2)</f>
        <v>0</v>
      </c>
      <c r="N88" s="603" t="s">
        <v>99</v>
      </c>
      <c r="O88" s="568"/>
      <c r="P88" s="568"/>
      <c r="Q88" s="44"/>
      <c r="R88" s="421">
        <f>F88</f>
        <v>0</v>
      </c>
      <c r="S88" s="38" t="s">
        <v>6</v>
      </c>
      <c r="T88" s="423">
        <f>T70</f>
        <v>6.0999999999999997E-4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6.6399999999999999E-4</v>
      </c>
      <c r="I90" s="101">
        <f>ROUND(F90*H90,2)</f>
        <v>10734.92</v>
      </c>
      <c r="N90" s="455" t="s">
        <v>456</v>
      </c>
      <c r="O90" s="51"/>
      <c r="P90" s="51"/>
      <c r="Q90" s="44"/>
      <c r="R90" s="421">
        <f>F90</f>
        <v>16167052</v>
      </c>
      <c r="S90" s="38" t="s">
        <v>6</v>
      </c>
      <c r="T90" s="423">
        <f>T82</f>
        <v>6.6399999999999999E-4</v>
      </c>
      <c r="U90" s="475">
        <f>ROUND(R90*T90,2)</f>
        <v>10734.92</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6.6299999999999996E-4</v>
      </c>
      <c r="I92" s="101">
        <f t="shared" ref="I92:I96" si="14">ROUND(F92*H92,2)</f>
        <v>6656.59</v>
      </c>
      <c r="N92" s="455" t="s">
        <v>457</v>
      </c>
      <c r="O92" s="51"/>
      <c r="P92" s="51"/>
      <c r="Q92" s="44"/>
      <c r="R92" s="421">
        <f t="shared" ref="R92:R96" si="15">F92</f>
        <v>10040099</v>
      </c>
      <c r="S92" s="38" t="s">
        <v>6</v>
      </c>
      <c r="T92" s="423">
        <f>T76</f>
        <v>6.6299999999999996E-4</v>
      </c>
      <c r="U92" s="475">
        <f>ROUND(R92*T92,2)</f>
        <v>6656.59</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2.4750000000000002E-3</v>
      </c>
      <c r="I94" s="101">
        <f t="shared" si="14"/>
        <v>591519.24</v>
      </c>
      <c r="N94" s="568" t="s">
        <v>421</v>
      </c>
      <c r="O94" s="568"/>
      <c r="P94" s="568"/>
      <c r="Q94" s="44"/>
      <c r="R94" s="421">
        <f t="shared" si="15"/>
        <v>238997674</v>
      </c>
      <c r="S94" s="38" t="s">
        <v>6</v>
      </c>
      <c r="T94" s="423">
        <f>T73</f>
        <v>5.4500000000000002E-4</v>
      </c>
      <c r="U94" s="475">
        <f>ROUND(R94*T94,2)</f>
        <v>130253.73</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2.4750000000000002E-3</v>
      </c>
      <c r="I96" s="101">
        <f t="shared" si="14"/>
        <v>-3960.12</v>
      </c>
      <c r="N96" s="591" t="s">
        <v>422</v>
      </c>
      <c r="O96" s="568"/>
      <c r="P96" s="568"/>
      <c r="Q96" s="44"/>
      <c r="R96" s="421">
        <f t="shared" si="15"/>
        <v>-1600047</v>
      </c>
      <c r="S96" s="38" t="s">
        <v>6</v>
      </c>
      <c r="T96" s="423">
        <f>T73</f>
        <v>5.4500000000000002E-4</v>
      </c>
      <c r="U96" s="475">
        <f>ROUND(R96*T96,2)</f>
        <v>-872.03</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563.07099999999991</v>
      </c>
      <c r="D103" s="515"/>
      <c r="E103" s="46">
        <f>H8</f>
        <v>1.0442</v>
      </c>
      <c r="F103" s="304">
        <f>'1461'!F103</f>
        <v>906.93</v>
      </c>
      <c r="G103" s="39" t="s">
        <v>12</v>
      </c>
      <c r="H103" s="94">
        <f>ROUND(C103*E103*F103,2)</f>
        <v>533237.42000000004</v>
      </c>
      <c r="N103" s="53" t="s">
        <v>14</v>
      </c>
      <c r="O103" s="54">
        <f>T18+T19+T22+T25+T28+T29</f>
        <v>124</v>
      </c>
      <c r="P103" s="606">
        <f>T8</f>
        <v>1.0442</v>
      </c>
      <c r="Q103" s="606"/>
      <c r="R103" s="48">
        <f>F103</f>
        <v>906.93</v>
      </c>
      <c r="S103" s="40" t="s">
        <v>12</v>
      </c>
      <c r="T103" s="481">
        <f>ROUND(O103*P103*R103,2)</f>
        <v>117430.02</v>
      </c>
      <c r="U103" s="51"/>
    </row>
    <row r="104" spans="1:21" ht="16.5" thickBot="1" x14ac:dyDescent="0.3">
      <c r="A104" s="55"/>
      <c r="B104" s="122" t="s">
        <v>102</v>
      </c>
      <c r="C104" s="528">
        <f>SUM(C101:C103)</f>
        <v>563.07099999999991</v>
      </c>
      <c r="D104" s="528"/>
      <c r="E104" s="123"/>
      <c r="F104" s="123"/>
      <c r="G104" s="123"/>
      <c r="H104" s="124" t="s">
        <v>100</v>
      </c>
      <c r="I104" s="101">
        <f>IF(A1=75,0,H103+H102+H101)</f>
        <v>533237.42000000004</v>
      </c>
      <c r="N104" s="56" t="s">
        <v>89</v>
      </c>
      <c r="O104" s="57">
        <f>SUM(O101:O103)</f>
        <v>124</v>
      </c>
      <c r="P104" s="607" t="s">
        <v>16</v>
      </c>
      <c r="Q104" s="608"/>
      <c r="R104" s="608"/>
      <c r="S104" s="608"/>
      <c r="T104" s="608"/>
      <c r="U104" s="475">
        <f>IF(N1=75,0,T103+T102+T101)</f>
        <v>117430.02</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0</v>
      </c>
      <c r="E110" s="116">
        <f>(C110+D110)/2</f>
        <v>0</v>
      </c>
      <c r="F110" s="126" t="s">
        <v>30</v>
      </c>
      <c r="G110" s="305">
        <f>'1461'!G110</f>
        <v>565</v>
      </c>
      <c r="I110" s="101">
        <f>ROUND(G110*E110,2)</f>
        <v>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4257620.3499999996</v>
      </c>
      <c r="N125" s="455"/>
      <c r="O125" s="454"/>
      <c r="P125" s="454"/>
      <c r="Q125" s="307"/>
      <c r="R125" s="307"/>
      <c r="S125" s="307"/>
      <c r="T125" s="307"/>
      <c r="U125" s="482">
        <f>SUM(U30,U85,U88,U90,U92,U94,U96,U104,U110,U111,U121,U123)</f>
        <v>956990.22</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4078418.7699999996</v>
      </c>
      <c r="N127" s="613" t="s">
        <v>33</v>
      </c>
      <c r="O127" s="613"/>
      <c r="P127" s="613"/>
      <c r="Q127" s="613"/>
      <c r="R127" s="613"/>
      <c r="S127" s="613"/>
      <c r="T127" s="613"/>
      <c r="U127" s="132">
        <f>U125-U53</f>
        <v>917526.28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f>IF(E30=0,"",IF((E15+E17+SUM(E19:E25))/E30&gt;0.75,1,""))</f>
        <v>1</v>
      </c>
      <c r="I130" s="116">
        <f>U127</f>
        <v>917526.28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917526.28</v>
      </c>
      <c r="I132" s="94">
        <f>ROUND(IF(E30=0,0,IF(E30&gt;250,-(((250/E30)*H132)*IF(G132="H",0.02,0.05)),IF(G132="H",-0.02*H132,-0.05*H132))),2)</f>
        <v>-45876.31</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4211744.04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-360906.5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3850837.54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350076.14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361</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23.5</v>
      </c>
      <c r="D19" s="143">
        <v>25.94</v>
      </c>
      <c r="E19" s="116">
        <f t="shared" si="1"/>
        <v>49.44</v>
      </c>
      <c r="F19" s="555">
        <f>'1461'!F19:G19</f>
        <v>0.98799999999999999</v>
      </c>
      <c r="G19" s="555"/>
      <c r="H19" s="80">
        <f t="shared" si="2"/>
        <v>48.846699999999998</v>
      </c>
      <c r="I19" s="101">
        <f t="shared" si="3"/>
        <v>262155.65000000002</v>
      </c>
      <c r="J19" s="65" t="str">
        <f>IF(ROUND(E19,2)=ROUND(SUM(E63:E65),2)," ","CHECK 4-8 LINES BELOW")</f>
        <v xml:space="preserve"> </v>
      </c>
      <c r="N19" s="568" t="s">
        <v>25</v>
      </c>
      <c r="O19" s="568"/>
      <c r="P19" s="569">
        <f t="shared" si="0"/>
        <v>49.44</v>
      </c>
      <c r="Q19" s="569"/>
      <c r="R19" s="570">
        <v>1</v>
      </c>
      <c r="S19" s="570"/>
      <c r="T19" s="95">
        <f t="shared" si="4"/>
        <v>49.44</v>
      </c>
      <c r="U19" s="474">
        <f t="shared" si="5"/>
        <v>265339.84000000003</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23.5</v>
      </c>
      <c r="D30" s="94">
        <f>SUM(D14:D29)</f>
        <v>25.94</v>
      </c>
      <c r="E30" s="94">
        <f>SUM(E14:E29)</f>
        <v>49.44</v>
      </c>
      <c r="F30" s="536"/>
      <c r="G30" s="536"/>
      <c r="H30" s="99">
        <f>SUM(H14:H29)</f>
        <v>48.846699999999998</v>
      </c>
      <c r="I30" s="94">
        <f>SUM(I14:I29)</f>
        <v>262155.65000000002</v>
      </c>
      <c r="N30" s="587" t="s">
        <v>5</v>
      </c>
      <c r="O30" s="587"/>
      <c r="P30" s="588">
        <f>SUM(P14:P29)</f>
        <v>49.44</v>
      </c>
      <c r="Q30" s="588"/>
      <c r="R30" s="589"/>
      <c r="S30" s="589"/>
      <c r="T30" s="100">
        <f>SUM(T14:T29)</f>
        <v>49.44</v>
      </c>
      <c r="U30" s="475">
        <f>SUM(U14:U29)</f>
        <v>265339.84000000003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48.846699999999998</v>
      </c>
      <c r="F46" s="34"/>
      <c r="G46" s="106"/>
      <c r="H46" s="107" t="s">
        <v>98</v>
      </c>
      <c r="I46" s="94">
        <f>SUM(I44,I30)</f>
        <v>262155.65000000002</v>
      </c>
      <c r="N46" s="613" t="s">
        <v>44</v>
      </c>
      <c r="O46" s="613"/>
      <c r="P46" s="613"/>
      <c r="Q46" s="613"/>
      <c r="R46" s="35">
        <f>R44+T30</f>
        <v>49.44</v>
      </c>
      <c r="S46" s="589" t="s">
        <v>42</v>
      </c>
      <c r="T46" s="589"/>
      <c r="U46" s="108">
        <f>SUM(U44,U30)</f>
        <v>265339.84000000003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262155.65000000002</v>
      </c>
      <c r="G51" s="109" t="s">
        <v>6</v>
      </c>
      <c r="H51" s="403">
        <v>4.5199999999999997E-2</v>
      </c>
      <c r="I51" s="101">
        <f>ROUND(F51*H51,2)</f>
        <v>11849.44</v>
      </c>
      <c r="N51" s="408"/>
      <c r="O51" s="409" t="s">
        <v>398</v>
      </c>
      <c r="P51" s="28"/>
      <c r="Q51" s="44" t="s">
        <v>399</v>
      </c>
      <c r="R51" s="410">
        <f>U30</f>
        <v>265339.84000000003</v>
      </c>
      <c r="S51" s="411" t="s">
        <v>6</v>
      </c>
      <c r="T51" s="412">
        <v>4.5199999999999997E-2</v>
      </c>
      <c r="U51" s="404">
        <f>ROUND(R51*T51,2)</f>
        <v>11993.36</v>
      </c>
    </row>
    <row r="52" spans="1:22" x14ac:dyDescent="0.25">
      <c r="A52" s="26"/>
      <c r="B52" s="81" t="s">
        <v>400</v>
      </c>
      <c r="C52" s="26"/>
      <c r="D52" s="26"/>
      <c r="E52" s="43" t="s">
        <v>399</v>
      </c>
      <c r="F52" s="402">
        <f>I46</f>
        <v>262155.65000000002</v>
      </c>
      <c r="G52" s="109" t="s">
        <v>6</v>
      </c>
      <c r="H52" s="403">
        <v>1.41E-2</v>
      </c>
      <c r="I52" s="101">
        <f>ROUND(F52*H52,2)</f>
        <v>3696.39</v>
      </c>
      <c r="N52" s="28"/>
      <c r="O52" s="385" t="s">
        <v>400</v>
      </c>
      <c r="P52" s="28"/>
      <c r="Q52" s="44" t="s">
        <v>399</v>
      </c>
      <c r="R52" s="410">
        <f>U30</f>
        <v>265339.84000000003</v>
      </c>
      <c r="S52" s="411" t="s">
        <v>6</v>
      </c>
      <c r="T52" s="412">
        <v>1.41E-2</v>
      </c>
      <c r="U52" s="413">
        <f>ROUND(R52*T52,2)</f>
        <v>3741.29</v>
      </c>
    </row>
    <row r="53" spans="1:22" x14ac:dyDescent="0.25">
      <c r="A53" s="26"/>
      <c r="B53" s="81" t="s">
        <v>401</v>
      </c>
      <c r="C53" s="26"/>
      <c r="D53" s="26"/>
      <c r="E53" s="43"/>
      <c r="F53" s="402"/>
      <c r="G53" s="109"/>
      <c r="H53" s="403"/>
      <c r="I53" s="97">
        <f>SUM(I51:I52)</f>
        <v>15545.83</v>
      </c>
      <c r="N53" s="28"/>
      <c r="O53" s="385" t="s">
        <v>401</v>
      </c>
      <c r="P53" s="28"/>
      <c r="Q53" s="44"/>
      <c r="R53" s="410"/>
      <c r="S53" s="411"/>
      <c r="T53" s="412"/>
      <c r="U53" s="404">
        <f>SUM(U51:U52)</f>
        <v>15734.650000000001</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3</v>
      </c>
      <c r="D64" s="143">
        <v>2.5</v>
      </c>
      <c r="E64" s="116">
        <f t="shared" si="10"/>
        <v>5.5</v>
      </c>
      <c r="F64" s="446" t="s">
        <v>14</v>
      </c>
      <c r="G64" s="445">
        <v>252</v>
      </c>
      <c r="H64" s="459">
        <f>'1461'!H64</f>
        <v>3168</v>
      </c>
      <c r="I64" s="101">
        <f t="shared" si="11"/>
        <v>17424</v>
      </c>
      <c r="N64" s="619"/>
      <c r="O64" s="619"/>
      <c r="P64" s="622"/>
      <c r="Q64" s="622"/>
      <c r="R64" s="40" t="s">
        <v>14</v>
      </c>
      <c r="S64" s="451">
        <v>252</v>
      </c>
      <c r="T64" s="462">
        <f t="shared" si="12"/>
        <v>3168</v>
      </c>
      <c r="U64" s="476">
        <f t="shared" si="13"/>
        <v>0</v>
      </c>
      <c r="V64" s="426"/>
    </row>
    <row r="65" spans="1:22" ht="16.5" thickBot="1" x14ac:dyDescent="0.3">
      <c r="A65" s="533"/>
      <c r="B65" s="533"/>
      <c r="C65" s="143">
        <v>20.5</v>
      </c>
      <c r="D65" s="143">
        <v>23.44</v>
      </c>
      <c r="E65" s="116">
        <f t="shared" si="10"/>
        <v>43.94</v>
      </c>
      <c r="F65" s="446" t="s">
        <v>14</v>
      </c>
      <c r="G65" s="445">
        <v>253</v>
      </c>
      <c r="H65" s="459">
        <f>'1461'!H65</f>
        <v>6685</v>
      </c>
      <c r="I65" s="101">
        <f t="shared" si="11"/>
        <v>293738.90000000002</v>
      </c>
      <c r="N65" s="619"/>
      <c r="O65" s="619"/>
      <c r="P65" s="623"/>
      <c r="Q65" s="623"/>
      <c r="R65" s="40" t="s">
        <v>14</v>
      </c>
      <c r="S65" s="451">
        <v>253</v>
      </c>
      <c r="T65" s="462">
        <f t="shared" si="12"/>
        <v>6685</v>
      </c>
      <c r="U65" s="477">
        <f t="shared" si="13"/>
        <v>0</v>
      </c>
      <c r="V65" s="426"/>
    </row>
    <row r="66" spans="1:22" ht="16.5" thickBot="1" x14ac:dyDescent="0.3">
      <c r="A66" s="442"/>
      <c r="C66" s="97">
        <f>SUM(C57:C65)</f>
        <v>23.5</v>
      </c>
      <c r="D66" s="97">
        <f>SUM(D57:D65)</f>
        <v>25.94</v>
      </c>
      <c r="E66" s="97">
        <f>SUM(E57:E65)</f>
        <v>49.44</v>
      </c>
      <c r="F66" s="520" t="s">
        <v>448</v>
      </c>
      <c r="G66" s="520"/>
      <c r="H66" s="520"/>
      <c r="I66" s="97">
        <f>SUM(I57:I65)</f>
        <v>311162.90000000002</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49.44</v>
      </c>
      <c r="D69" s="530" t="s">
        <v>413</v>
      </c>
      <c r="E69" s="530"/>
      <c r="F69" s="530"/>
      <c r="G69" s="530"/>
      <c r="H69" s="301">
        <f>'1461'!H69</f>
        <v>203305.63</v>
      </c>
      <c r="I69" s="113"/>
      <c r="N69" s="591" t="s">
        <v>406</v>
      </c>
      <c r="O69" s="568"/>
      <c r="P69" s="41">
        <f>P30</f>
        <v>49.44</v>
      </c>
      <c r="Q69" s="596" t="s">
        <v>408</v>
      </c>
      <c r="R69" s="597"/>
      <c r="S69" s="597"/>
      <c r="T69" s="595">
        <f>H69</f>
        <v>203305.63</v>
      </c>
      <c r="U69" s="595"/>
    </row>
    <row r="70" spans="1:22" x14ac:dyDescent="0.25">
      <c r="B70" s="69"/>
      <c r="G70" s="42" t="s">
        <v>12</v>
      </c>
      <c r="H70" s="114">
        <f>ROUND(C69/H69,6)</f>
        <v>2.43E-4</v>
      </c>
      <c r="I70" s="115"/>
      <c r="N70" s="568"/>
      <c r="O70" s="568"/>
      <c r="P70" s="568"/>
      <c r="Q70" s="568"/>
      <c r="R70" s="568"/>
      <c r="S70" s="568"/>
      <c r="T70" s="598">
        <f>ROUND(P69/T69,6)</f>
        <v>2.43E-4</v>
      </c>
      <c r="U70" s="598"/>
    </row>
    <row r="71" spans="1:22" x14ac:dyDescent="0.25">
      <c r="A71" s="444" t="s">
        <v>451</v>
      </c>
      <c r="N71" s="455" t="s">
        <v>459</v>
      </c>
      <c r="O71" s="51"/>
      <c r="P71" s="51"/>
      <c r="Q71" s="51"/>
      <c r="R71" s="51"/>
      <c r="S71" s="51"/>
      <c r="T71" s="51"/>
      <c r="U71" s="51"/>
    </row>
    <row r="72" spans="1:22" x14ac:dyDescent="0.25">
      <c r="A72" s="516" t="s">
        <v>403</v>
      </c>
      <c r="B72" s="517"/>
      <c r="C72" s="112">
        <f>H30</f>
        <v>48.846699999999998</v>
      </c>
      <c r="D72" s="530" t="s">
        <v>414</v>
      </c>
      <c r="E72" s="530"/>
      <c r="F72" s="530"/>
      <c r="G72" s="530"/>
      <c r="H72" s="302">
        <f>'1461'!H72</f>
        <v>227540.36</v>
      </c>
      <c r="I72" s="116"/>
      <c r="N72" s="591" t="s">
        <v>407</v>
      </c>
      <c r="O72" s="568"/>
      <c r="P72" s="41">
        <f>T30</f>
        <v>49.44</v>
      </c>
      <c r="Q72" s="596" t="s">
        <v>409</v>
      </c>
      <c r="R72" s="597"/>
      <c r="S72" s="597"/>
      <c r="T72" s="595">
        <f>H72</f>
        <v>227540.36</v>
      </c>
      <c r="U72" s="595"/>
    </row>
    <row r="73" spans="1:22" x14ac:dyDescent="0.25">
      <c r="G73" s="42" t="s">
        <v>12</v>
      </c>
      <c r="H73" s="114">
        <f>ROUND(C72/H72,6)</f>
        <v>2.1499999999999999E-4</v>
      </c>
      <c r="I73" s="114"/>
      <c r="N73" s="568"/>
      <c r="O73" s="568"/>
      <c r="P73" s="568"/>
      <c r="Q73" s="568"/>
      <c r="R73" s="568"/>
      <c r="S73" s="568"/>
      <c r="T73" s="598">
        <f>ROUND(P72/T72,6)</f>
        <v>2.1699999999999999E-4</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49.44</v>
      </c>
      <c r="D75" s="529" t="s">
        <v>415</v>
      </c>
      <c r="E75" s="529"/>
      <c r="F75" s="529"/>
      <c r="G75" s="529"/>
      <c r="H75" s="301">
        <f>'1461'!H75</f>
        <v>186907.73</v>
      </c>
      <c r="I75" s="113"/>
      <c r="N75" s="591" t="s">
        <v>405</v>
      </c>
      <c r="O75" s="568"/>
      <c r="P75" s="41">
        <f>P30</f>
        <v>49.44</v>
      </c>
      <c r="Q75" s="601" t="s">
        <v>410</v>
      </c>
      <c r="R75" s="602"/>
      <c r="S75" s="602"/>
      <c r="T75" s="595">
        <f>H75</f>
        <v>186907.73</v>
      </c>
      <c r="U75" s="595"/>
    </row>
    <row r="76" spans="1:22" x14ac:dyDescent="0.25">
      <c r="B76" s="69"/>
      <c r="G76" s="42" t="s">
        <v>12</v>
      </c>
      <c r="H76" s="114">
        <f>ROUND(C75/H75,6)</f>
        <v>2.6499999999999999E-4</v>
      </c>
      <c r="I76" s="115"/>
      <c r="N76" s="568"/>
      <c r="O76" s="568"/>
      <c r="P76" s="568"/>
      <c r="Q76" s="568"/>
      <c r="R76" s="568"/>
      <c r="S76" s="568"/>
      <c r="T76" s="598">
        <f>ROUND(P75/T75,6)</f>
        <v>2.6499999999999999E-4</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49.44</v>
      </c>
      <c r="D78" s="525" t="s">
        <v>416</v>
      </c>
      <c r="E78" s="525"/>
      <c r="F78" s="525"/>
      <c r="G78" s="525"/>
      <c r="H78" s="301">
        <f>'1461'!H78</f>
        <v>203080.55</v>
      </c>
      <c r="I78" s="113"/>
      <c r="N78" s="591" t="s">
        <v>405</v>
      </c>
      <c r="O78" s="568"/>
      <c r="P78" s="41">
        <f>P30</f>
        <v>49.44</v>
      </c>
      <c r="Q78" s="599" t="s">
        <v>411</v>
      </c>
      <c r="R78" s="600"/>
      <c r="S78" s="600"/>
      <c r="T78" s="595">
        <f>H78</f>
        <v>203080.55</v>
      </c>
      <c r="U78" s="595"/>
    </row>
    <row r="79" spans="1:22" x14ac:dyDescent="0.25">
      <c r="B79" s="69"/>
      <c r="G79" s="42" t="s">
        <v>12</v>
      </c>
      <c r="H79" s="114">
        <f>ROUND(C78/H78,6)</f>
        <v>2.43E-4</v>
      </c>
      <c r="I79" s="115"/>
      <c r="N79" s="568"/>
      <c r="O79" s="568"/>
      <c r="P79" s="568"/>
      <c r="Q79" s="568"/>
      <c r="R79" s="568"/>
      <c r="S79" s="568"/>
      <c r="T79" s="598">
        <f>ROUND(P78/T78,6)</f>
        <v>2.43E-4</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49.44</v>
      </c>
      <c r="D81" s="529" t="s">
        <v>417</v>
      </c>
      <c r="E81" s="529"/>
      <c r="F81" s="529"/>
      <c r="G81" s="529"/>
      <c r="H81" s="301">
        <f>'1461'!H81</f>
        <v>186682.65</v>
      </c>
      <c r="I81" s="113"/>
      <c r="N81" s="591" t="s">
        <v>418</v>
      </c>
      <c r="O81" s="568"/>
      <c r="P81" s="41">
        <f>P30</f>
        <v>49.44</v>
      </c>
      <c r="Q81" s="601" t="s">
        <v>419</v>
      </c>
      <c r="R81" s="602"/>
      <c r="S81" s="602"/>
      <c r="T81" s="595">
        <f>H81</f>
        <v>186682.65</v>
      </c>
      <c r="U81" s="595"/>
    </row>
    <row r="82" spans="1:21" x14ac:dyDescent="0.25">
      <c r="B82" s="69"/>
      <c r="G82" s="42" t="s">
        <v>12</v>
      </c>
      <c r="H82" s="114">
        <f>ROUND(C81/H81,6)</f>
        <v>2.6499999999999999E-4</v>
      </c>
      <c r="I82" s="115"/>
      <c r="N82" s="568"/>
      <c r="O82" s="568"/>
      <c r="P82" s="568"/>
      <c r="Q82" s="568"/>
      <c r="R82" s="568"/>
      <c r="S82" s="568"/>
      <c r="T82" s="598">
        <f>ROUND(P81/T81,6)</f>
        <v>2.6499999999999999E-4</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2.43E-4</v>
      </c>
      <c r="I85" s="101">
        <f>ROUND(F85*H85,2)</f>
        <v>10853.73</v>
      </c>
      <c r="N85" s="455" t="s">
        <v>455</v>
      </c>
      <c r="O85" s="51"/>
      <c r="P85" s="51"/>
      <c r="Q85" s="44"/>
      <c r="R85" s="421">
        <f>F85</f>
        <v>44665536</v>
      </c>
      <c r="S85" s="38" t="s">
        <v>6</v>
      </c>
      <c r="T85" s="423">
        <f>T79</f>
        <v>2.43E-4</v>
      </c>
      <c r="U85" s="475">
        <f>ROUND(R85*T85,2)</f>
        <v>10853.73</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2.43E-4</v>
      </c>
      <c r="I88" s="101">
        <f>ROUND(F88*H88,2)</f>
        <v>0</v>
      </c>
      <c r="N88" s="603" t="s">
        <v>99</v>
      </c>
      <c r="O88" s="568"/>
      <c r="P88" s="568"/>
      <c r="Q88" s="44"/>
      <c r="R88" s="421">
        <f>F88</f>
        <v>0</v>
      </c>
      <c r="S88" s="38" t="s">
        <v>6</v>
      </c>
      <c r="T88" s="423">
        <f>T70</f>
        <v>2.43E-4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2.6499999999999999E-4</v>
      </c>
      <c r="I90" s="101">
        <f>ROUND(F90*H90,2)</f>
        <v>4284.2700000000004</v>
      </c>
      <c r="N90" s="455" t="s">
        <v>456</v>
      </c>
      <c r="O90" s="51"/>
      <c r="P90" s="51"/>
      <c r="Q90" s="44"/>
      <c r="R90" s="421">
        <f>F90</f>
        <v>16167052</v>
      </c>
      <c r="S90" s="38" t="s">
        <v>6</v>
      </c>
      <c r="T90" s="423">
        <f>T82</f>
        <v>2.6499999999999999E-4</v>
      </c>
      <c r="U90" s="475">
        <f>ROUND(R90*T90,2)</f>
        <v>4284.2700000000004</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2.6499999999999999E-4</v>
      </c>
      <c r="I92" s="101">
        <f t="shared" ref="I92:I96" si="14">ROUND(F92*H92,2)</f>
        <v>2660.63</v>
      </c>
      <c r="N92" s="455" t="s">
        <v>457</v>
      </c>
      <c r="O92" s="51"/>
      <c r="P92" s="51"/>
      <c r="Q92" s="44"/>
      <c r="R92" s="421">
        <f t="shared" ref="R92:R96" si="15">F92</f>
        <v>10040099</v>
      </c>
      <c r="S92" s="38" t="s">
        <v>6</v>
      </c>
      <c r="T92" s="423">
        <f>T76</f>
        <v>2.6499999999999999E-4</v>
      </c>
      <c r="U92" s="475">
        <f>ROUND(R92*T92,2)</f>
        <v>2660.63</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2.1499999999999999E-4</v>
      </c>
      <c r="I94" s="101">
        <f t="shared" si="14"/>
        <v>51384.5</v>
      </c>
      <c r="N94" s="568" t="s">
        <v>421</v>
      </c>
      <c r="O94" s="568"/>
      <c r="P94" s="568"/>
      <c r="Q94" s="44"/>
      <c r="R94" s="421">
        <f t="shared" si="15"/>
        <v>238997674</v>
      </c>
      <c r="S94" s="38" t="s">
        <v>6</v>
      </c>
      <c r="T94" s="423">
        <f>T73</f>
        <v>2.1699999999999999E-4</v>
      </c>
      <c r="U94" s="475">
        <f>ROUND(R94*T94,2)</f>
        <v>51862.5</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2.1499999999999999E-4</v>
      </c>
      <c r="I96" s="101">
        <f t="shared" si="14"/>
        <v>-344.01</v>
      </c>
      <c r="N96" s="591" t="s">
        <v>422</v>
      </c>
      <c r="O96" s="568"/>
      <c r="P96" s="568"/>
      <c r="Q96" s="44"/>
      <c r="R96" s="421">
        <f t="shared" si="15"/>
        <v>-1600047</v>
      </c>
      <c r="S96" s="38" t="s">
        <v>6</v>
      </c>
      <c r="T96" s="423">
        <f>T73</f>
        <v>2.1699999999999999E-4</v>
      </c>
      <c r="U96" s="475">
        <f>ROUND(R96*T96,2)</f>
        <v>-347.21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48.846699999999998</v>
      </c>
      <c r="D103" s="515"/>
      <c r="E103" s="46">
        <f>H8</f>
        <v>1.0442</v>
      </c>
      <c r="F103" s="304">
        <f>'1461'!F103</f>
        <v>906.93</v>
      </c>
      <c r="G103" s="39" t="s">
        <v>12</v>
      </c>
      <c r="H103" s="94">
        <f>ROUND(C103*E103*F103,2)</f>
        <v>46258.62</v>
      </c>
      <c r="N103" s="53" t="s">
        <v>14</v>
      </c>
      <c r="O103" s="54">
        <f>T18+T19+T22+T25+T28+T29</f>
        <v>49.44</v>
      </c>
      <c r="P103" s="606">
        <f>T8</f>
        <v>1.0442</v>
      </c>
      <c r="Q103" s="606"/>
      <c r="R103" s="48">
        <f>F103</f>
        <v>906.93</v>
      </c>
      <c r="S103" s="40" t="s">
        <v>12</v>
      </c>
      <c r="T103" s="481">
        <f>ROUND(O103*P103*R103,2)</f>
        <v>46820.49</v>
      </c>
      <c r="U103" s="51"/>
    </row>
    <row r="104" spans="1:21" ht="16.5" thickBot="1" x14ac:dyDescent="0.3">
      <c r="A104" s="55"/>
      <c r="B104" s="122" t="s">
        <v>102</v>
      </c>
      <c r="C104" s="528">
        <f>SUM(C101:C103)</f>
        <v>48.846699999999998</v>
      </c>
      <c r="D104" s="528"/>
      <c r="E104" s="123"/>
      <c r="F104" s="123"/>
      <c r="G104" s="123"/>
      <c r="H104" s="124" t="s">
        <v>100</v>
      </c>
      <c r="I104" s="101">
        <f>IF(A1=75,0,H103+H102+H101)</f>
        <v>46258.62</v>
      </c>
      <c r="N104" s="56" t="s">
        <v>89</v>
      </c>
      <c r="O104" s="57">
        <f>SUM(O101:O103)</f>
        <v>49.44</v>
      </c>
      <c r="P104" s="607" t="s">
        <v>16</v>
      </c>
      <c r="Q104" s="608"/>
      <c r="R104" s="608"/>
      <c r="S104" s="608"/>
      <c r="T104" s="608"/>
      <c r="U104" s="475">
        <f>IF(N1=75,0,T103+T102+T101)</f>
        <v>46820.49</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47</v>
      </c>
      <c r="D110" s="143">
        <v>50</v>
      </c>
      <c r="E110" s="116">
        <f>(C110+D110)/2</f>
        <v>48.5</v>
      </c>
      <c r="F110" s="126" t="s">
        <v>30</v>
      </c>
      <c r="G110" s="305">
        <f>'1461'!G110</f>
        <v>565</v>
      </c>
      <c r="I110" s="101">
        <f>ROUND(G110*E110,2)</f>
        <v>27402.5</v>
      </c>
      <c r="N110" s="617" t="s">
        <v>52</v>
      </c>
      <c r="O110" s="617"/>
      <c r="P110" s="605">
        <f>IF(H130=1,E110,0)</f>
        <v>48.5</v>
      </c>
      <c r="Q110" s="605"/>
      <c r="R110" s="605"/>
      <c r="S110" s="83" t="s">
        <v>30</v>
      </c>
      <c r="T110" s="58">
        <f>G110</f>
        <v>565</v>
      </c>
      <c r="U110" s="475">
        <f>ROUND(T110*P110,2)</f>
        <v>27402.5</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715818.79</v>
      </c>
      <c r="N125" s="455"/>
      <c r="O125" s="454"/>
      <c r="P125" s="454"/>
      <c r="Q125" s="307"/>
      <c r="R125" s="307"/>
      <c r="S125" s="307"/>
      <c r="T125" s="307"/>
      <c r="U125" s="482">
        <f>SUM(U30,U85,U88,U90,U92,U94,U96,U104,U110,U111,U121,U123)</f>
        <v>408876.75</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700272.96000000008</v>
      </c>
      <c r="N127" s="613" t="s">
        <v>33</v>
      </c>
      <c r="O127" s="613"/>
      <c r="P127" s="613"/>
      <c r="Q127" s="613"/>
      <c r="R127" s="613"/>
      <c r="S127" s="613"/>
      <c r="T127" s="613"/>
      <c r="U127" s="132">
        <f>U125-U53</f>
        <v>393142.1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f>IF(E30=0,"",IF((E15+E17+SUM(E19:E25))/E30&gt;0.75,1,""))</f>
        <v>1</v>
      </c>
      <c r="I130" s="116">
        <f>U127</f>
        <v>393142.1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393142.1</v>
      </c>
      <c r="I132" s="94">
        <f>ROUND(IF(E30=0,0,IF(E30&gt;250,-(((250/E30)*H132)*IF(G132="H",0.02,0.05)),IF(G132="H",-0.02*H132,-0.05*H132))),2)</f>
        <v>-19657.11</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696161.68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-40899.199999999997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655262.4800000001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59569.32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CCC"/>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116</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191.79</v>
      </c>
      <c r="D14" s="141">
        <v>186</v>
      </c>
      <c r="E14" s="187">
        <f>IF(D$30=0,C14*2,C14+D14)</f>
        <v>377.78999999999996</v>
      </c>
      <c r="F14" s="558">
        <f>'1461'!F14:G14</f>
        <v>1.1220000000000001</v>
      </c>
      <c r="G14" s="558"/>
      <c r="H14" s="145">
        <f>ROUND(E14*F14,4)</f>
        <v>423.88040000000001</v>
      </c>
      <c r="I14" s="111">
        <f>ROUND(ROUND(ROUND(H14*$C$8,4)*($H$8),2)*(MAX($H$9,1)),2)</f>
        <v>2274926.29</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33.5</v>
      </c>
      <c r="D15" s="143">
        <v>42.27</v>
      </c>
      <c r="E15" s="116">
        <f t="shared" ref="E15:E29" si="1">IF(D$30=0,C15*2,C15+D15)</f>
        <v>75.77000000000001</v>
      </c>
      <c r="F15" s="555">
        <f>'1461'!F15:G15</f>
        <v>1.1220000000000001</v>
      </c>
      <c r="G15" s="555"/>
      <c r="H15" s="80">
        <f t="shared" ref="H15:H29" si="2">ROUND(E15*F15,4)</f>
        <v>85.013900000000007</v>
      </c>
      <c r="I15" s="101">
        <f t="shared" ref="I15:I29" si="3">ROUND(ROUND(ROUND(H15*$C$8,4)*($H$8),2)*(MAX($H$9,1)),2)</f>
        <v>456261.62</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224.82</v>
      </c>
      <c r="D16" s="143">
        <v>225.24</v>
      </c>
      <c r="E16" s="116">
        <f t="shared" si="1"/>
        <v>450.06</v>
      </c>
      <c r="F16" s="555">
        <f>'1461'!F16:G16</f>
        <v>1</v>
      </c>
      <c r="G16" s="555"/>
      <c r="H16" s="80">
        <f t="shared" si="2"/>
        <v>450.06</v>
      </c>
      <c r="I16" s="101">
        <f t="shared" si="3"/>
        <v>2415429.7400000002</v>
      </c>
      <c r="N16" s="568" t="s">
        <v>22</v>
      </c>
      <c r="O16" s="568"/>
      <c r="P16" s="569">
        <f t="shared" si="0"/>
        <v>0</v>
      </c>
      <c r="Q16" s="569"/>
      <c r="R16" s="570">
        <v>1</v>
      </c>
      <c r="S16" s="570"/>
      <c r="T16" s="95">
        <f t="shared" si="4"/>
        <v>0</v>
      </c>
      <c r="U16" s="475">
        <f t="shared" si="5"/>
        <v>0</v>
      </c>
    </row>
    <row r="17" spans="1:21" x14ac:dyDescent="0.25">
      <c r="A17" s="517" t="s">
        <v>23</v>
      </c>
      <c r="B17" s="517"/>
      <c r="C17" s="143">
        <v>57</v>
      </c>
      <c r="D17" s="143">
        <v>55.33</v>
      </c>
      <c r="E17" s="116">
        <f t="shared" si="1"/>
        <v>112.33</v>
      </c>
      <c r="F17" s="555">
        <f>'1461'!F17:G17</f>
        <v>1</v>
      </c>
      <c r="G17" s="555"/>
      <c r="H17" s="80">
        <f t="shared" si="2"/>
        <v>112.33</v>
      </c>
      <c r="I17" s="101">
        <f t="shared" si="3"/>
        <v>602864.56000000006</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13.71</v>
      </c>
      <c r="D26" s="143">
        <v>12.9</v>
      </c>
      <c r="E26" s="116">
        <f t="shared" si="1"/>
        <v>26.61</v>
      </c>
      <c r="F26" s="555">
        <f>'1461'!F26:G26</f>
        <v>1.208</v>
      </c>
      <c r="G26" s="555"/>
      <c r="H26" s="80">
        <f t="shared" si="2"/>
        <v>32.1449</v>
      </c>
      <c r="I26" s="101">
        <f t="shared" si="3"/>
        <v>172518.66</v>
      </c>
      <c r="N26" s="568" t="s">
        <v>85</v>
      </c>
      <c r="O26" s="568"/>
      <c r="P26" s="569">
        <f t="shared" si="0"/>
        <v>0</v>
      </c>
      <c r="Q26" s="569"/>
      <c r="R26" s="570">
        <v>1</v>
      </c>
      <c r="S26" s="570"/>
      <c r="T26" s="95">
        <f t="shared" si="4"/>
        <v>0</v>
      </c>
      <c r="U26" s="475">
        <f t="shared" si="5"/>
        <v>0</v>
      </c>
    </row>
    <row r="27" spans="1:21" x14ac:dyDescent="0.25">
      <c r="A27" s="517" t="s">
        <v>86</v>
      </c>
      <c r="B27" s="517"/>
      <c r="C27" s="143">
        <v>1.98</v>
      </c>
      <c r="D27" s="143">
        <v>1.98</v>
      </c>
      <c r="E27" s="116">
        <f t="shared" si="1"/>
        <v>3.96</v>
      </c>
      <c r="F27" s="555">
        <f>'1461'!F27:G27</f>
        <v>1.208</v>
      </c>
      <c r="G27" s="555"/>
      <c r="H27" s="80">
        <f t="shared" si="2"/>
        <v>4.7836999999999996</v>
      </c>
      <c r="I27" s="101">
        <f t="shared" si="3"/>
        <v>25673.67</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522.80000000000007</v>
      </c>
      <c r="D30" s="94">
        <f>SUM(D14:D29)</f>
        <v>523.72</v>
      </c>
      <c r="E30" s="94">
        <f>SUM(E14:E29)</f>
        <v>1046.52</v>
      </c>
      <c r="F30" s="536"/>
      <c r="G30" s="536"/>
      <c r="H30" s="99">
        <f>SUM(H14:H29)</f>
        <v>1108.2129</v>
      </c>
      <c r="I30" s="94">
        <f>SUM(I14:I29)</f>
        <v>5947674.540000001</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1108.2129</v>
      </c>
      <c r="F46" s="34"/>
      <c r="G46" s="106"/>
      <c r="H46" s="107" t="s">
        <v>98</v>
      </c>
      <c r="I46" s="94">
        <f>SUM(I44,I30)</f>
        <v>5947674.540000001</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5947674.540000001</v>
      </c>
      <c r="G51" s="109" t="s">
        <v>6</v>
      </c>
      <c r="H51" s="403">
        <v>4.5199999999999997E-2</v>
      </c>
      <c r="I51" s="101">
        <f>ROUND(F51*H51,2)</f>
        <v>268834.89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5947674.540000001</v>
      </c>
      <c r="G52" s="109" t="s">
        <v>6</v>
      </c>
      <c r="H52" s="403">
        <v>1.41E-2</v>
      </c>
      <c r="I52" s="101">
        <f>ROUND(F52*H52,2)</f>
        <v>83862.210000000006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352697.10000000003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31.5</v>
      </c>
      <c r="D57" s="143">
        <v>39.85</v>
      </c>
      <c r="E57" s="116">
        <f t="shared" ref="E57:E65" si="10">IF(D$72=0,C57*2,C57+D57)</f>
        <v>71.349999999999994</v>
      </c>
      <c r="F57" s="445" t="s">
        <v>439</v>
      </c>
      <c r="G57" s="445">
        <v>251</v>
      </c>
      <c r="H57" s="459">
        <f>'1461'!H57</f>
        <v>1047</v>
      </c>
      <c r="I57" s="101">
        <f>ROUND(E57*H57,2)</f>
        <v>74703.45</v>
      </c>
      <c r="N57" s="618" t="s">
        <v>447</v>
      </c>
      <c r="O57" s="618"/>
      <c r="P57" s="621"/>
      <c r="Q57" s="621"/>
      <c r="R57" s="451" t="s">
        <v>439</v>
      </c>
      <c r="S57" s="451">
        <v>251</v>
      </c>
      <c r="T57" s="462">
        <f>H57</f>
        <v>1047</v>
      </c>
      <c r="U57" s="476">
        <f>ROUND(P57*T57,2)</f>
        <v>0</v>
      </c>
      <c r="V57" s="426"/>
    </row>
    <row r="58" spans="1:22" x14ac:dyDescent="0.25">
      <c r="A58" s="533"/>
      <c r="B58" s="533"/>
      <c r="C58" s="143">
        <v>2</v>
      </c>
      <c r="D58" s="143">
        <v>2.42</v>
      </c>
      <c r="E58" s="116">
        <f t="shared" si="10"/>
        <v>4.42</v>
      </c>
      <c r="F58" s="445" t="s">
        <v>439</v>
      </c>
      <c r="G58" s="445">
        <v>252</v>
      </c>
      <c r="H58" s="459">
        <f>'1461'!H58</f>
        <v>3380</v>
      </c>
      <c r="I58" s="101">
        <f t="shared" ref="I58:I65" si="11">ROUND(E58*H58,2)</f>
        <v>14939.6</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55</v>
      </c>
      <c r="D60" s="143">
        <v>53.43</v>
      </c>
      <c r="E60" s="116">
        <f t="shared" si="10"/>
        <v>108.43</v>
      </c>
      <c r="F60" s="446" t="s">
        <v>13</v>
      </c>
      <c r="G60" s="445">
        <v>251</v>
      </c>
      <c r="H60" s="459">
        <f>'1461'!H60</f>
        <v>1173</v>
      </c>
      <c r="I60" s="101">
        <f t="shared" si="11"/>
        <v>127188.39</v>
      </c>
      <c r="N60" s="619"/>
      <c r="O60" s="619"/>
      <c r="P60" s="622"/>
      <c r="Q60" s="622"/>
      <c r="R60" s="40" t="s">
        <v>13</v>
      </c>
      <c r="S60" s="451">
        <v>251</v>
      </c>
      <c r="T60" s="462">
        <f t="shared" si="12"/>
        <v>1173</v>
      </c>
      <c r="U60" s="476">
        <f t="shared" si="13"/>
        <v>0</v>
      </c>
      <c r="V60" s="426"/>
    </row>
    <row r="61" spans="1:22" x14ac:dyDescent="0.25">
      <c r="A61" s="533"/>
      <c r="B61" s="533"/>
      <c r="C61" s="143">
        <v>2</v>
      </c>
      <c r="D61" s="143">
        <v>1.9</v>
      </c>
      <c r="E61" s="116">
        <f t="shared" si="10"/>
        <v>3.9</v>
      </c>
      <c r="F61" s="446" t="s">
        <v>13</v>
      </c>
      <c r="G61" s="445">
        <v>252</v>
      </c>
      <c r="H61" s="459">
        <f>'1461'!H61</f>
        <v>3506</v>
      </c>
      <c r="I61" s="101">
        <f t="shared" si="11"/>
        <v>13673.4</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90.5</v>
      </c>
      <c r="D66" s="97">
        <f>SUM(D57:D65)</f>
        <v>97.600000000000009</v>
      </c>
      <c r="E66" s="97">
        <f>SUM(E57:E65)</f>
        <v>188.1</v>
      </c>
      <c r="F66" s="520" t="s">
        <v>448</v>
      </c>
      <c r="G66" s="520"/>
      <c r="H66" s="520"/>
      <c r="I66" s="97">
        <f>SUM(I57:I65)</f>
        <v>230504.84</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1046.52</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5.1479999999999998E-3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1108.2129</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4.8700000000000002E-3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1046.52</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5.5989999999999998E-3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1046.52</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5.1529999999999996E-3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1046.52</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5.6059999999999999E-3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5.1529999999999996E-3</v>
      </c>
      <c r="I85" s="101">
        <f>ROUND(F85*H85,2)</f>
        <v>230161.51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5.1479999999999998E-3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5.6059999999999999E-3</v>
      </c>
      <c r="I90" s="101">
        <f>ROUND(F90*H90,2)</f>
        <v>90632.49</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5.5989999999999998E-3</v>
      </c>
      <c r="I92" s="101">
        <f t="shared" ref="I92:I96" si="14">ROUND(F92*H92,2)</f>
        <v>56214.51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4.8700000000000002E-3</v>
      </c>
      <c r="I94" s="101">
        <f t="shared" si="14"/>
        <v>1163918.67</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4.8700000000000002E-3</v>
      </c>
      <c r="I96" s="101">
        <f t="shared" si="14"/>
        <v>-7792.23</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541.03920000000005</v>
      </c>
      <c r="D101" s="515"/>
      <c r="E101" s="46">
        <f>H8</f>
        <v>1.0442</v>
      </c>
      <c r="F101" s="304">
        <f>'1461'!F101</f>
        <v>947.59</v>
      </c>
      <c r="G101" s="39" t="s">
        <v>12</v>
      </c>
      <c r="H101" s="101">
        <f>ROUND(C101*E101*F101,2)</f>
        <v>535343.93999999994</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567.17369999999994</v>
      </c>
      <c r="D102" s="515"/>
      <c r="E102" s="46">
        <f>H8</f>
        <v>1.0442</v>
      </c>
      <c r="F102" s="304">
        <f>'1461'!F102</f>
        <v>904.74</v>
      </c>
      <c r="G102" s="39" t="s">
        <v>12</v>
      </c>
      <c r="H102" s="101">
        <f>ROUND(C102*E102*F102,2)</f>
        <v>535825.73</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1108.2129</v>
      </c>
      <c r="D104" s="528"/>
      <c r="E104" s="123"/>
      <c r="F104" s="123"/>
      <c r="G104" s="123"/>
      <c r="H104" s="124" t="s">
        <v>100</v>
      </c>
      <c r="I104" s="101">
        <f>IF(A1=75,0,H103+H102+H101)</f>
        <v>1071169.67</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71</v>
      </c>
      <c r="D110" s="143">
        <v>78</v>
      </c>
      <c r="E110" s="116">
        <f>(C110+D110)/2</f>
        <v>74.5</v>
      </c>
      <c r="F110" s="126" t="s">
        <v>30</v>
      </c>
      <c r="G110" s="305">
        <f>'1461'!G110</f>
        <v>565</v>
      </c>
      <c r="I110" s="101">
        <f>ROUND(G110*E110,2)</f>
        <v>42092.5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8824576.5</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8471879.4000000004</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8471879.4000000004</v>
      </c>
      <c r="I132" s="94">
        <f>ROUND(IF(E30=0,0,IF(E30&gt;250,-(((250/E30)*H132)*IF(G132="H",0.02,0.05)),IF(G132="H",-0.02*H132,-0.05*H132))),2)</f>
        <v>-40476.43</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8784100.0700000003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-771366.85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8012733.2200000007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728430.29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128961.16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117</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51.08</v>
      </c>
      <c r="D14" s="141">
        <v>49.85</v>
      </c>
      <c r="E14" s="187">
        <f>IF(D$30=0,C14*2,C14+D14)</f>
        <v>100.93</v>
      </c>
      <c r="F14" s="558">
        <f>'1461'!F14:G14</f>
        <v>1.1220000000000001</v>
      </c>
      <c r="G14" s="558"/>
      <c r="H14" s="145">
        <f>ROUND(E14*F14,4)</f>
        <v>113.2435</v>
      </c>
      <c r="I14" s="111">
        <f>ROUND(ROUND(ROUND(H14*$C$8,4)*($H$8),2)*(MAX($H$9,1)),2)</f>
        <v>607767.23</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7</v>
      </c>
      <c r="D15" s="143">
        <v>7.91</v>
      </c>
      <c r="E15" s="116">
        <f t="shared" ref="E15:E29" si="1">IF(D$30=0,C15*2,C15+D15)</f>
        <v>14.91</v>
      </c>
      <c r="F15" s="555">
        <f>'1461'!F15:G15</f>
        <v>1.1220000000000001</v>
      </c>
      <c r="G15" s="555"/>
      <c r="H15" s="80">
        <f t="shared" ref="H15:H29" si="2">ROUND(E15*F15,4)</f>
        <v>16.728999999999999</v>
      </c>
      <c r="I15" s="101">
        <f t="shared" ref="I15:I29" si="3">ROUND(ROUND(ROUND(H15*$C$8,4)*($H$8),2)*(MAX($H$9,1)),2)</f>
        <v>89782.97</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60</v>
      </c>
      <c r="D16" s="143">
        <v>60.58</v>
      </c>
      <c r="E16" s="116">
        <f t="shared" si="1"/>
        <v>120.58</v>
      </c>
      <c r="F16" s="555">
        <f>'1461'!F16:G16</f>
        <v>1</v>
      </c>
      <c r="G16" s="555"/>
      <c r="H16" s="80">
        <f t="shared" si="2"/>
        <v>120.58</v>
      </c>
      <c r="I16" s="101">
        <f t="shared" si="3"/>
        <v>647141.53</v>
      </c>
      <c r="N16" s="568" t="s">
        <v>22</v>
      </c>
      <c r="O16" s="568"/>
      <c r="P16" s="569">
        <f t="shared" si="0"/>
        <v>0</v>
      </c>
      <c r="Q16" s="569"/>
      <c r="R16" s="570">
        <v>1</v>
      </c>
      <c r="S16" s="570"/>
      <c r="T16" s="95">
        <f t="shared" si="4"/>
        <v>0</v>
      </c>
      <c r="U16" s="475">
        <f t="shared" si="5"/>
        <v>0</v>
      </c>
    </row>
    <row r="17" spans="1:21" x14ac:dyDescent="0.25">
      <c r="A17" s="517" t="s">
        <v>23</v>
      </c>
      <c r="B17" s="517"/>
      <c r="C17" s="143">
        <v>12</v>
      </c>
      <c r="D17" s="143">
        <v>11</v>
      </c>
      <c r="E17" s="116">
        <f t="shared" si="1"/>
        <v>23</v>
      </c>
      <c r="F17" s="555">
        <f>'1461'!F17:G17</f>
        <v>1</v>
      </c>
      <c r="G17" s="555"/>
      <c r="H17" s="80">
        <f t="shared" si="2"/>
        <v>23</v>
      </c>
      <c r="I17" s="101">
        <f t="shared" si="3"/>
        <v>123438.84</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0.92</v>
      </c>
      <c r="D26" s="143">
        <v>0.92</v>
      </c>
      <c r="E26" s="116">
        <f t="shared" si="1"/>
        <v>1.84</v>
      </c>
      <c r="F26" s="555">
        <f>'1461'!F26:G26</f>
        <v>1.208</v>
      </c>
      <c r="G26" s="555"/>
      <c r="H26" s="80">
        <f t="shared" si="2"/>
        <v>2.2227000000000001</v>
      </c>
      <c r="I26" s="101">
        <f t="shared" si="3"/>
        <v>11929.02</v>
      </c>
      <c r="N26" s="568" t="s">
        <v>85</v>
      </c>
      <c r="O26" s="568"/>
      <c r="P26" s="569">
        <f t="shared" si="0"/>
        <v>0</v>
      </c>
      <c r="Q26" s="569"/>
      <c r="R26" s="570">
        <v>1</v>
      </c>
      <c r="S26" s="570"/>
      <c r="T26" s="95">
        <f t="shared" si="4"/>
        <v>0</v>
      </c>
      <c r="U26" s="475">
        <f t="shared" si="5"/>
        <v>0</v>
      </c>
    </row>
    <row r="27" spans="1:21" x14ac:dyDescent="0.25">
      <c r="A27" s="517" t="s">
        <v>86</v>
      </c>
      <c r="B27" s="517"/>
      <c r="C27" s="143">
        <v>2.5</v>
      </c>
      <c r="D27" s="143">
        <v>0.42</v>
      </c>
      <c r="E27" s="116">
        <f t="shared" si="1"/>
        <v>2.92</v>
      </c>
      <c r="F27" s="555">
        <f>'1461'!F27:G27</f>
        <v>1.208</v>
      </c>
      <c r="G27" s="555"/>
      <c r="H27" s="80">
        <f t="shared" si="2"/>
        <v>3.5274000000000001</v>
      </c>
      <c r="I27" s="101">
        <f t="shared" si="3"/>
        <v>18931.22</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133.49999999999997</v>
      </c>
      <c r="D30" s="94">
        <f>SUM(D14:D29)</f>
        <v>130.67999999999998</v>
      </c>
      <c r="E30" s="94">
        <f>SUM(E14:E29)</f>
        <v>264.18</v>
      </c>
      <c r="F30" s="536"/>
      <c r="G30" s="536"/>
      <c r="H30" s="99">
        <f>SUM(H14:H29)</f>
        <v>279.30259999999998</v>
      </c>
      <c r="I30" s="94">
        <f>SUM(I14:I29)</f>
        <v>1498990.81</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279.30259999999998</v>
      </c>
      <c r="F46" s="34"/>
      <c r="G46" s="106"/>
      <c r="H46" s="107" t="s">
        <v>98</v>
      </c>
      <c r="I46" s="94">
        <f>SUM(I44,I30)</f>
        <v>1498990.81</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1498990.81</v>
      </c>
      <c r="G51" s="109" t="s">
        <v>6</v>
      </c>
      <c r="H51" s="403">
        <v>4.5199999999999997E-2</v>
      </c>
      <c r="I51" s="101">
        <f>ROUND(F51*H51,2)</f>
        <v>67754.38</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1498990.81</v>
      </c>
      <c r="G52" s="109" t="s">
        <v>6</v>
      </c>
      <c r="H52" s="403">
        <v>1.41E-2</v>
      </c>
      <c r="I52" s="101">
        <f>ROUND(F52*H52,2)</f>
        <v>21135.77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88890.150000000009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7</v>
      </c>
      <c r="D57" s="143">
        <v>7.91</v>
      </c>
      <c r="E57" s="116">
        <f t="shared" ref="E57:E65" si="10">IF(D$72=0,C57*2,C57+D57)</f>
        <v>14.91</v>
      </c>
      <c r="F57" s="445" t="s">
        <v>439</v>
      </c>
      <c r="G57" s="445">
        <v>251</v>
      </c>
      <c r="H57" s="459">
        <f>'1461'!H57</f>
        <v>1047</v>
      </c>
      <c r="I57" s="101">
        <f>ROUND(E57*H57,2)</f>
        <v>15610.77</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12</v>
      </c>
      <c r="D60" s="143">
        <v>11</v>
      </c>
      <c r="E60" s="116">
        <f t="shared" si="10"/>
        <v>23</v>
      </c>
      <c r="F60" s="446" t="s">
        <v>13</v>
      </c>
      <c r="G60" s="445">
        <v>251</v>
      </c>
      <c r="H60" s="459">
        <f>'1461'!H60</f>
        <v>1173</v>
      </c>
      <c r="I60" s="101">
        <f t="shared" si="11"/>
        <v>26979</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19</v>
      </c>
      <c r="D66" s="97">
        <f>SUM(D57:D65)</f>
        <v>18.91</v>
      </c>
      <c r="E66" s="97">
        <f>SUM(E57:E65)</f>
        <v>37.909999999999997</v>
      </c>
      <c r="F66" s="520" t="s">
        <v>448</v>
      </c>
      <c r="G66" s="520"/>
      <c r="H66" s="520"/>
      <c r="I66" s="97">
        <f>SUM(I57:I65)</f>
        <v>42589.770000000004</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264.18</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1.299E-3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279.30259999999998</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1.227E-3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264.18</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1.413E-3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264.18</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1.3010000000000001E-3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264.18</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1.415E-3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1.3010000000000001E-3</v>
      </c>
      <c r="I85" s="101">
        <f>ROUND(F85*H85,2)</f>
        <v>58109.86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1.299E-3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1.415E-3</v>
      </c>
      <c r="I90" s="101">
        <f>ROUND(F90*H90,2)</f>
        <v>22876.38</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1.413E-3</v>
      </c>
      <c r="I92" s="101">
        <f t="shared" ref="I92:I96" si="14">ROUND(F92*H92,2)</f>
        <v>14186.66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1.227E-3</v>
      </c>
      <c r="I94" s="101">
        <f t="shared" si="14"/>
        <v>293250.15000000002</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1.227E-3</v>
      </c>
      <c r="I96" s="101">
        <f t="shared" si="14"/>
        <v>-1963.26</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132.1952</v>
      </c>
      <c r="D101" s="515"/>
      <c r="E101" s="46">
        <f>H8</f>
        <v>1.0442</v>
      </c>
      <c r="F101" s="304">
        <f>'1461'!F101</f>
        <v>947.59</v>
      </c>
      <c r="G101" s="39" t="s">
        <v>12</v>
      </c>
      <c r="H101" s="101">
        <f>ROUND(C101*E101*F101,2)</f>
        <v>130803.64</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147.10739999999998</v>
      </c>
      <c r="D102" s="515"/>
      <c r="E102" s="46">
        <f>H8</f>
        <v>1.0442</v>
      </c>
      <c r="F102" s="304">
        <f>'1461'!F102</f>
        <v>904.74</v>
      </c>
      <c r="G102" s="39" t="s">
        <v>12</v>
      </c>
      <c r="H102" s="101">
        <f>ROUND(C102*E102*F102,2)</f>
        <v>138976.70000000001</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279.30259999999998</v>
      </c>
      <c r="D104" s="528"/>
      <c r="E104" s="123"/>
      <c r="F104" s="123"/>
      <c r="G104" s="123"/>
      <c r="H104" s="124" t="s">
        <v>100</v>
      </c>
      <c r="I104" s="101">
        <f>IF(A1=75,0,H103+H102+H101)</f>
        <v>269780.34000000003</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182</v>
      </c>
      <c r="D110" s="143">
        <v>253</v>
      </c>
      <c r="E110" s="116">
        <f>(C110+D110)/2</f>
        <v>217.5</v>
      </c>
      <c r="F110" s="126" t="s">
        <v>30</v>
      </c>
      <c r="G110" s="305">
        <f>'1461'!G110</f>
        <v>565</v>
      </c>
      <c r="I110" s="101">
        <f>ROUND(G110*E110,2)</f>
        <v>122887.5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2320708.21</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2231818.06</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2231818.06</v>
      </c>
      <c r="I132" s="94">
        <f>ROUND(IF(E30=0,0,IF(E30&gt;250,-(((250/E30)*H132)*IF(G132="H",0.02,0.05)),IF(G132="H",-0.02*H132,-0.05*H132))),2)</f>
        <v>-105601.2</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2215107.0099999998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-193847.6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2021259.4099999997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183750.86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5989.7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CCC"/>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118</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1.5</v>
      </c>
      <c r="D17" s="143">
        <v>1</v>
      </c>
      <c r="E17" s="116">
        <f t="shared" si="1"/>
        <v>2.5</v>
      </c>
      <c r="F17" s="555">
        <f>'1461'!F17:G17</f>
        <v>1</v>
      </c>
      <c r="G17" s="555"/>
      <c r="H17" s="80">
        <f t="shared" si="2"/>
        <v>2.5</v>
      </c>
      <c r="I17" s="101">
        <f t="shared" si="3"/>
        <v>13417.27</v>
      </c>
      <c r="J17" s="65" t="str">
        <f>IF(ROUND(E17,2)=ROUND(SUM(E60:E62),2)," ","CHECK 4-8 LINES BELOW")</f>
        <v xml:space="preserve"> </v>
      </c>
      <c r="N17" s="568" t="s">
        <v>23</v>
      </c>
      <c r="O17" s="568"/>
      <c r="P17" s="569">
        <f t="shared" si="0"/>
        <v>2.5</v>
      </c>
      <c r="Q17" s="569"/>
      <c r="R17" s="570">
        <v>1</v>
      </c>
      <c r="S17" s="570"/>
      <c r="T17" s="95">
        <f t="shared" si="4"/>
        <v>2.5</v>
      </c>
      <c r="U17" s="475">
        <f t="shared" si="5"/>
        <v>13417.27</v>
      </c>
    </row>
    <row r="18" spans="1:21" x14ac:dyDescent="0.25">
      <c r="A18" s="517" t="s">
        <v>24</v>
      </c>
      <c r="B18" s="517"/>
      <c r="C18" s="143">
        <v>0</v>
      </c>
      <c r="D18" s="143"/>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15</v>
      </c>
      <c r="D19" s="143">
        <v>14.96</v>
      </c>
      <c r="E19" s="116">
        <f t="shared" si="1"/>
        <v>29.96</v>
      </c>
      <c r="F19" s="555">
        <f>'1461'!F19:G19</f>
        <v>0.98799999999999999</v>
      </c>
      <c r="G19" s="555"/>
      <c r="H19" s="80">
        <f t="shared" si="2"/>
        <v>29.6005</v>
      </c>
      <c r="I19" s="101">
        <f t="shared" si="3"/>
        <v>158863.1</v>
      </c>
      <c r="J19" s="65" t="str">
        <f>IF(ROUND(E19,2)=ROUND(SUM(E63:E65),2)," ","CHECK 4-8 LINES BELOW")</f>
        <v xml:space="preserve"> </v>
      </c>
      <c r="N19" s="568" t="s">
        <v>25</v>
      </c>
      <c r="O19" s="568"/>
      <c r="P19" s="569">
        <f t="shared" si="0"/>
        <v>29.96</v>
      </c>
      <c r="Q19" s="569"/>
      <c r="R19" s="570">
        <v>1</v>
      </c>
      <c r="S19" s="570"/>
      <c r="T19" s="95">
        <f t="shared" si="4"/>
        <v>29.96</v>
      </c>
      <c r="U19" s="474">
        <f t="shared" si="5"/>
        <v>160792.51</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16.5</v>
      </c>
      <c r="D30" s="94">
        <f>SUM(D14:D29)</f>
        <v>15.96</v>
      </c>
      <c r="E30" s="94">
        <f>SUM(E14:E29)</f>
        <v>32.46</v>
      </c>
      <c r="F30" s="536"/>
      <c r="G30" s="536"/>
      <c r="H30" s="99">
        <f>SUM(H14:H29)</f>
        <v>32.100499999999997</v>
      </c>
      <c r="I30" s="94">
        <f>SUM(I14:I29)</f>
        <v>172280.37</v>
      </c>
      <c r="N30" s="587" t="s">
        <v>5</v>
      </c>
      <c r="O30" s="587"/>
      <c r="P30" s="588">
        <f>SUM(P14:P29)</f>
        <v>32.46</v>
      </c>
      <c r="Q30" s="588"/>
      <c r="R30" s="589"/>
      <c r="S30" s="589"/>
      <c r="T30" s="100">
        <f>SUM(T14:T29)</f>
        <v>32.46</v>
      </c>
      <c r="U30" s="475">
        <f>SUM(U14:U29)</f>
        <v>174209.78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32.100499999999997</v>
      </c>
      <c r="F46" s="34"/>
      <c r="G46" s="106"/>
      <c r="H46" s="107" t="s">
        <v>98</v>
      </c>
      <c r="I46" s="94">
        <f>SUM(I44,I30)</f>
        <v>172280.37</v>
      </c>
      <c r="N46" s="613" t="s">
        <v>44</v>
      </c>
      <c r="O46" s="613"/>
      <c r="P46" s="613"/>
      <c r="Q46" s="613"/>
      <c r="R46" s="35">
        <f>R44+T30</f>
        <v>32.46</v>
      </c>
      <c r="S46" s="589" t="s">
        <v>42</v>
      </c>
      <c r="T46" s="589"/>
      <c r="U46" s="108">
        <f>SUM(U44,U30)</f>
        <v>174209.78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172280.37</v>
      </c>
      <c r="G51" s="109" t="s">
        <v>6</v>
      </c>
      <c r="H51" s="403">
        <v>4.5199999999999997E-2</v>
      </c>
      <c r="I51" s="101">
        <f>ROUND(F51*H51,2)</f>
        <v>7787.07</v>
      </c>
      <c r="N51" s="408"/>
      <c r="O51" s="409" t="s">
        <v>398</v>
      </c>
      <c r="P51" s="28"/>
      <c r="Q51" s="44" t="s">
        <v>399</v>
      </c>
      <c r="R51" s="410">
        <f>U30</f>
        <v>174209.78</v>
      </c>
      <c r="S51" s="411" t="s">
        <v>6</v>
      </c>
      <c r="T51" s="412">
        <v>4.5199999999999997E-2</v>
      </c>
      <c r="U51" s="404">
        <f>ROUND(R51*T51,2)</f>
        <v>7874.28</v>
      </c>
    </row>
    <row r="52" spans="1:22" x14ac:dyDescent="0.25">
      <c r="A52" s="26"/>
      <c r="B52" s="81" t="s">
        <v>400</v>
      </c>
      <c r="C52" s="26"/>
      <c r="D52" s="26"/>
      <c r="E52" s="43" t="s">
        <v>399</v>
      </c>
      <c r="F52" s="402">
        <f>I46</f>
        <v>172280.37</v>
      </c>
      <c r="G52" s="109" t="s">
        <v>6</v>
      </c>
      <c r="H52" s="403">
        <v>1.41E-2</v>
      </c>
      <c r="I52" s="101">
        <f>ROUND(F52*H52,2)</f>
        <v>2429.15</v>
      </c>
      <c r="N52" s="28"/>
      <c r="O52" s="385" t="s">
        <v>400</v>
      </c>
      <c r="P52" s="28"/>
      <c r="Q52" s="44" t="s">
        <v>399</v>
      </c>
      <c r="R52" s="410">
        <f>U30</f>
        <v>174209.78</v>
      </c>
      <c r="S52" s="411" t="s">
        <v>6</v>
      </c>
      <c r="T52" s="412">
        <v>1.41E-2</v>
      </c>
      <c r="U52" s="413">
        <f>ROUND(R52*T52,2)</f>
        <v>2456.36</v>
      </c>
    </row>
    <row r="53" spans="1:22" x14ac:dyDescent="0.25">
      <c r="A53" s="26"/>
      <c r="B53" s="81" t="s">
        <v>401</v>
      </c>
      <c r="C53" s="26"/>
      <c r="D53" s="26"/>
      <c r="E53" s="43"/>
      <c r="F53" s="402"/>
      <c r="G53" s="109"/>
      <c r="H53" s="403"/>
      <c r="I53" s="97">
        <f>SUM(I51:I52)</f>
        <v>10216.219999999999</v>
      </c>
      <c r="N53" s="28"/>
      <c r="O53" s="385" t="s">
        <v>401</v>
      </c>
      <c r="P53" s="28"/>
      <c r="Q53" s="44"/>
      <c r="R53" s="410"/>
      <c r="S53" s="411"/>
      <c r="T53" s="412"/>
      <c r="U53" s="404">
        <f>SUM(U51:U52)</f>
        <v>10330.64</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1.5</v>
      </c>
      <c r="D62" s="143">
        <v>1</v>
      </c>
      <c r="E62" s="116">
        <f t="shared" si="10"/>
        <v>2.5</v>
      </c>
      <c r="F62" s="446" t="s">
        <v>13</v>
      </c>
      <c r="G62" s="445">
        <v>253</v>
      </c>
      <c r="H62" s="459">
        <f>'1461'!H62</f>
        <v>7023</v>
      </c>
      <c r="I62" s="101">
        <f t="shared" si="11"/>
        <v>17557.5</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1.5</v>
      </c>
      <c r="D64" s="143">
        <v>0.91</v>
      </c>
      <c r="E64" s="116">
        <f t="shared" si="10"/>
        <v>2.41</v>
      </c>
      <c r="F64" s="446" t="s">
        <v>14</v>
      </c>
      <c r="G64" s="445">
        <v>252</v>
      </c>
      <c r="H64" s="459">
        <f>'1461'!H64</f>
        <v>3168</v>
      </c>
      <c r="I64" s="101">
        <f t="shared" si="11"/>
        <v>7634.88</v>
      </c>
      <c r="N64" s="619"/>
      <c r="O64" s="619"/>
      <c r="P64" s="622"/>
      <c r="Q64" s="622"/>
      <c r="R64" s="40" t="s">
        <v>14</v>
      </c>
      <c r="S64" s="451">
        <v>252</v>
      </c>
      <c r="T64" s="462">
        <f t="shared" si="12"/>
        <v>3168</v>
      </c>
      <c r="U64" s="476">
        <f t="shared" si="13"/>
        <v>0</v>
      </c>
      <c r="V64" s="426"/>
    </row>
    <row r="65" spans="1:22" ht="16.5" thickBot="1" x14ac:dyDescent="0.3">
      <c r="A65" s="533"/>
      <c r="B65" s="533"/>
      <c r="C65" s="143">
        <v>13.5</v>
      </c>
      <c r="D65" s="143">
        <v>14.05</v>
      </c>
      <c r="E65" s="116">
        <f t="shared" si="10"/>
        <v>27.55</v>
      </c>
      <c r="F65" s="446" t="s">
        <v>14</v>
      </c>
      <c r="G65" s="445">
        <v>253</v>
      </c>
      <c r="H65" s="459">
        <f>'1461'!H65</f>
        <v>6685</v>
      </c>
      <c r="I65" s="101">
        <f t="shared" si="11"/>
        <v>184171.75</v>
      </c>
      <c r="N65" s="619"/>
      <c r="O65" s="619"/>
      <c r="P65" s="623"/>
      <c r="Q65" s="623"/>
      <c r="R65" s="40" t="s">
        <v>14</v>
      </c>
      <c r="S65" s="451">
        <v>253</v>
      </c>
      <c r="T65" s="462">
        <f t="shared" si="12"/>
        <v>6685</v>
      </c>
      <c r="U65" s="477">
        <f t="shared" si="13"/>
        <v>0</v>
      </c>
      <c r="V65" s="426"/>
    </row>
    <row r="66" spans="1:22" ht="16.5" thickBot="1" x14ac:dyDescent="0.3">
      <c r="A66" s="442"/>
      <c r="C66" s="97">
        <f>SUM(C57:C65)</f>
        <v>16.5</v>
      </c>
      <c r="D66" s="97">
        <f>SUM(D57:D65)</f>
        <v>15.96</v>
      </c>
      <c r="E66" s="97">
        <f>SUM(E57:E65)</f>
        <v>32.46</v>
      </c>
      <c r="F66" s="520" t="s">
        <v>448</v>
      </c>
      <c r="G66" s="520"/>
      <c r="H66" s="520"/>
      <c r="I66" s="97">
        <f>SUM(I57:I65)</f>
        <v>209364.13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32.46</v>
      </c>
      <c r="D69" s="530" t="s">
        <v>413</v>
      </c>
      <c r="E69" s="530"/>
      <c r="F69" s="530"/>
      <c r="G69" s="530"/>
      <c r="H69" s="301">
        <f>'1461'!H69</f>
        <v>203305.63</v>
      </c>
      <c r="I69" s="113"/>
      <c r="N69" s="591" t="s">
        <v>406</v>
      </c>
      <c r="O69" s="568"/>
      <c r="P69" s="41">
        <f>P30</f>
        <v>32.46</v>
      </c>
      <c r="Q69" s="596" t="s">
        <v>408</v>
      </c>
      <c r="R69" s="597"/>
      <c r="S69" s="597"/>
      <c r="T69" s="595">
        <f>H69</f>
        <v>203305.63</v>
      </c>
      <c r="U69" s="595"/>
    </row>
    <row r="70" spans="1:22" x14ac:dyDescent="0.25">
      <c r="B70" s="69"/>
      <c r="G70" s="42" t="s">
        <v>12</v>
      </c>
      <c r="H70" s="114">
        <f>ROUND(C69/H69,6)</f>
        <v>1.6000000000000001E-4</v>
      </c>
      <c r="I70" s="115"/>
      <c r="N70" s="568"/>
      <c r="O70" s="568"/>
      <c r="P70" s="568"/>
      <c r="Q70" s="568"/>
      <c r="R70" s="568"/>
      <c r="S70" s="568"/>
      <c r="T70" s="598">
        <f>ROUND(P69/T69,6)</f>
        <v>1.6000000000000001E-4</v>
      </c>
      <c r="U70" s="598"/>
    </row>
    <row r="71" spans="1:22" x14ac:dyDescent="0.25">
      <c r="A71" s="444" t="s">
        <v>451</v>
      </c>
      <c r="N71" s="455" t="s">
        <v>459</v>
      </c>
      <c r="O71" s="51"/>
      <c r="P71" s="51"/>
      <c r="Q71" s="51"/>
      <c r="R71" s="51"/>
      <c r="S71" s="51"/>
      <c r="T71" s="51"/>
      <c r="U71" s="51"/>
    </row>
    <row r="72" spans="1:22" x14ac:dyDescent="0.25">
      <c r="A72" s="516" t="s">
        <v>403</v>
      </c>
      <c r="B72" s="517"/>
      <c r="C72" s="112">
        <f>H30</f>
        <v>32.100499999999997</v>
      </c>
      <c r="D72" s="530" t="s">
        <v>414</v>
      </c>
      <c r="E72" s="530"/>
      <c r="F72" s="530"/>
      <c r="G72" s="530"/>
      <c r="H72" s="302">
        <f>'1461'!H72</f>
        <v>227540.36</v>
      </c>
      <c r="I72" s="116"/>
      <c r="N72" s="591" t="s">
        <v>407</v>
      </c>
      <c r="O72" s="568"/>
      <c r="P72" s="41">
        <f>T30</f>
        <v>32.46</v>
      </c>
      <c r="Q72" s="596" t="s">
        <v>409</v>
      </c>
      <c r="R72" s="597"/>
      <c r="S72" s="597"/>
      <c r="T72" s="595">
        <f>H72</f>
        <v>227540.36</v>
      </c>
      <c r="U72" s="595"/>
    </row>
    <row r="73" spans="1:22" x14ac:dyDescent="0.25">
      <c r="G73" s="42" t="s">
        <v>12</v>
      </c>
      <c r="H73" s="114">
        <f>ROUND(C72/H72,6)</f>
        <v>1.4100000000000001E-4</v>
      </c>
      <c r="I73" s="114"/>
      <c r="N73" s="568"/>
      <c r="O73" s="568"/>
      <c r="P73" s="568"/>
      <c r="Q73" s="568"/>
      <c r="R73" s="568"/>
      <c r="S73" s="568"/>
      <c r="T73" s="598">
        <f>ROUND(P72/T72,6)</f>
        <v>1.4300000000000001E-4</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32.46</v>
      </c>
      <c r="D75" s="529" t="s">
        <v>415</v>
      </c>
      <c r="E75" s="529"/>
      <c r="F75" s="529"/>
      <c r="G75" s="529"/>
      <c r="H75" s="301">
        <f>'1461'!H75</f>
        <v>186907.73</v>
      </c>
      <c r="I75" s="113"/>
      <c r="N75" s="591" t="s">
        <v>405</v>
      </c>
      <c r="O75" s="568"/>
      <c r="P75" s="41">
        <f>P30</f>
        <v>32.46</v>
      </c>
      <c r="Q75" s="601" t="s">
        <v>410</v>
      </c>
      <c r="R75" s="602"/>
      <c r="S75" s="602"/>
      <c r="T75" s="595">
        <f>H75</f>
        <v>186907.73</v>
      </c>
      <c r="U75" s="595"/>
    </row>
    <row r="76" spans="1:22" x14ac:dyDescent="0.25">
      <c r="B76" s="69"/>
      <c r="G76" s="42" t="s">
        <v>12</v>
      </c>
      <c r="H76" s="114">
        <f>ROUND(C75/H75,6)</f>
        <v>1.74E-4</v>
      </c>
      <c r="I76" s="115"/>
      <c r="N76" s="568"/>
      <c r="O76" s="568"/>
      <c r="P76" s="568"/>
      <c r="Q76" s="568"/>
      <c r="R76" s="568"/>
      <c r="S76" s="568"/>
      <c r="T76" s="598">
        <f>ROUND(P75/T75,6)</f>
        <v>1.74E-4</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32.46</v>
      </c>
      <c r="D78" s="525" t="s">
        <v>416</v>
      </c>
      <c r="E78" s="525"/>
      <c r="F78" s="525"/>
      <c r="G78" s="525"/>
      <c r="H78" s="301">
        <f>'1461'!H78</f>
        <v>203080.55</v>
      </c>
      <c r="I78" s="113"/>
      <c r="N78" s="591" t="s">
        <v>405</v>
      </c>
      <c r="O78" s="568"/>
      <c r="P78" s="41">
        <f>P30</f>
        <v>32.46</v>
      </c>
      <c r="Q78" s="599" t="s">
        <v>411</v>
      </c>
      <c r="R78" s="600"/>
      <c r="S78" s="600"/>
      <c r="T78" s="595">
        <f>H78</f>
        <v>203080.55</v>
      </c>
      <c r="U78" s="595"/>
    </row>
    <row r="79" spans="1:22" x14ac:dyDescent="0.25">
      <c r="B79" s="69"/>
      <c r="G79" s="42" t="s">
        <v>12</v>
      </c>
      <c r="H79" s="114">
        <f>ROUND(C78/H78,6)</f>
        <v>1.6000000000000001E-4</v>
      </c>
      <c r="I79" s="115"/>
      <c r="N79" s="568"/>
      <c r="O79" s="568"/>
      <c r="P79" s="568"/>
      <c r="Q79" s="568"/>
      <c r="R79" s="568"/>
      <c r="S79" s="568"/>
      <c r="T79" s="598">
        <f>ROUND(P78/T78,6)</f>
        <v>1.6000000000000001E-4</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32.46</v>
      </c>
      <c r="D81" s="529" t="s">
        <v>417</v>
      </c>
      <c r="E81" s="529"/>
      <c r="F81" s="529"/>
      <c r="G81" s="529"/>
      <c r="H81" s="301">
        <f>'1461'!H81</f>
        <v>186682.65</v>
      </c>
      <c r="I81" s="113"/>
      <c r="N81" s="591" t="s">
        <v>418</v>
      </c>
      <c r="O81" s="568"/>
      <c r="P81" s="41">
        <f>P30</f>
        <v>32.46</v>
      </c>
      <c r="Q81" s="601" t="s">
        <v>419</v>
      </c>
      <c r="R81" s="602"/>
      <c r="S81" s="602"/>
      <c r="T81" s="595">
        <f>H81</f>
        <v>186682.65</v>
      </c>
      <c r="U81" s="595"/>
    </row>
    <row r="82" spans="1:21" x14ac:dyDescent="0.25">
      <c r="B82" s="69"/>
      <c r="G82" s="42" t="s">
        <v>12</v>
      </c>
      <c r="H82" s="114">
        <f>ROUND(C81/H81,6)</f>
        <v>1.74E-4</v>
      </c>
      <c r="I82" s="115"/>
      <c r="N82" s="568"/>
      <c r="O82" s="568"/>
      <c r="P82" s="568"/>
      <c r="Q82" s="568"/>
      <c r="R82" s="568"/>
      <c r="S82" s="568"/>
      <c r="T82" s="598">
        <f>ROUND(P81/T81,6)</f>
        <v>1.74E-4</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1.6000000000000001E-4</v>
      </c>
      <c r="I85" s="101">
        <f>ROUND(F85*H85,2)</f>
        <v>7146.49</v>
      </c>
      <c r="N85" s="455" t="s">
        <v>455</v>
      </c>
      <c r="O85" s="51"/>
      <c r="P85" s="51"/>
      <c r="Q85" s="44"/>
      <c r="R85" s="421">
        <f>F85</f>
        <v>44665536</v>
      </c>
      <c r="S85" s="38" t="s">
        <v>6</v>
      </c>
      <c r="T85" s="423">
        <f>T79</f>
        <v>1.6000000000000001E-4</v>
      </c>
      <c r="U85" s="475">
        <f>ROUND(R85*T85,2)</f>
        <v>7146.49</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1.6000000000000001E-4</v>
      </c>
      <c r="I88" s="101">
        <f>ROUND(F88*H88,2)</f>
        <v>0</v>
      </c>
      <c r="N88" s="603" t="s">
        <v>99</v>
      </c>
      <c r="O88" s="568"/>
      <c r="P88" s="568"/>
      <c r="Q88" s="44"/>
      <c r="R88" s="421">
        <f>F88</f>
        <v>0</v>
      </c>
      <c r="S88" s="38" t="s">
        <v>6</v>
      </c>
      <c r="T88" s="423">
        <f>T70</f>
        <v>1.6000000000000001E-4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1.74E-4</v>
      </c>
      <c r="I90" s="101">
        <f>ROUND(F90*H90,2)</f>
        <v>2813.07</v>
      </c>
      <c r="N90" s="455" t="s">
        <v>456</v>
      </c>
      <c r="O90" s="51"/>
      <c r="P90" s="51"/>
      <c r="Q90" s="44"/>
      <c r="R90" s="421">
        <f>F90</f>
        <v>16167052</v>
      </c>
      <c r="S90" s="38" t="s">
        <v>6</v>
      </c>
      <c r="T90" s="423">
        <f>T82</f>
        <v>1.74E-4</v>
      </c>
      <c r="U90" s="475">
        <f>ROUND(R90*T90,2)</f>
        <v>2813.07</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1.74E-4</v>
      </c>
      <c r="I92" s="101">
        <f t="shared" ref="I92:I96" si="14">ROUND(F92*H92,2)</f>
        <v>1746.98</v>
      </c>
      <c r="N92" s="455" t="s">
        <v>457</v>
      </c>
      <c r="O92" s="51"/>
      <c r="P92" s="51"/>
      <c r="Q92" s="44"/>
      <c r="R92" s="421">
        <f t="shared" ref="R92:R96" si="15">F92</f>
        <v>10040099</v>
      </c>
      <c r="S92" s="38" t="s">
        <v>6</v>
      </c>
      <c r="T92" s="423">
        <f>T76</f>
        <v>1.74E-4</v>
      </c>
      <c r="U92" s="475">
        <f>ROUND(R92*T92,2)</f>
        <v>1746.98</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1.4100000000000001E-4</v>
      </c>
      <c r="I94" s="101">
        <f t="shared" si="14"/>
        <v>33698.67</v>
      </c>
      <c r="N94" s="568" t="s">
        <v>421</v>
      </c>
      <c r="O94" s="568"/>
      <c r="P94" s="568"/>
      <c r="Q94" s="44"/>
      <c r="R94" s="421">
        <f t="shared" si="15"/>
        <v>238997674</v>
      </c>
      <c r="S94" s="38" t="s">
        <v>6</v>
      </c>
      <c r="T94" s="423">
        <f>T73</f>
        <v>1.4300000000000001E-4</v>
      </c>
      <c r="U94" s="475">
        <f>ROUND(R94*T94,2)</f>
        <v>34176.67</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1.4100000000000001E-4</v>
      </c>
      <c r="I96" s="101">
        <f t="shared" si="14"/>
        <v>-225.61</v>
      </c>
      <c r="N96" s="591" t="s">
        <v>422</v>
      </c>
      <c r="O96" s="568"/>
      <c r="P96" s="568"/>
      <c r="Q96" s="44"/>
      <c r="R96" s="421">
        <f t="shared" si="15"/>
        <v>-1600047</v>
      </c>
      <c r="S96" s="38" t="s">
        <v>6</v>
      </c>
      <c r="T96" s="423">
        <f>T73</f>
        <v>1.4300000000000001E-4</v>
      </c>
      <c r="U96" s="475">
        <f>ROUND(R96*T96,2)</f>
        <v>-228.81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2.5</v>
      </c>
      <c r="D102" s="515"/>
      <c r="E102" s="46">
        <f>H8</f>
        <v>1.0442</v>
      </c>
      <c r="F102" s="304">
        <f>'1461'!F102</f>
        <v>904.74</v>
      </c>
      <c r="G102" s="39" t="s">
        <v>12</v>
      </c>
      <c r="H102" s="101">
        <f>ROUND(C102*E102*F102,2)</f>
        <v>2361.8200000000002</v>
      </c>
      <c r="N102" s="50" t="s">
        <v>13</v>
      </c>
      <c r="O102" s="47">
        <f>T16+T17+T21+T24+T27</f>
        <v>2.5</v>
      </c>
      <c r="P102" s="606">
        <f>T8</f>
        <v>1.0442</v>
      </c>
      <c r="Q102" s="606"/>
      <c r="R102" s="48">
        <f>F102</f>
        <v>904.74</v>
      </c>
      <c r="S102" s="40" t="s">
        <v>12</v>
      </c>
      <c r="T102" s="481">
        <f>ROUND(O102*P102*R102,2)</f>
        <v>2361.8200000000002</v>
      </c>
      <c r="U102" s="51"/>
    </row>
    <row r="103" spans="1:21" ht="16.5" thickBot="1" x14ac:dyDescent="0.3">
      <c r="A103" s="52"/>
      <c r="B103" s="52" t="s">
        <v>103</v>
      </c>
      <c r="C103" s="515">
        <f>H18+H19+H22+H25+H28+H29</f>
        <v>29.6005</v>
      </c>
      <c r="D103" s="515"/>
      <c r="E103" s="46">
        <f>H8</f>
        <v>1.0442</v>
      </c>
      <c r="F103" s="304">
        <f>'1461'!F103</f>
        <v>906.93</v>
      </c>
      <c r="G103" s="39" t="s">
        <v>12</v>
      </c>
      <c r="H103" s="94">
        <f>ROUND(C103*E103*F103,2)</f>
        <v>28032.16</v>
      </c>
      <c r="N103" s="53" t="s">
        <v>14</v>
      </c>
      <c r="O103" s="54">
        <f>T18+T19+T22+T25+T28+T29</f>
        <v>29.96</v>
      </c>
      <c r="P103" s="606">
        <f>T8</f>
        <v>1.0442</v>
      </c>
      <c r="Q103" s="606"/>
      <c r="R103" s="48">
        <f>F103</f>
        <v>906.93</v>
      </c>
      <c r="S103" s="40" t="s">
        <v>12</v>
      </c>
      <c r="T103" s="481">
        <f>ROUND(O103*P103*R103,2)</f>
        <v>28372.61</v>
      </c>
      <c r="U103" s="51"/>
    </row>
    <row r="104" spans="1:21" ht="16.5" thickBot="1" x14ac:dyDescent="0.3">
      <c r="A104" s="55"/>
      <c r="B104" s="122" t="s">
        <v>102</v>
      </c>
      <c r="C104" s="528">
        <f>SUM(C101:C103)</f>
        <v>32.100499999999997</v>
      </c>
      <c r="D104" s="528"/>
      <c r="E104" s="123"/>
      <c r="F104" s="123"/>
      <c r="G104" s="123"/>
      <c r="H104" s="124" t="s">
        <v>100</v>
      </c>
      <c r="I104" s="101">
        <f>IF(A1=75,0,H103+H102+H101)</f>
        <v>30393.98</v>
      </c>
      <c r="N104" s="56" t="s">
        <v>89</v>
      </c>
      <c r="O104" s="57">
        <f>SUM(O101:O103)</f>
        <v>32.46</v>
      </c>
      <c r="P104" s="607" t="s">
        <v>16</v>
      </c>
      <c r="Q104" s="608"/>
      <c r="R104" s="608"/>
      <c r="S104" s="608"/>
      <c r="T104" s="608"/>
      <c r="U104" s="475">
        <f>IF(N1=75,0,T103+T102+T101)</f>
        <v>30734.43</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31</v>
      </c>
      <c r="D110" s="143">
        <v>28</v>
      </c>
      <c r="E110" s="116">
        <f>(C110+D110)/2</f>
        <v>29.5</v>
      </c>
      <c r="F110" s="126" t="s">
        <v>30</v>
      </c>
      <c r="G110" s="305">
        <f>'1461'!G110</f>
        <v>565</v>
      </c>
      <c r="I110" s="101">
        <f>ROUND(G110*E110,2)</f>
        <v>16667.5</v>
      </c>
      <c r="N110" s="617" t="s">
        <v>52</v>
      </c>
      <c r="O110" s="617"/>
      <c r="P110" s="605">
        <f>IF(H130=1,E110,0)</f>
        <v>29.5</v>
      </c>
      <c r="Q110" s="605"/>
      <c r="R110" s="605"/>
      <c r="S110" s="83" t="s">
        <v>30</v>
      </c>
      <c r="T110" s="58">
        <f>G110</f>
        <v>565</v>
      </c>
      <c r="U110" s="475">
        <f>ROUND(T110*P110,2)</f>
        <v>16667.5</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473885.57999999996</v>
      </c>
      <c r="N125" s="455"/>
      <c r="O125" s="454"/>
      <c r="P125" s="454"/>
      <c r="Q125" s="307"/>
      <c r="R125" s="307"/>
      <c r="S125" s="307"/>
      <c r="T125" s="307"/>
      <c r="U125" s="482">
        <f>SUM(U30,U85,U88,U90,U92,U94,U96,U104,U110,U111,U121,U123)</f>
        <v>267266.11</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463669.36</v>
      </c>
      <c r="N127" s="613" t="s">
        <v>33</v>
      </c>
      <c r="O127" s="613"/>
      <c r="P127" s="613"/>
      <c r="Q127" s="613"/>
      <c r="R127" s="613"/>
      <c r="S127" s="613"/>
      <c r="T127" s="613"/>
      <c r="U127" s="132">
        <f>U125-U53</f>
        <v>256935.46999999997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v>1</v>
      </c>
      <c r="I130" s="116">
        <f>U127</f>
        <v>256935.46999999997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256935.46999999997</v>
      </c>
      <c r="I132" s="94">
        <f>ROUND(IF(E30=0,0,IF(E30&gt;250,-(((250/E30)*H132)*IF(G132="H",0.02,0.05)),IF(G132="H",-0.02*H132,-0.05*H132))),2)</f>
        <v>-12846.77</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461038.80999999994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-26761.88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434276.92999999993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39479.72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CCC"/>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119</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37.03</v>
      </c>
      <c r="D14" s="141">
        <v>37.479999999999997</v>
      </c>
      <c r="E14" s="187">
        <f>IF(D$30=0,C14*2,C14+D14)</f>
        <v>74.509999999999991</v>
      </c>
      <c r="F14" s="558">
        <f>'1461'!F14:G14</f>
        <v>1.1220000000000001</v>
      </c>
      <c r="G14" s="558"/>
      <c r="H14" s="145">
        <f>ROUND(E14*F14,4)</f>
        <v>83.600200000000001</v>
      </c>
      <c r="I14" s="111">
        <f>ROUND(ROUND(ROUND(H14*$C$8,4)*($H$8),2)*(MAX($H$9,1)),2)</f>
        <v>448674.42</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9.5</v>
      </c>
      <c r="D15" s="143">
        <v>8</v>
      </c>
      <c r="E15" s="116">
        <f t="shared" ref="E15:E29" si="1">IF(D$30=0,C15*2,C15+D15)</f>
        <v>17.5</v>
      </c>
      <c r="F15" s="555">
        <f>'1461'!F15:G15</f>
        <v>1.1220000000000001</v>
      </c>
      <c r="G15" s="555"/>
      <c r="H15" s="80">
        <f t="shared" ref="H15:H29" si="2">ROUND(E15*F15,4)</f>
        <v>19.635000000000002</v>
      </c>
      <c r="I15" s="101">
        <f t="shared" ref="I15:I29" si="3">ROUND(ROUND(ROUND(H15*$C$8,4)*($H$8),2)*(MAX($H$9,1)),2)</f>
        <v>105379.2</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14.81</v>
      </c>
      <c r="D16" s="143">
        <v>15.85</v>
      </c>
      <c r="E16" s="116">
        <f t="shared" si="1"/>
        <v>30.66</v>
      </c>
      <c r="F16" s="555">
        <f>'1461'!F16:G16</f>
        <v>1</v>
      </c>
      <c r="G16" s="555"/>
      <c r="H16" s="80">
        <f t="shared" si="2"/>
        <v>30.66</v>
      </c>
      <c r="I16" s="101">
        <f t="shared" si="3"/>
        <v>164549.34</v>
      </c>
      <c r="N16" s="568" t="s">
        <v>22</v>
      </c>
      <c r="O16" s="568"/>
      <c r="P16" s="569">
        <f t="shared" si="0"/>
        <v>0</v>
      </c>
      <c r="Q16" s="569"/>
      <c r="R16" s="570">
        <v>1</v>
      </c>
      <c r="S16" s="570"/>
      <c r="T16" s="95">
        <f t="shared" si="4"/>
        <v>0</v>
      </c>
      <c r="U16" s="475">
        <f t="shared" si="5"/>
        <v>0</v>
      </c>
    </row>
    <row r="17" spans="1:21" x14ac:dyDescent="0.25">
      <c r="A17" s="517" t="s">
        <v>23</v>
      </c>
      <c r="B17" s="517"/>
      <c r="C17" s="143">
        <v>5</v>
      </c>
      <c r="D17" s="143">
        <v>5.44</v>
      </c>
      <c r="E17" s="116">
        <f t="shared" si="1"/>
        <v>10.440000000000001</v>
      </c>
      <c r="F17" s="555">
        <f>'1461'!F17:G17</f>
        <v>1</v>
      </c>
      <c r="G17" s="555"/>
      <c r="H17" s="80">
        <f t="shared" si="2"/>
        <v>10.44</v>
      </c>
      <c r="I17" s="101">
        <f t="shared" si="3"/>
        <v>56030.5</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25.47</v>
      </c>
      <c r="D26" s="143">
        <v>24.56</v>
      </c>
      <c r="E26" s="116">
        <f t="shared" si="1"/>
        <v>50.03</v>
      </c>
      <c r="F26" s="555">
        <f>'1461'!F26:G26</f>
        <v>1.208</v>
      </c>
      <c r="G26" s="555"/>
      <c r="H26" s="80">
        <f t="shared" si="2"/>
        <v>60.436199999999999</v>
      </c>
      <c r="I26" s="101">
        <f t="shared" si="3"/>
        <v>324355.40999999997</v>
      </c>
      <c r="N26" s="568" t="s">
        <v>85</v>
      </c>
      <c r="O26" s="568"/>
      <c r="P26" s="569">
        <f t="shared" si="0"/>
        <v>0</v>
      </c>
      <c r="Q26" s="569"/>
      <c r="R26" s="570">
        <v>1</v>
      </c>
      <c r="S26" s="570"/>
      <c r="T26" s="95">
        <f t="shared" si="4"/>
        <v>0</v>
      </c>
      <c r="U26" s="475">
        <f t="shared" si="5"/>
        <v>0</v>
      </c>
    </row>
    <row r="27" spans="1:21" x14ac:dyDescent="0.25">
      <c r="A27" s="517" t="s">
        <v>86</v>
      </c>
      <c r="B27" s="517"/>
      <c r="C27" s="143">
        <v>8.19</v>
      </c>
      <c r="D27" s="143">
        <v>8.59</v>
      </c>
      <c r="E27" s="116">
        <f t="shared" si="1"/>
        <v>16.78</v>
      </c>
      <c r="F27" s="555">
        <f>'1461'!F27:G27</f>
        <v>1.208</v>
      </c>
      <c r="G27" s="555"/>
      <c r="H27" s="80">
        <f t="shared" si="2"/>
        <v>20.270199999999999</v>
      </c>
      <c r="I27" s="101">
        <f t="shared" si="3"/>
        <v>108788.26</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100</v>
      </c>
      <c r="D30" s="94">
        <f>SUM(D14:D29)</f>
        <v>99.92</v>
      </c>
      <c r="E30" s="94">
        <f>SUM(E14:E29)</f>
        <v>199.92</v>
      </c>
      <c r="F30" s="536"/>
      <c r="G30" s="536"/>
      <c r="H30" s="99">
        <f>SUM(H14:H29)</f>
        <v>225.04160000000002</v>
      </c>
      <c r="I30" s="94">
        <f>SUM(I14:I29)</f>
        <v>1207777.1299999999</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225.04160000000002</v>
      </c>
      <c r="F46" s="34"/>
      <c r="G46" s="106"/>
      <c r="H46" s="107" t="s">
        <v>98</v>
      </c>
      <c r="I46" s="94">
        <f>SUM(I44,I30)</f>
        <v>1207777.1299999999</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1207777.1299999999</v>
      </c>
      <c r="G51" s="109" t="s">
        <v>6</v>
      </c>
      <c r="H51" s="403">
        <v>4.5199999999999997E-2</v>
      </c>
      <c r="I51" s="101">
        <f>ROUND(F51*H51,2)</f>
        <v>54591.53</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1207777.1299999999</v>
      </c>
      <c r="G52" s="109" t="s">
        <v>6</v>
      </c>
      <c r="H52" s="403">
        <v>1.41E-2</v>
      </c>
      <c r="I52" s="101">
        <f>ROUND(F52*H52,2)</f>
        <v>17029.66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71621.19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9</v>
      </c>
      <c r="D57" s="143">
        <v>7.5</v>
      </c>
      <c r="E57" s="116">
        <f t="shared" ref="E57:E65" si="10">IF(D$72=0,C57*2,C57+D57)</f>
        <v>16.5</v>
      </c>
      <c r="F57" s="445" t="s">
        <v>439</v>
      </c>
      <c r="G57" s="445">
        <v>251</v>
      </c>
      <c r="H57" s="459">
        <f>'1461'!H57</f>
        <v>1047</v>
      </c>
      <c r="I57" s="101">
        <f>ROUND(E57*H57,2)</f>
        <v>17275.5</v>
      </c>
      <c r="N57" s="618" t="s">
        <v>447</v>
      </c>
      <c r="O57" s="618"/>
      <c r="P57" s="621"/>
      <c r="Q57" s="621"/>
      <c r="R57" s="451" t="s">
        <v>439</v>
      </c>
      <c r="S57" s="451">
        <v>251</v>
      </c>
      <c r="T57" s="462">
        <f>H57</f>
        <v>1047</v>
      </c>
      <c r="U57" s="476">
        <f>ROUND(P57*T57,2)</f>
        <v>0</v>
      </c>
      <c r="V57" s="426"/>
    </row>
    <row r="58" spans="1:22" x14ac:dyDescent="0.25">
      <c r="A58" s="533"/>
      <c r="B58" s="533"/>
      <c r="C58" s="143">
        <v>0.5</v>
      </c>
      <c r="D58" s="143">
        <v>0.5</v>
      </c>
      <c r="E58" s="116">
        <f t="shared" si="10"/>
        <v>1</v>
      </c>
      <c r="F58" s="445" t="s">
        <v>439</v>
      </c>
      <c r="G58" s="445">
        <v>252</v>
      </c>
      <c r="H58" s="459">
        <f>'1461'!H58</f>
        <v>3380</v>
      </c>
      <c r="I58" s="101">
        <f t="shared" ref="I58:I65" si="11">ROUND(E58*H58,2)</f>
        <v>3380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4.5</v>
      </c>
      <c r="D60" s="143">
        <v>4.5199999999999996</v>
      </c>
      <c r="E60" s="116">
        <f t="shared" si="10"/>
        <v>9.02</v>
      </c>
      <c r="F60" s="446" t="s">
        <v>13</v>
      </c>
      <c r="G60" s="445">
        <v>251</v>
      </c>
      <c r="H60" s="459">
        <f>'1461'!H60</f>
        <v>1173</v>
      </c>
      <c r="I60" s="101">
        <f t="shared" si="11"/>
        <v>10580.46</v>
      </c>
      <c r="N60" s="619"/>
      <c r="O60" s="619"/>
      <c r="P60" s="622"/>
      <c r="Q60" s="622"/>
      <c r="R60" s="40" t="s">
        <v>13</v>
      </c>
      <c r="S60" s="451">
        <v>251</v>
      </c>
      <c r="T60" s="462">
        <f t="shared" si="12"/>
        <v>1173</v>
      </c>
      <c r="U60" s="476">
        <f t="shared" si="13"/>
        <v>0</v>
      </c>
      <c r="V60" s="426"/>
    </row>
    <row r="61" spans="1:22" x14ac:dyDescent="0.25">
      <c r="A61" s="533"/>
      <c r="B61" s="533"/>
      <c r="C61" s="143">
        <v>0.5</v>
      </c>
      <c r="D61" s="143">
        <v>0.92</v>
      </c>
      <c r="E61" s="116">
        <f t="shared" si="10"/>
        <v>1.42</v>
      </c>
      <c r="F61" s="446" t="s">
        <v>13</v>
      </c>
      <c r="G61" s="445">
        <v>252</v>
      </c>
      <c r="H61" s="459">
        <f>'1461'!H61</f>
        <v>3506</v>
      </c>
      <c r="I61" s="101">
        <f t="shared" si="11"/>
        <v>4978.5200000000004</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14.5</v>
      </c>
      <c r="D66" s="97">
        <f>SUM(D57:D65)</f>
        <v>13.44</v>
      </c>
      <c r="E66" s="97">
        <f>SUM(E57:E65)</f>
        <v>27.939999999999998</v>
      </c>
      <c r="F66" s="520" t="s">
        <v>448</v>
      </c>
      <c r="G66" s="520"/>
      <c r="H66" s="520"/>
      <c r="I66" s="97">
        <f>SUM(I57:I65)</f>
        <v>36214.479999999996</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199.92</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9.8299999999999993E-4</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225.04160000000002</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9.8900000000000008E-4</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199.92</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1.07E-3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199.92</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9.8400000000000007E-4</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199.92</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1.0709999999999999E-3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9.8400000000000007E-4</v>
      </c>
      <c r="I85" s="101">
        <f>ROUND(F85*H85,2)</f>
        <v>43950.89</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9.8299999999999993E-4</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1.0709999999999999E-3</v>
      </c>
      <c r="I90" s="101">
        <f>ROUND(F90*H90,2)</f>
        <v>17314.91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1.07E-3</v>
      </c>
      <c r="I92" s="101">
        <f t="shared" ref="I92:I96" si="14">ROUND(F92*H92,2)</f>
        <v>10742.91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9.8900000000000008E-4</v>
      </c>
      <c r="I94" s="101">
        <f t="shared" si="14"/>
        <v>236368.7</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9.8900000000000008E-4</v>
      </c>
      <c r="I96" s="101">
        <f t="shared" si="14"/>
        <v>-1582.45</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163.67140000000001</v>
      </c>
      <c r="D101" s="515"/>
      <c r="E101" s="46">
        <f>H8</f>
        <v>1.0442</v>
      </c>
      <c r="F101" s="304">
        <f>'1461'!F101</f>
        <v>947.59</v>
      </c>
      <c r="G101" s="39" t="s">
        <v>12</v>
      </c>
      <c r="H101" s="101">
        <f>ROUND(C101*E101*F101,2)</f>
        <v>161948.51</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61.370199999999997</v>
      </c>
      <c r="D102" s="515"/>
      <c r="E102" s="46">
        <f>H8</f>
        <v>1.0442</v>
      </c>
      <c r="F102" s="304">
        <f>'1461'!F102</f>
        <v>904.74</v>
      </c>
      <c r="G102" s="39" t="s">
        <v>12</v>
      </c>
      <c r="H102" s="101">
        <f>ROUND(C102*E102*F102,2)</f>
        <v>57978.239999999998</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225.04160000000002</v>
      </c>
      <c r="D104" s="528"/>
      <c r="E104" s="123"/>
      <c r="F104" s="123"/>
      <c r="G104" s="123"/>
      <c r="H104" s="124" t="s">
        <v>100</v>
      </c>
      <c r="I104" s="101">
        <f>IF(A1=75,0,H103+H102+H101)</f>
        <v>219926.75</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11</v>
      </c>
      <c r="D110" s="143">
        <v>14</v>
      </c>
      <c r="E110" s="116">
        <f>(C110+D110)/2</f>
        <v>12.5</v>
      </c>
      <c r="F110" s="126" t="s">
        <v>30</v>
      </c>
      <c r="G110" s="305">
        <f>'1461'!G110</f>
        <v>565</v>
      </c>
      <c r="I110" s="101">
        <f>ROUND(G110*E110,2)</f>
        <v>7062.5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1777775.8199999996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1706154.6299999997</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1706154.6299999997</v>
      </c>
      <c r="I132" s="94">
        <f>ROUND(IF(E30=0,0,IF(E30&gt;250,-(((250/E30)*H132)*IF(G132="H",0.02,0.05)),IF(G132="H",-0.02*H132,-0.05*H132))),2)</f>
        <v>-85307.73</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1692468.0899999996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-147922.46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1544545.6299999997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140413.24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287</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79.8</v>
      </c>
      <c r="D14" s="141">
        <v>77.48</v>
      </c>
      <c r="E14" s="187">
        <f>IF(D$30=0,C14*2,C14+D14)</f>
        <v>157.28</v>
      </c>
      <c r="F14" s="558">
        <f>'1461'!F14:G14</f>
        <v>1.1220000000000001</v>
      </c>
      <c r="G14" s="558"/>
      <c r="H14" s="145">
        <f>ROUND(E14*F14,4)</f>
        <v>176.4682</v>
      </c>
      <c r="I14" s="111">
        <f>ROUND(ROUND(ROUND(H14*$C$8,4)*($H$8),2)*(MAX($H$9,1)),2)</f>
        <v>947088.25</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10.5</v>
      </c>
      <c r="D15" s="143">
        <v>10</v>
      </c>
      <c r="E15" s="116">
        <f t="shared" ref="E15:E29" si="1">IF(D$30=0,C15*2,C15+D15)</f>
        <v>20.5</v>
      </c>
      <c r="F15" s="555">
        <f>'1461'!F15:G15</f>
        <v>1.1220000000000001</v>
      </c>
      <c r="G15" s="555"/>
      <c r="H15" s="80">
        <f t="shared" ref="H15:H29" si="2">ROUND(E15*F15,4)</f>
        <v>23.001000000000001</v>
      </c>
      <c r="I15" s="101">
        <f t="shared" ref="I15:I29" si="3">ROUND(ROUND(ROUND(H15*$C$8,4)*($H$8),2)*(MAX($H$9,1)),2)</f>
        <v>123444.21</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101.63</v>
      </c>
      <c r="D16" s="143">
        <v>105.36</v>
      </c>
      <c r="E16" s="116">
        <f t="shared" si="1"/>
        <v>206.99</v>
      </c>
      <c r="F16" s="555">
        <f>'1461'!F16:G16</f>
        <v>1</v>
      </c>
      <c r="G16" s="555"/>
      <c r="H16" s="80">
        <f t="shared" si="2"/>
        <v>206.99</v>
      </c>
      <c r="I16" s="101">
        <f t="shared" si="3"/>
        <v>1110895.8899999999</v>
      </c>
      <c r="N16" s="568" t="s">
        <v>22</v>
      </c>
      <c r="O16" s="568"/>
      <c r="P16" s="569">
        <f t="shared" si="0"/>
        <v>0</v>
      </c>
      <c r="Q16" s="569"/>
      <c r="R16" s="570">
        <v>1</v>
      </c>
      <c r="S16" s="570"/>
      <c r="T16" s="95">
        <f t="shared" si="4"/>
        <v>0</v>
      </c>
      <c r="U16" s="475">
        <f t="shared" si="5"/>
        <v>0</v>
      </c>
    </row>
    <row r="17" spans="1:21" x14ac:dyDescent="0.25">
      <c r="A17" s="517" t="s">
        <v>23</v>
      </c>
      <c r="B17" s="517"/>
      <c r="C17" s="143">
        <v>19.5</v>
      </c>
      <c r="D17" s="143">
        <v>19.5</v>
      </c>
      <c r="E17" s="116">
        <f t="shared" si="1"/>
        <v>39</v>
      </c>
      <c r="F17" s="555">
        <f>'1461'!F17:G17</f>
        <v>1</v>
      </c>
      <c r="G17" s="555"/>
      <c r="H17" s="80">
        <f t="shared" si="2"/>
        <v>39</v>
      </c>
      <c r="I17" s="101">
        <f t="shared" si="3"/>
        <v>209309.34</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31.2</v>
      </c>
      <c r="D26" s="143">
        <v>31.98</v>
      </c>
      <c r="E26" s="116">
        <f t="shared" si="1"/>
        <v>63.18</v>
      </c>
      <c r="F26" s="555">
        <f>'1461'!F26:G26</f>
        <v>1.208</v>
      </c>
      <c r="G26" s="555"/>
      <c r="H26" s="80">
        <f t="shared" si="2"/>
        <v>76.321399999999997</v>
      </c>
      <c r="I26" s="101">
        <f t="shared" si="3"/>
        <v>409609.78</v>
      </c>
      <c r="N26" s="568" t="s">
        <v>85</v>
      </c>
      <c r="O26" s="568"/>
      <c r="P26" s="569">
        <f t="shared" si="0"/>
        <v>0</v>
      </c>
      <c r="Q26" s="569"/>
      <c r="R26" s="570">
        <v>1</v>
      </c>
      <c r="S26" s="570"/>
      <c r="T26" s="95">
        <f t="shared" si="4"/>
        <v>0</v>
      </c>
      <c r="U26" s="475">
        <f t="shared" si="5"/>
        <v>0</v>
      </c>
    </row>
    <row r="27" spans="1:21" x14ac:dyDescent="0.25">
      <c r="A27" s="517" t="s">
        <v>86</v>
      </c>
      <c r="B27" s="517"/>
      <c r="C27" s="143">
        <v>12.08</v>
      </c>
      <c r="D27" s="143">
        <v>11.08</v>
      </c>
      <c r="E27" s="116">
        <f t="shared" si="1"/>
        <v>23.16</v>
      </c>
      <c r="F27" s="555">
        <f>'1461'!F27:G27</f>
        <v>1.208</v>
      </c>
      <c r="G27" s="555"/>
      <c r="H27" s="80">
        <f t="shared" si="2"/>
        <v>27.9773</v>
      </c>
      <c r="I27" s="101">
        <f t="shared" si="3"/>
        <v>150151.54</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254.71</v>
      </c>
      <c r="D30" s="94">
        <f>SUM(D14:D29)</f>
        <v>255.4</v>
      </c>
      <c r="E30" s="94">
        <f>SUM(E14:E29)</f>
        <v>510.11</v>
      </c>
      <c r="F30" s="536"/>
      <c r="G30" s="536"/>
      <c r="H30" s="99">
        <f>SUM(H14:H29)</f>
        <v>549.75790000000006</v>
      </c>
      <c r="I30" s="94">
        <f>SUM(I14:I29)</f>
        <v>2950499.01</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549.75790000000006</v>
      </c>
      <c r="F46" s="34"/>
      <c r="G46" s="106"/>
      <c r="H46" s="107" t="s">
        <v>98</v>
      </c>
      <c r="I46" s="94">
        <f>SUM(I44,I30)</f>
        <v>2950499.01</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2950499.01</v>
      </c>
      <c r="G51" s="109" t="s">
        <v>6</v>
      </c>
      <c r="H51" s="403">
        <v>4.5199999999999997E-2</v>
      </c>
      <c r="I51" s="101">
        <f>ROUND(F51*H51,2)</f>
        <v>133362.56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2950499.01</v>
      </c>
      <c r="G52" s="109" t="s">
        <v>6</v>
      </c>
      <c r="H52" s="403">
        <v>1.41E-2</v>
      </c>
      <c r="I52" s="101">
        <f>ROUND(F52*H52,2)</f>
        <v>41602.04</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174964.6</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10.5</v>
      </c>
      <c r="D57" s="143">
        <v>10</v>
      </c>
      <c r="E57" s="116">
        <f t="shared" ref="E57:E65" si="10">IF(D$72=0,C57*2,C57+D57)</f>
        <v>20.5</v>
      </c>
      <c r="F57" s="445" t="s">
        <v>439</v>
      </c>
      <c r="G57" s="445">
        <v>251</v>
      </c>
      <c r="H57" s="459">
        <f>'1461'!H57</f>
        <v>1047</v>
      </c>
      <c r="I57" s="101">
        <f>ROUND(E57*H57,2)</f>
        <v>21463.5</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19.5</v>
      </c>
      <c r="D60" s="143">
        <v>19</v>
      </c>
      <c r="E60" s="116">
        <f t="shared" si="10"/>
        <v>38.5</v>
      </c>
      <c r="F60" s="446" t="s">
        <v>13</v>
      </c>
      <c r="G60" s="445">
        <v>251</v>
      </c>
      <c r="H60" s="459">
        <f>'1461'!H60</f>
        <v>1173</v>
      </c>
      <c r="I60" s="101">
        <f t="shared" si="11"/>
        <v>45160.5</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0.5</v>
      </c>
      <c r="E62" s="116">
        <f t="shared" si="10"/>
        <v>0.5</v>
      </c>
      <c r="F62" s="446" t="s">
        <v>13</v>
      </c>
      <c r="G62" s="445">
        <v>253</v>
      </c>
      <c r="H62" s="459">
        <f>'1461'!H62</f>
        <v>7023</v>
      </c>
      <c r="I62" s="101">
        <f t="shared" si="11"/>
        <v>3511.5</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30</v>
      </c>
      <c r="D66" s="97">
        <f>SUM(D57:D65)</f>
        <v>29.5</v>
      </c>
      <c r="E66" s="97">
        <f>SUM(E57:E65)</f>
        <v>59.5</v>
      </c>
      <c r="F66" s="520" t="s">
        <v>448</v>
      </c>
      <c r="G66" s="520"/>
      <c r="H66" s="520"/>
      <c r="I66" s="97">
        <f>SUM(I57:I65)</f>
        <v>70135.5</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510.11</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2.5089999999999999E-3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549.75790000000006</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2.4160000000000002E-3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510.11</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2.7290000000000001E-3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510.11</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2.5119999999999999E-3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510.11</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2.7320000000000001E-3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2.5119999999999999E-3</v>
      </c>
      <c r="I85" s="101">
        <f>ROUND(F85*H85,2)</f>
        <v>112199.83</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2.5089999999999999E-3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2.7320000000000001E-3</v>
      </c>
      <c r="I90" s="101">
        <f>ROUND(F90*H90,2)</f>
        <v>44168.39</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2.7290000000000001E-3</v>
      </c>
      <c r="I92" s="101">
        <f t="shared" ref="I92:I96" si="14">ROUND(F92*H92,2)</f>
        <v>27399.43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2.4160000000000002E-3</v>
      </c>
      <c r="I94" s="101">
        <f t="shared" si="14"/>
        <v>577418.38</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2.4160000000000002E-3</v>
      </c>
      <c r="I96" s="101">
        <f t="shared" si="14"/>
        <v>-3865.71</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275.79059999999998</v>
      </c>
      <c r="D101" s="515"/>
      <c r="E101" s="46">
        <f>H8</f>
        <v>1.0442</v>
      </c>
      <c r="F101" s="304">
        <f>'1461'!F101</f>
        <v>947.59</v>
      </c>
      <c r="G101" s="39" t="s">
        <v>12</v>
      </c>
      <c r="H101" s="101">
        <f>ROUND(C101*E101*F101,2)</f>
        <v>272887.48</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273.96730000000002</v>
      </c>
      <c r="D102" s="515"/>
      <c r="E102" s="46">
        <f>H8</f>
        <v>1.0442</v>
      </c>
      <c r="F102" s="304">
        <f>'1461'!F102</f>
        <v>904.74</v>
      </c>
      <c r="G102" s="39" t="s">
        <v>12</v>
      </c>
      <c r="H102" s="101">
        <f>ROUND(C102*E102*F102,2)</f>
        <v>258824.99</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549.75790000000006</v>
      </c>
      <c r="D104" s="528"/>
      <c r="E104" s="123"/>
      <c r="F104" s="123"/>
      <c r="G104" s="123"/>
      <c r="H104" s="124" t="s">
        <v>100</v>
      </c>
      <c r="I104" s="101">
        <f>IF(A1=75,0,H103+H102+H101)</f>
        <v>531712.47</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27</v>
      </c>
      <c r="D110" s="143">
        <v>29</v>
      </c>
      <c r="E110" s="116">
        <f>(C110+D110)/2</f>
        <v>28</v>
      </c>
      <c r="F110" s="126" t="s">
        <v>30</v>
      </c>
      <c r="G110" s="305">
        <f>'1461'!G110</f>
        <v>565</v>
      </c>
      <c r="I110" s="101">
        <f>ROUND(G110*E110,2)</f>
        <v>15820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4325487.3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4150522.6999999997</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4150522.6999999997</v>
      </c>
      <c r="I132" s="94">
        <f>ROUND(IF(E30=0,0,IF(E30&gt;250,-(((250/E30)*H132)*IF(G132="H",0.02,0.05)),IF(G132="H",-0.02*H132,-0.05*H132))),2)</f>
        <v>-101706.56</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4223780.74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-369350.33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3854430.41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350402.76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105819.58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CCC"/>
  </sheetPr>
  <dimension ref="A1:V218"/>
  <sheetViews>
    <sheetView showGridLines="0" zoomScaleNormal="100" workbookViewId="0">
      <pane ySplit="1" topLeftCell="A99"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120</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295.82</v>
      </c>
      <c r="D18" s="143">
        <v>282.86</v>
      </c>
      <c r="E18" s="116">
        <f t="shared" si="1"/>
        <v>578.68000000000006</v>
      </c>
      <c r="F18" s="555">
        <f>'1461'!F18:G18</f>
        <v>0.98799999999999999</v>
      </c>
      <c r="G18" s="555"/>
      <c r="H18" s="80">
        <f t="shared" si="2"/>
        <v>571.73580000000004</v>
      </c>
      <c r="I18" s="101">
        <f t="shared" si="3"/>
        <v>3068452.33</v>
      </c>
      <c r="N18" s="568" t="s">
        <v>24</v>
      </c>
      <c r="O18" s="568"/>
      <c r="P18" s="569">
        <f t="shared" si="0"/>
        <v>0</v>
      </c>
      <c r="Q18" s="569"/>
      <c r="R18" s="570">
        <v>1</v>
      </c>
      <c r="S18" s="570"/>
      <c r="T18" s="95">
        <f t="shared" si="4"/>
        <v>0</v>
      </c>
      <c r="U18" s="475">
        <f t="shared" si="5"/>
        <v>0</v>
      </c>
    </row>
    <row r="19" spans="1:21" x14ac:dyDescent="0.25">
      <c r="A19" s="517" t="s">
        <v>25</v>
      </c>
      <c r="B19" s="517"/>
      <c r="C19" s="143">
        <v>41.5</v>
      </c>
      <c r="D19" s="143">
        <v>42.4</v>
      </c>
      <c r="E19" s="116">
        <f t="shared" si="1"/>
        <v>83.9</v>
      </c>
      <c r="F19" s="555">
        <f>'1461'!F19:G19</f>
        <v>0.98799999999999999</v>
      </c>
      <c r="G19" s="555"/>
      <c r="H19" s="80">
        <f t="shared" si="2"/>
        <v>82.893199999999993</v>
      </c>
      <c r="I19" s="101">
        <f t="shared" si="3"/>
        <v>444880.02</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4.91</v>
      </c>
      <c r="D28" s="143">
        <v>7.27</v>
      </c>
      <c r="E28" s="116">
        <f t="shared" si="1"/>
        <v>12.18</v>
      </c>
      <c r="F28" s="555">
        <f>'1461'!F28:G28</f>
        <v>1.208</v>
      </c>
      <c r="G28" s="555"/>
      <c r="H28" s="80">
        <f t="shared" si="2"/>
        <v>14.7134</v>
      </c>
      <c r="I28" s="101">
        <f t="shared" si="3"/>
        <v>78965.440000000002</v>
      </c>
      <c r="N28" s="568" t="s">
        <v>87</v>
      </c>
      <c r="O28" s="568"/>
      <c r="P28" s="569">
        <f t="shared" si="0"/>
        <v>0</v>
      </c>
      <c r="Q28" s="569"/>
      <c r="R28" s="570">
        <v>1</v>
      </c>
      <c r="S28" s="570"/>
      <c r="T28" s="95">
        <f t="shared" si="4"/>
        <v>0</v>
      </c>
      <c r="U28" s="475">
        <f t="shared" si="5"/>
        <v>0</v>
      </c>
    </row>
    <row r="29" spans="1:21" x14ac:dyDescent="0.25">
      <c r="A29" s="517" t="s">
        <v>88</v>
      </c>
      <c r="B29" s="517"/>
      <c r="C29" s="110">
        <v>32.79</v>
      </c>
      <c r="D29" s="110">
        <v>31.55</v>
      </c>
      <c r="E29" s="116">
        <f t="shared" si="1"/>
        <v>64.34</v>
      </c>
      <c r="F29" s="555">
        <f>'1461'!F29:G29</f>
        <v>1.0720000000000001</v>
      </c>
      <c r="G29" s="555"/>
      <c r="H29" s="93">
        <f t="shared" si="2"/>
        <v>68.972499999999997</v>
      </c>
      <c r="I29" s="94">
        <f t="shared" si="3"/>
        <v>370168.93</v>
      </c>
      <c r="N29" s="585" t="s">
        <v>88</v>
      </c>
      <c r="O29" s="585"/>
      <c r="P29" s="569">
        <f t="shared" si="0"/>
        <v>0</v>
      </c>
      <c r="Q29" s="569"/>
      <c r="R29" s="586">
        <v>1</v>
      </c>
      <c r="S29" s="586"/>
      <c r="T29" s="95">
        <f t="shared" si="4"/>
        <v>0</v>
      </c>
      <c r="U29" s="475">
        <f t="shared" si="5"/>
        <v>0</v>
      </c>
    </row>
    <row r="30" spans="1:21" x14ac:dyDescent="0.25">
      <c r="A30" s="520" t="s">
        <v>5</v>
      </c>
      <c r="B30" s="520"/>
      <c r="C30" s="94">
        <f>SUM(C14:C29)</f>
        <v>375.02000000000004</v>
      </c>
      <c r="D30" s="94">
        <f>SUM(D14:D29)</f>
        <v>364.08</v>
      </c>
      <c r="E30" s="97">
        <f>SUM(E14:E29)</f>
        <v>739.1</v>
      </c>
      <c r="F30" s="536"/>
      <c r="G30" s="536"/>
      <c r="H30" s="99">
        <f>SUM(H14:H29)</f>
        <v>738.31489999999997</v>
      </c>
      <c r="I30" s="94">
        <f>SUM(I14:I29)</f>
        <v>3962466.72</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738.31489999999997</v>
      </c>
      <c r="F46" s="34"/>
      <c r="G46" s="106"/>
      <c r="H46" s="107" t="s">
        <v>98</v>
      </c>
      <c r="I46" s="94">
        <f>SUM(I44,I30)</f>
        <v>3962466.72</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3962466.72</v>
      </c>
      <c r="G51" s="109" t="s">
        <v>6</v>
      </c>
      <c r="H51" s="403">
        <v>4.5199999999999997E-2</v>
      </c>
      <c r="I51" s="101">
        <f>ROUND(F51*H51,2)</f>
        <v>179103.5</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3962466.72</v>
      </c>
      <c r="G52" s="109" t="s">
        <v>6</v>
      </c>
      <c r="H52" s="403">
        <v>1.41E-2</v>
      </c>
      <c r="I52" s="101">
        <f>ROUND(F52*H52,2)</f>
        <v>55870.78</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234974.28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39.5</v>
      </c>
      <c r="D63" s="143">
        <v>40.9</v>
      </c>
      <c r="E63" s="116">
        <f t="shared" si="10"/>
        <v>80.400000000000006</v>
      </c>
      <c r="F63" s="446" t="s">
        <v>14</v>
      </c>
      <c r="G63" s="445">
        <v>251</v>
      </c>
      <c r="H63" s="459">
        <f>'1461'!H63</f>
        <v>835</v>
      </c>
      <c r="I63" s="101">
        <f t="shared" si="11"/>
        <v>67134</v>
      </c>
      <c r="N63" s="619"/>
      <c r="O63" s="619"/>
      <c r="P63" s="622"/>
      <c r="Q63" s="622"/>
      <c r="R63" s="40" t="s">
        <v>14</v>
      </c>
      <c r="S63" s="451">
        <v>251</v>
      </c>
      <c r="T63" s="462">
        <f t="shared" si="12"/>
        <v>835</v>
      </c>
      <c r="U63" s="476">
        <f t="shared" si="13"/>
        <v>0</v>
      </c>
      <c r="V63" s="426"/>
    </row>
    <row r="64" spans="1:22" x14ac:dyDescent="0.25">
      <c r="A64" s="533"/>
      <c r="B64" s="533"/>
      <c r="C64" s="143">
        <v>2</v>
      </c>
      <c r="D64" s="143">
        <v>1.5</v>
      </c>
      <c r="E64" s="116">
        <f t="shared" si="10"/>
        <v>3.5</v>
      </c>
      <c r="F64" s="446" t="s">
        <v>14</v>
      </c>
      <c r="G64" s="445">
        <v>252</v>
      </c>
      <c r="H64" s="459">
        <f>'1461'!H64</f>
        <v>3168</v>
      </c>
      <c r="I64" s="101">
        <f t="shared" si="11"/>
        <v>11088</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41.5</v>
      </c>
      <c r="D66" s="97">
        <f>SUM(D57:D65)</f>
        <v>42.4</v>
      </c>
      <c r="E66" s="97">
        <f>SUM(E57:E65)</f>
        <v>83.9</v>
      </c>
      <c r="F66" s="520" t="s">
        <v>448</v>
      </c>
      <c r="G66" s="520"/>
      <c r="H66" s="520"/>
      <c r="I66" s="97">
        <f>SUM(I57:I65)</f>
        <v>78222</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739.1</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3.6350000000000002E-3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738.31489999999997</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3.2450000000000001E-3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739.1</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3.954E-3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739.1</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3.6389999999999999E-3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739.1</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3.9589999999999998E-3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3.6389999999999999E-3</v>
      </c>
      <c r="I85" s="101">
        <f>ROUND(F85*H85,2)</f>
        <v>162537.89000000001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3.6350000000000002E-3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3.9589999999999998E-3</v>
      </c>
      <c r="I90" s="101">
        <f>ROUND(F90*H90,2)</f>
        <v>64005.36</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3.954E-3</v>
      </c>
      <c r="I92" s="101">
        <f t="shared" ref="I92:I96" si="14">ROUND(F92*H92,2)</f>
        <v>39698.550000000003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3.2450000000000001E-3</v>
      </c>
      <c r="I94" s="101">
        <f t="shared" si="14"/>
        <v>775547.45</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3.2450000000000001E-3</v>
      </c>
      <c r="I96" s="101">
        <f t="shared" si="14"/>
        <v>-5192.1499999999996</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738.31489999999997</v>
      </c>
      <c r="D103" s="515"/>
      <c r="E103" s="46">
        <f>H8</f>
        <v>1.0442</v>
      </c>
      <c r="F103" s="304">
        <f>'1461'!F103</f>
        <v>906.93</v>
      </c>
      <c r="G103" s="39" t="s">
        <v>12</v>
      </c>
      <c r="H103" s="94">
        <f>ROUND(C103*E103*F103,2)</f>
        <v>699196.25</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738.31489999999997</v>
      </c>
      <c r="D104" s="528"/>
      <c r="E104" s="123"/>
      <c r="F104" s="123"/>
      <c r="G104" s="123"/>
      <c r="H104" s="124" t="s">
        <v>100</v>
      </c>
      <c r="I104" s="101">
        <f>IF(A1=75,0,H103+H102+H101)</f>
        <v>699196.25</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274</v>
      </c>
      <c r="D110" s="143">
        <v>266</v>
      </c>
      <c r="E110" s="116">
        <f>(C110+D110)/2</f>
        <v>270</v>
      </c>
      <c r="F110" s="126" t="s">
        <v>30</v>
      </c>
      <c r="G110" s="305">
        <f>'1461'!G110</f>
        <v>565</v>
      </c>
      <c r="I110" s="101">
        <f>ROUND(G110*E110,2)</f>
        <v>152550</v>
      </c>
      <c r="N110" s="617" t="s">
        <v>52</v>
      </c>
      <c r="O110" s="617"/>
      <c r="P110" s="605">
        <f>IF(H130=1,E110,0)</f>
        <v>0</v>
      </c>
      <c r="Q110" s="605"/>
      <c r="R110" s="605"/>
      <c r="S110" s="83" t="s">
        <v>30</v>
      </c>
      <c r="T110" s="58">
        <f>G110</f>
        <v>565</v>
      </c>
      <c r="U110" s="475">
        <f>ROUND(T110*P110,2)</f>
        <v>0</v>
      </c>
    </row>
    <row r="111" spans="1:21" x14ac:dyDescent="0.25">
      <c r="A111" s="529" t="s">
        <v>380</v>
      </c>
      <c r="B111" s="550"/>
      <c r="C111" s="143">
        <v>1</v>
      </c>
      <c r="D111" s="143">
        <v>0</v>
      </c>
      <c r="E111" s="116">
        <f>(C111+D111)/2</f>
        <v>0.5</v>
      </c>
      <c r="F111" s="126" t="s">
        <v>30</v>
      </c>
      <c r="G111" s="305">
        <f>'1461'!G111</f>
        <v>1762</v>
      </c>
      <c r="I111" s="101">
        <f>ROUND(G111*E111,2)</f>
        <v>881</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5929913.0700000003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5694938.79</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5694938.79</v>
      </c>
      <c r="I132" s="94">
        <f>ROUND(IF(E30=0,0,IF(E30&gt;250,-(((250/E30)*H132)*IF(G132="H",0.02,0.05)),IF(G132="H",-0.02*H132,-0.05*H132))),2)</f>
        <v>-96315.43</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5833597.6400000006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-511586.76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5322010.8800000008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483819.17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188431.51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6"/>
  <sheetViews>
    <sheetView showGridLines="0" zoomScaleNormal="100" workbookViewId="0">
      <pane ySplit="4" topLeftCell="A14" activePane="bottomLeft" state="frozen"/>
      <selection activeCell="E26" sqref="E26"/>
      <selection pane="bottomLeft" activeCell="A5" sqref="A5:A51"/>
    </sheetView>
  </sheetViews>
  <sheetFormatPr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08" t="s">
        <v>307</v>
      </c>
      <c r="C3" s="509"/>
      <c r="D3" s="205"/>
      <c r="E3" s="508" t="s">
        <v>187</v>
      </c>
      <c r="F3" s="509"/>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283</v>
      </c>
      <c r="F7" s="211" t="s">
        <v>284</v>
      </c>
    </row>
    <row r="8" spans="1:6" x14ac:dyDescent="0.2">
      <c r="A8" s="216">
        <v>4</v>
      </c>
      <c r="B8" s="210" t="s">
        <v>162</v>
      </c>
      <c r="C8" s="211" t="s">
        <v>195</v>
      </c>
      <c r="D8" s="205"/>
      <c r="E8" s="210" t="s">
        <v>270</v>
      </c>
      <c r="F8" s="211" t="s">
        <v>269</v>
      </c>
    </row>
    <row r="9" spans="1:6" x14ac:dyDescent="0.2">
      <c r="A9" s="216">
        <v>5</v>
      </c>
      <c r="B9" s="210" t="s">
        <v>163</v>
      </c>
      <c r="C9" s="211" t="s">
        <v>257</v>
      </c>
      <c r="D9" s="205"/>
      <c r="E9" s="210" t="s">
        <v>161</v>
      </c>
      <c r="F9" s="212" t="s">
        <v>194</v>
      </c>
    </row>
    <row r="10" spans="1:6" x14ac:dyDescent="0.2">
      <c r="A10" s="216">
        <v>6</v>
      </c>
      <c r="B10" s="210" t="s">
        <v>164</v>
      </c>
      <c r="C10" s="211" t="s">
        <v>357</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322</v>
      </c>
    </row>
    <row r="13" spans="1:6" x14ac:dyDescent="0.2">
      <c r="A13" s="216">
        <v>9</v>
      </c>
      <c r="B13" s="210" t="s">
        <v>167</v>
      </c>
      <c r="C13" s="211" t="s">
        <v>312</v>
      </c>
      <c r="D13" s="205"/>
      <c r="E13" s="210" t="s">
        <v>200</v>
      </c>
      <c r="F13" s="211" t="s">
        <v>324</v>
      </c>
    </row>
    <row r="14" spans="1:6" x14ac:dyDescent="0.2">
      <c r="A14" s="216">
        <v>10</v>
      </c>
      <c r="B14" s="210" t="s">
        <v>168</v>
      </c>
      <c r="C14" s="213" t="s">
        <v>364</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364</v>
      </c>
    </row>
    <row r="18" spans="1:9" x14ac:dyDescent="0.2">
      <c r="A18" s="216">
        <v>14</v>
      </c>
      <c r="B18" s="210" t="s">
        <v>172</v>
      </c>
      <c r="C18" s="212" t="s">
        <v>206</v>
      </c>
      <c r="D18" s="205"/>
      <c r="E18" s="210" t="s">
        <v>169</v>
      </c>
      <c r="F18" s="212" t="s">
        <v>201</v>
      </c>
    </row>
    <row r="19" spans="1:9" x14ac:dyDescent="0.2">
      <c r="A19" s="216">
        <v>15</v>
      </c>
      <c r="B19" s="210" t="s">
        <v>173</v>
      </c>
      <c r="C19" s="211" t="s">
        <v>288</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314</v>
      </c>
      <c r="F21" s="215" t="s">
        <v>311</v>
      </c>
    </row>
    <row r="22" spans="1:9" x14ac:dyDescent="0.2">
      <c r="A22" s="216">
        <v>18</v>
      </c>
      <c r="B22" s="210" t="s">
        <v>176</v>
      </c>
      <c r="C22" s="211" t="s">
        <v>190</v>
      </c>
      <c r="D22" s="205"/>
      <c r="E22" s="210" t="s">
        <v>164</v>
      </c>
      <c r="F22" s="211" t="s">
        <v>357</v>
      </c>
    </row>
    <row r="23" spans="1:9" x14ac:dyDescent="0.2">
      <c r="A23" s="216">
        <v>19</v>
      </c>
      <c r="B23" s="210" t="s">
        <v>177</v>
      </c>
      <c r="C23" s="212" t="s">
        <v>207</v>
      </c>
      <c r="D23" s="205"/>
      <c r="E23" s="210" t="s">
        <v>210</v>
      </c>
      <c r="F23" s="215" t="s">
        <v>356</v>
      </c>
    </row>
    <row r="24" spans="1:9" x14ac:dyDescent="0.2">
      <c r="A24" s="216">
        <v>20</v>
      </c>
      <c r="B24" s="210" t="s">
        <v>178</v>
      </c>
      <c r="C24" s="211" t="s">
        <v>208</v>
      </c>
      <c r="D24" s="205"/>
      <c r="E24" s="210" t="s">
        <v>183</v>
      </c>
      <c r="F24" s="212" t="s">
        <v>316</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356</v>
      </c>
      <c r="D28" s="205"/>
      <c r="E28" s="210" t="s">
        <v>214</v>
      </c>
      <c r="F28" s="211" t="s">
        <v>215</v>
      </c>
    </row>
    <row r="29" spans="1:9" x14ac:dyDescent="0.2">
      <c r="A29" s="216">
        <v>25</v>
      </c>
      <c r="B29" s="210" t="s">
        <v>181</v>
      </c>
      <c r="C29" s="211" t="s">
        <v>192</v>
      </c>
      <c r="D29" s="205"/>
      <c r="E29" s="210" t="s">
        <v>216</v>
      </c>
      <c r="F29" s="211" t="s">
        <v>217</v>
      </c>
      <c r="I29" s="297"/>
    </row>
    <row r="30" spans="1:9" x14ac:dyDescent="0.2">
      <c r="A30" s="216">
        <v>26</v>
      </c>
      <c r="B30" s="210" t="s">
        <v>182</v>
      </c>
      <c r="C30" s="212" t="s">
        <v>202</v>
      </c>
      <c r="D30" s="205"/>
      <c r="E30" s="210" t="s">
        <v>218</v>
      </c>
      <c r="F30" s="211" t="s">
        <v>219</v>
      </c>
      <c r="I30" s="297"/>
    </row>
    <row r="31" spans="1:9" x14ac:dyDescent="0.2">
      <c r="A31" s="216">
        <v>27</v>
      </c>
      <c r="B31" s="210" t="s">
        <v>183</v>
      </c>
      <c r="C31" s="212" t="s">
        <v>316</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317</v>
      </c>
    </row>
    <row r="35" spans="1:6" x14ac:dyDescent="0.2">
      <c r="A35" s="216">
        <v>31</v>
      </c>
      <c r="B35" s="210" t="s">
        <v>223</v>
      </c>
      <c r="C35" s="212" t="s">
        <v>224</v>
      </c>
      <c r="D35" s="205"/>
      <c r="E35" s="210" t="s">
        <v>178</v>
      </c>
      <c r="F35" s="211" t="s">
        <v>208</v>
      </c>
    </row>
    <row r="36" spans="1:6" x14ac:dyDescent="0.2">
      <c r="A36" s="216">
        <v>32</v>
      </c>
      <c r="B36" s="210" t="s">
        <v>199</v>
      </c>
      <c r="C36" s="211" t="s">
        <v>322</v>
      </c>
      <c r="D36" s="205"/>
      <c r="E36" s="210" t="s">
        <v>225</v>
      </c>
      <c r="F36" s="211" t="s">
        <v>226</v>
      </c>
    </row>
    <row r="37" spans="1:6" x14ac:dyDescent="0.2">
      <c r="A37" s="216">
        <v>33</v>
      </c>
      <c r="B37" s="210" t="s">
        <v>314</v>
      </c>
      <c r="C37" s="212" t="s">
        <v>311</v>
      </c>
      <c r="D37" s="205"/>
      <c r="E37" s="210" t="s">
        <v>223</v>
      </c>
      <c r="F37" s="212" t="s">
        <v>224</v>
      </c>
    </row>
    <row r="38" spans="1:6" x14ac:dyDescent="0.2">
      <c r="A38" s="216">
        <v>34</v>
      </c>
      <c r="B38" s="210">
        <v>4031</v>
      </c>
      <c r="C38" s="211" t="s">
        <v>327</v>
      </c>
      <c r="D38" s="205"/>
      <c r="E38" s="210" t="s">
        <v>221</v>
      </c>
      <c r="F38" s="215" t="s">
        <v>222</v>
      </c>
    </row>
    <row r="39" spans="1:6" x14ac:dyDescent="0.2">
      <c r="A39" s="216">
        <v>35</v>
      </c>
      <c r="B39" s="210" t="s">
        <v>225</v>
      </c>
      <c r="C39" s="211" t="s">
        <v>226</v>
      </c>
      <c r="D39" s="205"/>
      <c r="E39" s="210" t="s">
        <v>173</v>
      </c>
      <c r="F39" s="212" t="s">
        <v>288</v>
      </c>
    </row>
    <row r="40" spans="1:6" x14ac:dyDescent="0.2">
      <c r="A40" s="216">
        <v>36</v>
      </c>
      <c r="B40" s="210" t="s">
        <v>216</v>
      </c>
      <c r="C40" s="211" t="s">
        <v>217</v>
      </c>
      <c r="D40" s="205"/>
      <c r="E40" s="210">
        <v>4091</v>
      </c>
      <c r="F40" s="212" t="s">
        <v>277</v>
      </c>
    </row>
    <row r="41" spans="1:6" x14ac:dyDescent="0.2">
      <c r="A41" s="216">
        <v>37</v>
      </c>
      <c r="B41" s="210" t="s">
        <v>214</v>
      </c>
      <c r="C41" s="211" t="s">
        <v>215</v>
      </c>
      <c r="D41" s="205"/>
      <c r="E41" s="210">
        <v>4031</v>
      </c>
      <c r="F41" s="211" t="s">
        <v>327</v>
      </c>
    </row>
    <row r="42" spans="1:6" x14ac:dyDescent="0.2">
      <c r="A42" s="216">
        <v>38</v>
      </c>
      <c r="B42" s="210" t="s">
        <v>200</v>
      </c>
      <c r="C42" s="211" t="s">
        <v>324</v>
      </c>
      <c r="D42" s="205"/>
      <c r="E42" s="214" t="s">
        <v>353</v>
      </c>
      <c r="F42" s="211" t="s">
        <v>354</v>
      </c>
    </row>
    <row r="43" spans="1:6" x14ac:dyDescent="0.2">
      <c r="A43" s="216">
        <v>39</v>
      </c>
      <c r="B43" s="210" t="s">
        <v>240</v>
      </c>
      <c r="C43" s="211" t="s">
        <v>244</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278</v>
      </c>
      <c r="D45" s="205"/>
      <c r="E45" s="210">
        <v>4090</v>
      </c>
      <c r="F45" s="212" t="s">
        <v>278</v>
      </c>
    </row>
    <row r="46" spans="1:6" x14ac:dyDescent="0.2">
      <c r="A46" s="216">
        <v>42</v>
      </c>
      <c r="B46" s="243">
        <v>4091</v>
      </c>
      <c r="C46" s="188" t="s">
        <v>277</v>
      </c>
      <c r="D46" s="205"/>
      <c r="E46" s="210" t="s">
        <v>302</v>
      </c>
      <c r="F46" s="212" t="s">
        <v>303</v>
      </c>
    </row>
    <row r="47" spans="1:6" x14ac:dyDescent="0.2">
      <c r="A47" s="216">
        <v>43</v>
      </c>
      <c r="B47" s="210" t="s">
        <v>270</v>
      </c>
      <c r="C47" s="211" t="s">
        <v>269</v>
      </c>
      <c r="D47" s="205"/>
      <c r="E47" s="210" t="s">
        <v>167</v>
      </c>
      <c r="F47" s="211" t="s">
        <v>312</v>
      </c>
    </row>
    <row r="48" spans="1:6" x14ac:dyDescent="0.2">
      <c r="A48" s="216">
        <v>44</v>
      </c>
      <c r="B48" s="210" t="s">
        <v>283</v>
      </c>
      <c r="C48" s="211" t="s">
        <v>284</v>
      </c>
      <c r="D48" s="205"/>
      <c r="E48" s="210" t="s">
        <v>163</v>
      </c>
      <c r="F48" s="211" t="s">
        <v>257</v>
      </c>
    </row>
    <row r="49" spans="1:6" x14ac:dyDescent="0.2">
      <c r="A49" s="216">
        <v>45</v>
      </c>
      <c r="B49" s="210" t="s">
        <v>302</v>
      </c>
      <c r="C49" s="242" t="s">
        <v>303</v>
      </c>
      <c r="D49" s="205"/>
      <c r="E49" s="210" t="s">
        <v>240</v>
      </c>
      <c r="F49" s="211" t="s">
        <v>244</v>
      </c>
    </row>
    <row r="50" spans="1:6" x14ac:dyDescent="0.2">
      <c r="A50" s="216">
        <v>46</v>
      </c>
      <c r="B50" s="210">
        <v>4111</v>
      </c>
      <c r="C50" s="211" t="s">
        <v>317</v>
      </c>
      <c r="D50" s="205"/>
      <c r="E50" s="210" t="s">
        <v>165</v>
      </c>
      <c r="F50" s="212" t="s">
        <v>197</v>
      </c>
    </row>
    <row r="51" spans="1:6" x14ac:dyDescent="0.2">
      <c r="A51" s="216">
        <v>47</v>
      </c>
      <c r="B51" s="210" t="s">
        <v>353</v>
      </c>
      <c r="C51" s="211" t="s">
        <v>354</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121</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5.5</v>
      </c>
      <c r="D16" s="143">
        <v>3.5</v>
      </c>
      <c r="E16" s="116">
        <f t="shared" si="1"/>
        <v>9</v>
      </c>
      <c r="F16" s="555">
        <f>'1461'!F16:G16</f>
        <v>1</v>
      </c>
      <c r="G16" s="555"/>
      <c r="H16" s="80">
        <f t="shared" si="2"/>
        <v>9</v>
      </c>
      <c r="I16" s="101">
        <f t="shared" si="3"/>
        <v>48302.15</v>
      </c>
      <c r="N16" s="568" t="s">
        <v>22</v>
      </c>
      <c r="O16" s="568"/>
      <c r="P16" s="569">
        <f t="shared" si="0"/>
        <v>0</v>
      </c>
      <c r="Q16" s="569"/>
      <c r="R16" s="570">
        <v>1</v>
      </c>
      <c r="S16" s="570"/>
      <c r="T16" s="95">
        <f t="shared" si="4"/>
        <v>0</v>
      </c>
      <c r="U16" s="475">
        <f t="shared" si="5"/>
        <v>0</v>
      </c>
    </row>
    <row r="17" spans="1:21" x14ac:dyDescent="0.25">
      <c r="A17" s="517" t="s">
        <v>23</v>
      </c>
      <c r="B17" s="517"/>
      <c r="C17" s="143">
        <v>1.5</v>
      </c>
      <c r="D17" s="143">
        <v>2</v>
      </c>
      <c r="E17" s="116">
        <f t="shared" si="1"/>
        <v>3.5</v>
      </c>
      <c r="F17" s="555">
        <f>'1461'!F17:G17</f>
        <v>1</v>
      </c>
      <c r="G17" s="555"/>
      <c r="H17" s="80">
        <f t="shared" si="2"/>
        <v>3.5</v>
      </c>
      <c r="I17" s="101">
        <f t="shared" si="3"/>
        <v>18784.169999999998</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48.5</v>
      </c>
      <c r="D18" s="143">
        <v>48.19</v>
      </c>
      <c r="E18" s="116">
        <f t="shared" si="1"/>
        <v>96.69</v>
      </c>
      <c r="F18" s="555">
        <f>'1461'!F18:G18</f>
        <v>0.98799999999999999</v>
      </c>
      <c r="G18" s="555"/>
      <c r="H18" s="80">
        <f t="shared" si="2"/>
        <v>95.529700000000005</v>
      </c>
      <c r="I18" s="101">
        <f t="shared" si="3"/>
        <v>512698.93</v>
      </c>
      <c r="N18" s="568" t="s">
        <v>24</v>
      </c>
      <c r="O18" s="568"/>
      <c r="P18" s="569">
        <f t="shared" si="0"/>
        <v>0</v>
      </c>
      <c r="Q18" s="569"/>
      <c r="R18" s="570">
        <v>1</v>
      </c>
      <c r="S18" s="570"/>
      <c r="T18" s="95">
        <f t="shared" si="4"/>
        <v>0</v>
      </c>
      <c r="U18" s="475">
        <f t="shared" si="5"/>
        <v>0</v>
      </c>
    </row>
    <row r="19" spans="1:21" x14ac:dyDescent="0.25">
      <c r="A19" s="517" t="s">
        <v>25</v>
      </c>
      <c r="B19" s="517"/>
      <c r="C19" s="143">
        <v>12.44</v>
      </c>
      <c r="D19" s="143">
        <v>13.96</v>
      </c>
      <c r="E19" s="116">
        <f t="shared" si="1"/>
        <v>26.4</v>
      </c>
      <c r="F19" s="555">
        <f>'1461'!F19:G19</f>
        <v>0.98799999999999999</v>
      </c>
      <c r="G19" s="555"/>
      <c r="H19" s="80">
        <f t="shared" si="2"/>
        <v>26.083200000000001</v>
      </c>
      <c r="I19" s="101">
        <f t="shared" si="3"/>
        <v>139986.07999999999</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16">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67.94</v>
      </c>
      <c r="D30" s="94">
        <f>SUM(D14:D29)</f>
        <v>67.650000000000006</v>
      </c>
      <c r="E30" s="97">
        <f>SUM(E14:E29)</f>
        <v>135.59</v>
      </c>
      <c r="F30" s="536"/>
      <c r="G30" s="536"/>
      <c r="H30" s="99">
        <f>SUM(H14:H29)</f>
        <v>134.1129</v>
      </c>
      <c r="I30" s="94">
        <f>SUM(I14:I29)</f>
        <v>719771.33</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134.1129</v>
      </c>
      <c r="F46" s="34"/>
      <c r="G46" s="106"/>
      <c r="H46" s="107" t="s">
        <v>98</v>
      </c>
      <c r="I46" s="94">
        <f>SUM(I44,I30)</f>
        <v>719771.33</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719771.33</v>
      </c>
      <c r="G51" s="109" t="s">
        <v>6</v>
      </c>
      <c r="H51" s="403">
        <v>4.5199999999999997E-2</v>
      </c>
      <c r="I51" s="101">
        <f>ROUND(F51*H51,2)</f>
        <v>32533.66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719771.33</v>
      </c>
      <c r="G52" s="109" t="s">
        <v>6</v>
      </c>
      <c r="H52" s="403">
        <v>1.41E-2</v>
      </c>
      <c r="I52" s="101">
        <f>ROUND(F52*H52,2)</f>
        <v>10148.780000000001</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42682.44</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1.5</v>
      </c>
      <c r="D60" s="143">
        <v>2</v>
      </c>
      <c r="E60" s="116">
        <f t="shared" si="10"/>
        <v>3.5</v>
      </c>
      <c r="F60" s="446" t="s">
        <v>13</v>
      </c>
      <c r="G60" s="445">
        <v>251</v>
      </c>
      <c r="H60" s="459">
        <f>'1461'!H60</f>
        <v>1173</v>
      </c>
      <c r="I60" s="101">
        <f t="shared" si="11"/>
        <v>4105.5</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12.44</v>
      </c>
      <c r="D63" s="143">
        <v>13.96</v>
      </c>
      <c r="E63" s="116">
        <f t="shared" si="10"/>
        <v>26.4</v>
      </c>
      <c r="F63" s="446" t="s">
        <v>14</v>
      </c>
      <c r="G63" s="445">
        <v>251</v>
      </c>
      <c r="H63" s="459">
        <f>'1461'!H63</f>
        <v>835</v>
      </c>
      <c r="I63" s="101">
        <f t="shared" si="11"/>
        <v>22044</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13.94</v>
      </c>
      <c r="D66" s="97">
        <f>SUM(D57:D65)</f>
        <v>15.96</v>
      </c>
      <c r="E66" s="97">
        <f>SUM(E57:E65)</f>
        <v>29.9</v>
      </c>
      <c r="F66" s="520" t="s">
        <v>448</v>
      </c>
      <c r="G66" s="520"/>
      <c r="H66" s="520"/>
      <c r="I66" s="97">
        <f>SUM(I57:I65)</f>
        <v>26149.5</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135.59</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6.6699999999999995E-4</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134.1129</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5.8900000000000001E-4</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135.59</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7.2499999999999995E-4</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135.59</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6.6799999999999997E-4</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135.59</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7.2599999999999997E-4</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6.6799999999999997E-4</v>
      </c>
      <c r="I85" s="101">
        <f>ROUND(F85*H85,2)</f>
        <v>29836.58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6.6699999999999995E-4</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7.2599999999999997E-4</v>
      </c>
      <c r="I90" s="101">
        <f>ROUND(F90*H90,2)</f>
        <v>11737.28</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7.2499999999999995E-4</v>
      </c>
      <c r="I92" s="101">
        <f t="shared" ref="I92:I96" si="14">ROUND(F92*H92,2)</f>
        <v>7279.07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5.8900000000000001E-4</v>
      </c>
      <c r="I94" s="101">
        <f t="shared" si="14"/>
        <v>140769.63</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5.8900000000000001E-4</v>
      </c>
      <c r="I96" s="101">
        <f t="shared" si="14"/>
        <v>-942.43</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12.5</v>
      </c>
      <c r="D102" s="515"/>
      <c r="E102" s="46">
        <f>H8</f>
        <v>1.0442</v>
      </c>
      <c r="F102" s="304">
        <f>'1461'!F102</f>
        <v>904.74</v>
      </c>
      <c r="G102" s="39" t="s">
        <v>12</v>
      </c>
      <c r="H102" s="101">
        <f>ROUND(C102*E102*F102,2)</f>
        <v>11809.12</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121.61290000000001</v>
      </c>
      <c r="D103" s="515"/>
      <c r="E103" s="46">
        <f>H8</f>
        <v>1.0442</v>
      </c>
      <c r="F103" s="304">
        <f>'1461'!F103</f>
        <v>906.93</v>
      </c>
      <c r="G103" s="39" t="s">
        <v>12</v>
      </c>
      <c r="H103" s="94">
        <f>ROUND(C103*E103*F103,2)</f>
        <v>115169.4</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134.11290000000002</v>
      </c>
      <c r="D104" s="528"/>
      <c r="E104" s="123"/>
      <c r="F104" s="123"/>
      <c r="G104" s="123"/>
      <c r="H104" s="124" t="s">
        <v>100</v>
      </c>
      <c r="I104" s="101">
        <f>IF(A1=75,0,H103+H102+H101)</f>
        <v>126978.51999999999</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82</v>
      </c>
      <c r="D110" s="143">
        <v>103</v>
      </c>
      <c r="E110" s="116">
        <f>(C110+D110)/2</f>
        <v>92.5</v>
      </c>
      <c r="F110" s="126" t="s">
        <v>30</v>
      </c>
      <c r="G110" s="305">
        <f>'1461'!G110</f>
        <v>565</v>
      </c>
      <c r="I110" s="101">
        <f>ROUND(G110*E110,2)</f>
        <v>52262.5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1113841.9799999997</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1071159.5399999998</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1071159.5399999998</v>
      </c>
      <c r="I132" s="94">
        <f>ROUND(IF(E30=0,0,IF(E30&gt;250,-(((250/E30)*H132)*IF(G132="H",0.02,0.05)),IF(G132="H",-0.02*H132,-0.05*H132))),2)</f>
        <v>-53557.98</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1060283.9999999998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-94144.34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966139.6599999998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87830.88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113</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46.93</v>
      </c>
      <c r="D19" s="143">
        <v>48.44</v>
      </c>
      <c r="E19" s="116">
        <f t="shared" si="1"/>
        <v>95.37</v>
      </c>
      <c r="F19" s="555">
        <f>'1461'!F19:G19</f>
        <v>0.98799999999999999</v>
      </c>
      <c r="G19" s="555"/>
      <c r="H19" s="80">
        <f t="shared" si="2"/>
        <v>94.2256</v>
      </c>
      <c r="I19" s="101">
        <f t="shared" si="3"/>
        <v>505699.94</v>
      </c>
      <c r="J19" s="65" t="str">
        <f>IF(ROUND(E19,2)=ROUND(SUM(E63:E65),2)," ","CHECK 4-8 LINES BELOW")</f>
        <v xml:space="preserve"> </v>
      </c>
      <c r="N19" s="568" t="s">
        <v>25</v>
      </c>
      <c r="O19" s="568"/>
      <c r="P19" s="569">
        <f t="shared" si="0"/>
        <v>95.37</v>
      </c>
      <c r="Q19" s="569"/>
      <c r="R19" s="570">
        <v>1</v>
      </c>
      <c r="S19" s="570"/>
      <c r="T19" s="95">
        <f t="shared" si="4"/>
        <v>95.37</v>
      </c>
      <c r="U19" s="474">
        <f t="shared" si="5"/>
        <v>511841.83</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46.93</v>
      </c>
      <c r="D30" s="94">
        <f>SUM(D14:D29)</f>
        <v>48.44</v>
      </c>
      <c r="E30" s="94">
        <f>SUM(E14:E29)</f>
        <v>95.37</v>
      </c>
      <c r="F30" s="536"/>
      <c r="G30" s="536"/>
      <c r="H30" s="99">
        <f>SUM(H14:H29)</f>
        <v>94.2256</v>
      </c>
      <c r="I30" s="94">
        <f>SUM(I14:I29)</f>
        <v>505699.94</v>
      </c>
      <c r="N30" s="587" t="s">
        <v>5</v>
      </c>
      <c r="O30" s="587"/>
      <c r="P30" s="588">
        <f>SUM(P14:P29)</f>
        <v>95.37</v>
      </c>
      <c r="Q30" s="588"/>
      <c r="R30" s="589"/>
      <c r="S30" s="589"/>
      <c r="T30" s="100">
        <f>SUM(T14:T29)</f>
        <v>95.37</v>
      </c>
      <c r="U30" s="475">
        <f>SUM(U14:U29)</f>
        <v>511841.83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94.2256</v>
      </c>
      <c r="F46" s="34"/>
      <c r="G46" s="106"/>
      <c r="H46" s="107" t="s">
        <v>98</v>
      </c>
      <c r="I46" s="94">
        <f>SUM(I44,I30)</f>
        <v>505699.94</v>
      </c>
      <c r="N46" s="613" t="s">
        <v>44</v>
      </c>
      <c r="O46" s="613"/>
      <c r="P46" s="613"/>
      <c r="Q46" s="613"/>
      <c r="R46" s="35">
        <f>R44+T30</f>
        <v>95.37</v>
      </c>
      <c r="S46" s="589" t="s">
        <v>42</v>
      </c>
      <c r="T46" s="589"/>
      <c r="U46" s="108">
        <f>SUM(U44,U30)</f>
        <v>511841.83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505699.94</v>
      </c>
      <c r="G51" s="109" t="s">
        <v>6</v>
      </c>
      <c r="H51" s="403">
        <v>4.5199999999999997E-2</v>
      </c>
      <c r="I51" s="101">
        <f>ROUND(F51*H51,2)</f>
        <v>22857.64</v>
      </c>
      <c r="N51" s="408"/>
      <c r="O51" s="409" t="s">
        <v>398</v>
      </c>
      <c r="P51" s="28"/>
      <c r="Q51" s="44" t="s">
        <v>399</v>
      </c>
      <c r="R51" s="410">
        <f>U30</f>
        <v>511841.83</v>
      </c>
      <c r="S51" s="411" t="s">
        <v>6</v>
      </c>
      <c r="T51" s="412">
        <v>4.5199999999999997E-2</v>
      </c>
      <c r="U51" s="404">
        <f>ROUND(R51*T51,2)</f>
        <v>23135.25</v>
      </c>
    </row>
    <row r="52" spans="1:22" x14ac:dyDescent="0.25">
      <c r="A52" s="26"/>
      <c r="B52" s="81" t="s">
        <v>400</v>
      </c>
      <c r="C52" s="26"/>
      <c r="D52" s="26"/>
      <c r="E52" s="43" t="s">
        <v>399</v>
      </c>
      <c r="F52" s="402">
        <f>I46</f>
        <v>505699.94</v>
      </c>
      <c r="G52" s="109" t="s">
        <v>6</v>
      </c>
      <c r="H52" s="403">
        <v>1.41E-2</v>
      </c>
      <c r="I52" s="101">
        <f>ROUND(F52*H52,2)</f>
        <v>7130.37</v>
      </c>
      <c r="N52" s="28"/>
      <c r="O52" s="385" t="s">
        <v>400</v>
      </c>
      <c r="P52" s="28"/>
      <c r="Q52" s="44" t="s">
        <v>399</v>
      </c>
      <c r="R52" s="410">
        <f>U30</f>
        <v>511841.83</v>
      </c>
      <c r="S52" s="411" t="s">
        <v>6</v>
      </c>
      <c r="T52" s="412">
        <v>1.41E-2</v>
      </c>
      <c r="U52" s="413">
        <f>ROUND(R52*T52,2)</f>
        <v>7216.97</v>
      </c>
    </row>
    <row r="53" spans="1:22" x14ac:dyDescent="0.25">
      <c r="A53" s="26"/>
      <c r="B53" s="81" t="s">
        <v>401</v>
      </c>
      <c r="C53" s="26"/>
      <c r="D53" s="26"/>
      <c r="E53" s="43"/>
      <c r="F53" s="402"/>
      <c r="G53" s="109"/>
      <c r="H53" s="403"/>
      <c r="I53" s="97">
        <f>SUM(I51:I52)</f>
        <v>29988.01</v>
      </c>
      <c r="N53" s="28"/>
      <c r="O53" s="385" t="s">
        <v>401</v>
      </c>
      <c r="P53" s="28"/>
      <c r="Q53" s="44"/>
      <c r="R53" s="410"/>
      <c r="S53" s="411"/>
      <c r="T53" s="412"/>
      <c r="U53" s="404">
        <f>SUM(U51:U52)</f>
        <v>30352.22</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24.92</v>
      </c>
      <c r="D64" s="143">
        <v>26.68</v>
      </c>
      <c r="E64" s="116">
        <f t="shared" si="10"/>
        <v>51.6</v>
      </c>
      <c r="F64" s="446" t="s">
        <v>14</v>
      </c>
      <c r="G64" s="445">
        <v>252</v>
      </c>
      <c r="H64" s="459">
        <f>'1461'!H64</f>
        <v>3168</v>
      </c>
      <c r="I64" s="101">
        <f t="shared" si="11"/>
        <v>163468.79999999999</v>
      </c>
      <c r="N64" s="619"/>
      <c r="O64" s="619"/>
      <c r="P64" s="622"/>
      <c r="Q64" s="622"/>
      <c r="R64" s="40" t="s">
        <v>14</v>
      </c>
      <c r="S64" s="451">
        <v>252</v>
      </c>
      <c r="T64" s="462">
        <f t="shared" si="12"/>
        <v>3168</v>
      </c>
      <c r="U64" s="476">
        <f t="shared" si="13"/>
        <v>0</v>
      </c>
      <c r="V64" s="426"/>
    </row>
    <row r="65" spans="1:22" ht="16.5" thickBot="1" x14ac:dyDescent="0.3">
      <c r="A65" s="533"/>
      <c r="B65" s="533"/>
      <c r="C65" s="143">
        <v>22.01</v>
      </c>
      <c r="D65" s="143">
        <v>21.76</v>
      </c>
      <c r="E65" s="116">
        <f t="shared" si="10"/>
        <v>43.77</v>
      </c>
      <c r="F65" s="446" t="s">
        <v>14</v>
      </c>
      <c r="G65" s="445">
        <v>253</v>
      </c>
      <c r="H65" s="459">
        <f>'1461'!H65</f>
        <v>6685</v>
      </c>
      <c r="I65" s="101">
        <f t="shared" si="11"/>
        <v>292602.45</v>
      </c>
      <c r="N65" s="619"/>
      <c r="O65" s="619"/>
      <c r="P65" s="623"/>
      <c r="Q65" s="623"/>
      <c r="R65" s="40" t="s">
        <v>14</v>
      </c>
      <c r="S65" s="451">
        <v>253</v>
      </c>
      <c r="T65" s="462">
        <f t="shared" si="12"/>
        <v>6685</v>
      </c>
      <c r="U65" s="477">
        <f t="shared" si="13"/>
        <v>0</v>
      </c>
      <c r="V65" s="426"/>
    </row>
    <row r="66" spans="1:22" ht="16.5" thickBot="1" x14ac:dyDescent="0.3">
      <c r="A66" s="442"/>
      <c r="C66" s="97">
        <f>SUM(C57:C65)</f>
        <v>46.930000000000007</v>
      </c>
      <c r="D66" s="97">
        <f>SUM(D57:D65)</f>
        <v>48.44</v>
      </c>
      <c r="E66" s="97">
        <f>SUM(E57:E65)</f>
        <v>95.37</v>
      </c>
      <c r="F66" s="520" t="s">
        <v>448</v>
      </c>
      <c r="G66" s="520"/>
      <c r="H66" s="520"/>
      <c r="I66" s="97">
        <f>SUM(I57:I65)</f>
        <v>456071.25</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95.37</v>
      </c>
      <c r="D69" s="530" t="s">
        <v>413</v>
      </c>
      <c r="E69" s="530"/>
      <c r="F69" s="530"/>
      <c r="G69" s="530"/>
      <c r="H69" s="301">
        <f>'1461'!H69</f>
        <v>203305.63</v>
      </c>
      <c r="I69" s="113"/>
      <c r="N69" s="591" t="s">
        <v>406</v>
      </c>
      <c r="O69" s="568"/>
      <c r="P69" s="41">
        <f>P30</f>
        <v>95.37</v>
      </c>
      <c r="Q69" s="596" t="s">
        <v>408</v>
      </c>
      <c r="R69" s="597"/>
      <c r="S69" s="597"/>
      <c r="T69" s="595">
        <f>H69</f>
        <v>203305.63</v>
      </c>
      <c r="U69" s="595"/>
    </row>
    <row r="70" spans="1:22" x14ac:dyDescent="0.25">
      <c r="B70" s="69"/>
      <c r="G70" s="42" t="s">
        <v>12</v>
      </c>
      <c r="H70" s="114">
        <f>ROUND(C69/H69,6)</f>
        <v>4.6900000000000002E-4</v>
      </c>
      <c r="I70" s="115"/>
      <c r="N70" s="568"/>
      <c r="O70" s="568"/>
      <c r="P70" s="568"/>
      <c r="Q70" s="568"/>
      <c r="R70" s="568"/>
      <c r="S70" s="568"/>
      <c r="T70" s="598">
        <f>ROUND(P69/T69,6)</f>
        <v>4.6900000000000002E-4</v>
      </c>
      <c r="U70" s="598"/>
    </row>
    <row r="71" spans="1:22" x14ac:dyDescent="0.25">
      <c r="A71" s="444" t="s">
        <v>451</v>
      </c>
      <c r="N71" s="455" t="s">
        <v>459</v>
      </c>
      <c r="O71" s="51"/>
      <c r="P71" s="51"/>
      <c r="Q71" s="51"/>
      <c r="R71" s="51"/>
      <c r="S71" s="51"/>
      <c r="T71" s="51"/>
      <c r="U71" s="51"/>
    </row>
    <row r="72" spans="1:22" x14ac:dyDescent="0.25">
      <c r="A72" s="516" t="s">
        <v>403</v>
      </c>
      <c r="B72" s="517"/>
      <c r="C72" s="112">
        <f>H30</f>
        <v>94.2256</v>
      </c>
      <c r="D72" s="530" t="s">
        <v>414</v>
      </c>
      <c r="E72" s="530"/>
      <c r="F72" s="530"/>
      <c r="G72" s="530"/>
      <c r="H72" s="302">
        <f>'1461'!H72</f>
        <v>227540.36</v>
      </c>
      <c r="I72" s="116"/>
      <c r="N72" s="591" t="s">
        <v>407</v>
      </c>
      <c r="O72" s="568"/>
      <c r="P72" s="41">
        <f>T30</f>
        <v>95.37</v>
      </c>
      <c r="Q72" s="596" t="s">
        <v>409</v>
      </c>
      <c r="R72" s="597"/>
      <c r="S72" s="597"/>
      <c r="T72" s="595">
        <f>H72</f>
        <v>227540.36</v>
      </c>
      <c r="U72" s="595"/>
    </row>
    <row r="73" spans="1:22" x14ac:dyDescent="0.25">
      <c r="G73" s="42" t="s">
        <v>12</v>
      </c>
      <c r="H73" s="114">
        <f>ROUND(C72/H72,6)</f>
        <v>4.1399999999999998E-4</v>
      </c>
      <c r="I73" s="114"/>
      <c r="N73" s="568"/>
      <c r="O73" s="568"/>
      <c r="P73" s="568"/>
      <c r="Q73" s="568"/>
      <c r="R73" s="568"/>
      <c r="S73" s="568"/>
      <c r="T73" s="598">
        <f>ROUND(P72/T72,6)</f>
        <v>4.1899999999999999E-4</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95.37</v>
      </c>
      <c r="D75" s="529" t="s">
        <v>415</v>
      </c>
      <c r="E75" s="529"/>
      <c r="F75" s="529"/>
      <c r="G75" s="529"/>
      <c r="H75" s="301">
        <f>'1461'!H75</f>
        <v>186907.73</v>
      </c>
      <c r="I75" s="113"/>
      <c r="N75" s="591" t="s">
        <v>405</v>
      </c>
      <c r="O75" s="568"/>
      <c r="P75" s="41">
        <f>P30</f>
        <v>95.37</v>
      </c>
      <c r="Q75" s="601" t="s">
        <v>410</v>
      </c>
      <c r="R75" s="602"/>
      <c r="S75" s="602"/>
      <c r="T75" s="595">
        <f>H75</f>
        <v>186907.73</v>
      </c>
      <c r="U75" s="595"/>
    </row>
    <row r="76" spans="1:22" x14ac:dyDescent="0.25">
      <c r="B76" s="69"/>
      <c r="G76" s="42" t="s">
        <v>12</v>
      </c>
      <c r="H76" s="114">
        <f>ROUND(C75/H75,6)</f>
        <v>5.1000000000000004E-4</v>
      </c>
      <c r="I76" s="115"/>
      <c r="N76" s="568"/>
      <c r="O76" s="568"/>
      <c r="P76" s="568"/>
      <c r="Q76" s="568"/>
      <c r="R76" s="568"/>
      <c r="S76" s="568"/>
      <c r="T76" s="598">
        <f>ROUND(P75/T75,6)</f>
        <v>5.1000000000000004E-4</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95.37</v>
      </c>
      <c r="D78" s="525" t="s">
        <v>416</v>
      </c>
      <c r="E78" s="525"/>
      <c r="F78" s="525"/>
      <c r="G78" s="525"/>
      <c r="H78" s="301">
        <f>'1461'!H78</f>
        <v>203080.55</v>
      </c>
      <c r="I78" s="113"/>
      <c r="N78" s="591" t="s">
        <v>405</v>
      </c>
      <c r="O78" s="568"/>
      <c r="P78" s="41">
        <f>P30</f>
        <v>95.37</v>
      </c>
      <c r="Q78" s="599" t="s">
        <v>411</v>
      </c>
      <c r="R78" s="600"/>
      <c r="S78" s="600"/>
      <c r="T78" s="595">
        <f>H78</f>
        <v>203080.55</v>
      </c>
      <c r="U78" s="595"/>
    </row>
    <row r="79" spans="1:22" x14ac:dyDescent="0.25">
      <c r="B79" s="69"/>
      <c r="G79" s="42" t="s">
        <v>12</v>
      </c>
      <c r="H79" s="114">
        <f>ROUND(C78/H78,6)</f>
        <v>4.6999999999999999E-4</v>
      </c>
      <c r="I79" s="115"/>
      <c r="N79" s="568"/>
      <c r="O79" s="568"/>
      <c r="P79" s="568"/>
      <c r="Q79" s="568"/>
      <c r="R79" s="568"/>
      <c r="S79" s="568"/>
      <c r="T79" s="598">
        <f>ROUND(P78/T78,6)</f>
        <v>4.6999999999999999E-4</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95.37</v>
      </c>
      <c r="D81" s="529" t="s">
        <v>417</v>
      </c>
      <c r="E81" s="529"/>
      <c r="F81" s="529"/>
      <c r="G81" s="529"/>
      <c r="H81" s="301">
        <f>'1461'!H81</f>
        <v>186682.65</v>
      </c>
      <c r="I81" s="113"/>
      <c r="N81" s="591" t="s">
        <v>418</v>
      </c>
      <c r="O81" s="568"/>
      <c r="P81" s="41">
        <f>P30</f>
        <v>95.37</v>
      </c>
      <c r="Q81" s="601" t="s">
        <v>419</v>
      </c>
      <c r="R81" s="602"/>
      <c r="S81" s="602"/>
      <c r="T81" s="595">
        <f>H81</f>
        <v>186682.65</v>
      </c>
      <c r="U81" s="595"/>
    </row>
    <row r="82" spans="1:21" x14ac:dyDescent="0.25">
      <c r="B82" s="69"/>
      <c r="G82" s="42" t="s">
        <v>12</v>
      </c>
      <c r="H82" s="114">
        <f>ROUND(C81/H81,6)</f>
        <v>5.1099999999999995E-4</v>
      </c>
      <c r="I82" s="115"/>
      <c r="N82" s="568"/>
      <c r="O82" s="568"/>
      <c r="P82" s="568"/>
      <c r="Q82" s="568"/>
      <c r="R82" s="568"/>
      <c r="S82" s="568"/>
      <c r="T82" s="598">
        <f>ROUND(P81/T81,6)</f>
        <v>5.1099999999999995E-4</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4.6999999999999999E-4</v>
      </c>
      <c r="I85" s="101">
        <f>ROUND(F85*H85,2)</f>
        <v>20992.799999999999</v>
      </c>
      <c r="N85" s="455" t="s">
        <v>455</v>
      </c>
      <c r="O85" s="51"/>
      <c r="P85" s="51"/>
      <c r="Q85" s="44"/>
      <c r="R85" s="421">
        <f>F85</f>
        <v>44665536</v>
      </c>
      <c r="S85" s="38" t="s">
        <v>6</v>
      </c>
      <c r="T85" s="423">
        <f>T79</f>
        <v>4.6999999999999999E-4</v>
      </c>
      <c r="U85" s="475">
        <f>ROUND(R85*T85,2)</f>
        <v>20992.799999999999</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4.6900000000000002E-4</v>
      </c>
      <c r="I88" s="101">
        <f>ROUND(F88*H88,2)</f>
        <v>0</v>
      </c>
      <c r="N88" s="603" t="s">
        <v>99</v>
      </c>
      <c r="O88" s="568"/>
      <c r="P88" s="568"/>
      <c r="Q88" s="44"/>
      <c r="R88" s="421">
        <f>F88</f>
        <v>0</v>
      </c>
      <c r="S88" s="38" t="s">
        <v>6</v>
      </c>
      <c r="T88" s="423">
        <f>T70</f>
        <v>4.6900000000000002E-4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5.1099999999999995E-4</v>
      </c>
      <c r="I90" s="101">
        <f>ROUND(F90*H90,2)</f>
        <v>8261.36</v>
      </c>
      <c r="N90" s="455" t="s">
        <v>456</v>
      </c>
      <c r="O90" s="51"/>
      <c r="P90" s="51"/>
      <c r="Q90" s="44"/>
      <c r="R90" s="421">
        <f>F90</f>
        <v>16167052</v>
      </c>
      <c r="S90" s="38" t="s">
        <v>6</v>
      </c>
      <c r="T90" s="423">
        <f>T82</f>
        <v>5.1099999999999995E-4</v>
      </c>
      <c r="U90" s="475">
        <f>ROUND(R90*T90,2)</f>
        <v>8261.36</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5.1000000000000004E-4</v>
      </c>
      <c r="I92" s="101">
        <f t="shared" ref="I92:I96" si="14">ROUND(F92*H92,2)</f>
        <v>5120.45</v>
      </c>
      <c r="N92" s="455" t="s">
        <v>457</v>
      </c>
      <c r="O92" s="51"/>
      <c r="P92" s="51"/>
      <c r="Q92" s="44"/>
      <c r="R92" s="421">
        <f t="shared" ref="R92:R96" si="15">F92</f>
        <v>10040099</v>
      </c>
      <c r="S92" s="38" t="s">
        <v>6</v>
      </c>
      <c r="T92" s="423">
        <f>T76</f>
        <v>5.1000000000000004E-4</v>
      </c>
      <c r="U92" s="475">
        <f>ROUND(R92*T92,2)</f>
        <v>5120.45</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4.1399999999999998E-4</v>
      </c>
      <c r="I94" s="101">
        <f t="shared" si="14"/>
        <v>98945.04</v>
      </c>
      <c r="N94" s="568" t="s">
        <v>421</v>
      </c>
      <c r="O94" s="568"/>
      <c r="P94" s="568"/>
      <c r="Q94" s="44"/>
      <c r="R94" s="421">
        <f t="shared" si="15"/>
        <v>238997674</v>
      </c>
      <c r="S94" s="38" t="s">
        <v>6</v>
      </c>
      <c r="T94" s="423">
        <f>T73</f>
        <v>4.1899999999999999E-4</v>
      </c>
      <c r="U94" s="475">
        <f>ROUND(R94*T94,2)</f>
        <v>100140.03</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4.1399999999999998E-4</v>
      </c>
      <c r="I96" s="101">
        <f t="shared" si="14"/>
        <v>-662.42</v>
      </c>
      <c r="N96" s="591" t="s">
        <v>422</v>
      </c>
      <c r="O96" s="568"/>
      <c r="P96" s="568"/>
      <c r="Q96" s="44"/>
      <c r="R96" s="421">
        <f t="shared" si="15"/>
        <v>-1600047</v>
      </c>
      <c r="S96" s="38" t="s">
        <v>6</v>
      </c>
      <c r="T96" s="423">
        <f>T73</f>
        <v>4.1899999999999999E-4</v>
      </c>
      <c r="U96" s="475">
        <f>ROUND(R96*T96,2)</f>
        <v>-670.42</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94.2256</v>
      </c>
      <c r="D103" s="515"/>
      <c r="E103" s="46">
        <f>H8</f>
        <v>1.0442</v>
      </c>
      <c r="F103" s="304">
        <f>'1461'!F103</f>
        <v>906.93</v>
      </c>
      <c r="G103" s="39" t="s">
        <v>12</v>
      </c>
      <c r="H103" s="94">
        <f>ROUND(C103*E103*F103,2)</f>
        <v>89233.18</v>
      </c>
      <c r="N103" s="53" t="s">
        <v>14</v>
      </c>
      <c r="O103" s="54">
        <f>T18+T19+T22+T25+T28+T29</f>
        <v>95.37</v>
      </c>
      <c r="P103" s="606">
        <f>T8</f>
        <v>1.0442</v>
      </c>
      <c r="Q103" s="606"/>
      <c r="R103" s="48">
        <f>F103</f>
        <v>906.93</v>
      </c>
      <c r="S103" s="40" t="s">
        <v>12</v>
      </c>
      <c r="T103" s="481">
        <f>ROUND(O103*P103*R103,2)</f>
        <v>90316.95</v>
      </c>
      <c r="U103" s="51"/>
    </row>
    <row r="104" spans="1:21" ht="16.5" thickBot="1" x14ac:dyDescent="0.3">
      <c r="A104" s="55"/>
      <c r="B104" s="122" t="s">
        <v>102</v>
      </c>
      <c r="C104" s="528">
        <f>SUM(C101:C103)</f>
        <v>94.2256</v>
      </c>
      <c r="D104" s="528"/>
      <c r="E104" s="123"/>
      <c r="F104" s="123"/>
      <c r="G104" s="123"/>
      <c r="H104" s="124" t="s">
        <v>100</v>
      </c>
      <c r="I104" s="101">
        <f>IF(A1=75,0,H103+H102+H101)</f>
        <v>89233.18</v>
      </c>
      <c r="N104" s="56" t="s">
        <v>89</v>
      </c>
      <c r="O104" s="57">
        <f>SUM(O101:O103)</f>
        <v>95.37</v>
      </c>
      <c r="P104" s="607" t="s">
        <v>16</v>
      </c>
      <c r="Q104" s="608"/>
      <c r="R104" s="608"/>
      <c r="S104" s="608"/>
      <c r="T104" s="608"/>
      <c r="U104" s="475">
        <f>IF(N1=75,0,T103+T102+T101)</f>
        <v>90316.95</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61</v>
      </c>
      <c r="D110" s="143">
        <v>63</v>
      </c>
      <c r="E110" s="116">
        <f>(C110+D110)/2</f>
        <v>62</v>
      </c>
      <c r="F110" s="126" t="s">
        <v>30</v>
      </c>
      <c r="G110" s="305">
        <f>'1461'!G110</f>
        <v>565</v>
      </c>
      <c r="I110" s="101">
        <f>ROUND(G110*E110,2)</f>
        <v>35030</v>
      </c>
      <c r="N110" s="617" t="s">
        <v>52</v>
      </c>
      <c r="O110" s="617"/>
      <c r="P110" s="605">
        <f>IF(H130=1,E110,0)</f>
        <v>62</v>
      </c>
      <c r="Q110" s="605"/>
      <c r="R110" s="605"/>
      <c r="S110" s="83" t="s">
        <v>30</v>
      </c>
      <c r="T110" s="58">
        <f>G110</f>
        <v>565</v>
      </c>
      <c r="U110" s="475">
        <f>ROUND(T110*P110,2)</f>
        <v>35030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1218691.5999999999</v>
      </c>
      <c r="N125" s="455"/>
      <c r="O125" s="454"/>
      <c r="P125" s="454"/>
      <c r="Q125" s="307"/>
      <c r="R125" s="307"/>
      <c r="S125" s="307"/>
      <c r="T125" s="307"/>
      <c r="U125" s="482">
        <f>SUM(U30,U85,U88,U90,U92,U94,U96,U104,U110,U111,U121,U123)</f>
        <v>771032.99999999988</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1188703.5899999999</v>
      </c>
      <c r="N127" s="613" t="s">
        <v>33</v>
      </c>
      <c r="O127" s="613"/>
      <c r="P127" s="613"/>
      <c r="Q127" s="613"/>
      <c r="R127" s="613"/>
      <c r="S127" s="613"/>
      <c r="T127" s="613"/>
      <c r="U127" s="132">
        <f>U125-U53</f>
        <v>740680.77999999991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f>IF(E30=0,"",IF((E15+E17+SUM(E19:E25))/E30&gt;0.75,1,""))</f>
        <v>1</v>
      </c>
      <c r="I130" s="116">
        <f>U127</f>
        <v>740680.77999999991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740680.77999999991</v>
      </c>
      <c r="I132" s="94">
        <f>ROUND(IF(E30=0,0,IF(E30&gt;250,-(((250/E30)*H132)*IF(G132="H",0.02,0.05)),IF(G132="H",-0.02*H132,-0.05*H132))),2)</f>
        <v>-37034.04</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1181657.5599999998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-77471.75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1104185.8099999998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100380.53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122</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122.5</v>
      </c>
      <c r="D18" s="143">
        <v>154.25</v>
      </c>
      <c r="E18" s="116">
        <f t="shared" si="1"/>
        <v>276.75</v>
      </c>
      <c r="F18" s="555">
        <f>'1461'!F18:G18</f>
        <v>0.98799999999999999</v>
      </c>
      <c r="G18" s="555"/>
      <c r="H18" s="80">
        <f t="shared" si="2"/>
        <v>273.42899999999997</v>
      </c>
      <c r="I18" s="101">
        <f t="shared" si="3"/>
        <v>1467467.76</v>
      </c>
      <c r="N18" s="568" t="s">
        <v>24</v>
      </c>
      <c r="O18" s="568"/>
      <c r="P18" s="569">
        <f t="shared" si="0"/>
        <v>0</v>
      </c>
      <c r="Q18" s="569"/>
      <c r="R18" s="570">
        <v>1</v>
      </c>
      <c r="S18" s="570"/>
      <c r="T18" s="95">
        <f t="shared" si="4"/>
        <v>0</v>
      </c>
      <c r="U18" s="475">
        <f t="shared" si="5"/>
        <v>0</v>
      </c>
    </row>
    <row r="19" spans="1:21" x14ac:dyDescent="0.25">
      <c r="A19" s="517" t="s">
        <v>25</v>
      </c>
      <c r="B19" s="517"/>
      <c r="C19" s="143">
        <v>24.5</v>
      </c>
      <c r="D19" s="143">
        <v>28.7</v>
      </c>
      <c r="E19" s="116">
        <f t="shared" si="1"/>
        <v>53.2</v>
      </c>
      <c r="F19" s="555">
        <f>'1461'!F19:G19</f>
        <v>0.98799999999999999</v>
      </c>
      <c r="G19" s="555"/>
      <c r="H19" s="80">
        <f t="shared" si="2"/>
        <v>52.561599999999999</v>
      </c>
      <c r="I19" s="101">
        <f t="shared" si="3"/>
        <v>282093.17</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7.7</v>
      </c>
      <c r="D28" s="143">
        <v>9.4700000000000006</v>
      </c>
      <c r="E28" s="116">
        <f t="shared" si="1"/>
        <v>17.170000000000002</v>
      </c>
      <c r="F28" s="555">
        <f>'1461'!F28:G28</f>
        <v>1.208</v>
      </c>
      <c r="G28" s="555"/>
      <c r="H28" s="80">
        <f t="shared" si="2"/>
        <v>20.741399999999999</v>
      </c>
      <c r="I28" s="101">
        <f t="shared" si="3"/>
        <v>111317.15</v>
      </c>
      <c r="N28" s="568" t="s">
        <v>87</v>
      </c>
      <c r="O28" s="568"/>
      <c r="P28" s="569">
        <f t="shared" si="0"/>
        <v>0</v>
      </c>
      <c r="Q28" s="569"/>
      <c r="R28" s="570">
        <v>1</v>
      </c>
      <c r="S28" s="570"/>
      <c r="T28" s="95">
        <f t="shared" si="4"/>
        <v>0</v>
      </c>
      <c r="U28" s="475">
        <f t="shared" si="5"/>
        <v>0</v>
      </c>
    </row>
    <row r="29" spans="1:21" x14ac:dyDescent="0.25">
      <c r="A29" s="517" t="s">
        <v>88</v>
      </c>
      <c r="B29" s="517"/>
      <c r="C29" s="110">
        <v>0</v>
      </c>
      <c r="D29" s="110">
        <v>3.12</v>
      </c>
      <c r="E29" s="154">
        <f t="shared" si="1"/>
        <v>3.12</v>
      </c>
      <c r="F29" s="555">
        <f>'1461'!F29:G29</f>
        <v>1.0720000000000001</v>
      </c>
      <c r="G29" s="555"/>
      <c r="H29" s="93">
        <f t="shared" si="2"/>
        <v>3.3445999999999998</v>
      </c>
      <c r="I29" s="94">
        <f t="shared" si="3"/>
        <v>17950.150000000001</v>
      </c>
      <c r="N29" s="585" t="s">
        <v>88</v>
      </c>
      <c r="O29" s="585"/>
      <c r="P29" s="569">
        <f t="shared" si="0"/>
        <v>0</v>
      </c>
      <c r="Q29" s="569"/>
      <c r="R29" s="586">
        <v>1</v>
      </c>
      <c r="S29" s="586"/>
      <c r="T29" s="95">
        <f t="shared" si="4"/>
        <v>0</v>
      </c>
      <c r="U29" s="475">
        <f t="shared" si="5"/>
        <v>0</v>
      </c>
    </row>
    <row r="30" spans="1:21" x14ac:dyDescent="0.25">
      <c r="A30" s="520" t="s">
        <v>5</v>
      </c>
      <c r="B30" s="520"/>
      <c r="C30" s="94">
        <f>SUM(C14:C29)</f>
        <v>154.69999999999999</v>
      </c>
      <c r="D30" s="94">
        <f>SUM(D14:D29)</f>
        <v>195.54</v>
      </c>
      <c r="E30" s="94">
        <f>SUM(E14:E29)</f>
        <v>350.24</v>
      </c>
      <c r="F30" s="536"/>
      <c r="G30" s="536"/>
      <c r="H30" s="99">
        <f>SUM(H14:H29)</f>
        <v>350.07659999999998</v>
      </c>
      <c r="I30" s="94">
        <f>SUM(I14:I29)</f>
        <v>1878828.2299999997</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350.07659999999998</v>
      </c>
      <c r="F46" s="34"/>
      <c r="G46" s="106"/>
      <c r="H46" s="107" t="s">
        <v>98</v>
      </c>
      <c r="I46" s="94">
        <f>SUM(I44,I30)</f>
        <v>1878828.2299999997</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1878828.2299999997</v>
      </c>
      <c r="G51" s="109" t="s">
        <v>6</v>
      </c>
      <c r="H51" s="403">
        <v>4.5199999999999997E-2</v>
      </c>
      <c r="I51" s="101">
        <f>ROUND(F51*H51,2)</f>
        <v>84923.04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1878828.2299999997</v>
      </c>
      <c r="G52" s="109" t="s">
        <v>6</v>
      </c>
      <c r="H52" s="403">
        <v>1.41E-2</v>
      </c>
      <c r="I52" s="101">
        <f>ROUND(F52*H52,2)</f>
        <v>26491.48</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111414.51999999999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23</v>
      </c>
      <c r="D63" s="143">
        <v>26.79</v>
      </c>
      <c r="E63" s="116">
        <f t="shared" si="10"/>
        <v>49.79</v>
      </c>
      <c r="F63" s="446" t="s">
        <v>14</v>
      </c>
      <c r="G63" s="445">
        <v>251</v>
      </c>
      <c r="H63" s="459">
        <f>'1461'!H63</f>
        <v>835</v>
      </c>
      <c r="I63" s="101">
        <f t="shared" si="11"/>
        <v>41574.65</v>
      </c>
      <c r="N63" s="619"/>
      <c r="O63" s="619"/>
      <c r="P63" s="622"/>
      <c r="Q63" s="622"/>
      <c r="R63" s="40" t="s">
        <v>14</v>
      </c>
      <c r="S63" s="451">
        <v>251</v>
      </c>
      <c r="T63" s="462">
        <f t="shared" si="12"/>
        <v>835</v>
      </c>
      <c r="U63" s="476">
        <f t="shared" si="13"/>
        <v>0</v>
      </c>
      <c r="V63" s="426"/>
    </row>
    <row r="64" spans="1:22" x14ac:dyDescent="0.25">
      <c r="A64" s="533"/>
      <c r="B64" s="533"/>
      <c r="C64" s="143">
        <v>1</v>
      </c>
      <c r="D64" s="143">
        <v>1.91</v>
      </c>
      <c r="E64" s="116">
        <f t="shared" si="10"/>
        <v>2.91</v>
      </c>
      <c r="F64" s="446" t="s">
        <v>14</v>
      </c>
      <c r="G64" s="445">
        <v>252</v>
      </c>
      <c r="H64" s="459">
        <f>'1461'!H64</f>
        <v>3168</v>
      </c>
      <c r="I64" s="101">
        <f t="shared" si="11"/>
        <v>9218.8799999999992</v>
      </c>
      <c r="N64" s="619"/>
      <c r="O64" s="619"/>
      <c r="P64" s="622"/>
      <c r="Q64" s="622"/>
      <c r="R64" s="40" t="s">
        <v>14</v>
      </c>
      <c r="S64" s="451">
        <v>252</v>
      </c>
      <c r="T64" s="462">
        <f t="shared" si="12"/>
        <v>3168</v>
      </c>
      <c r="U64" s="476">
        <f t="shared" si="13"/>
        <v>0</v>
      </c>
      <c r="V64" s="426"/>
    </row>
    <row r="65" spans="1:22" ht="16.5" thickBot="1" x14ac:dyDescent="0.3">
      <c r="A65" s="533"/>
      <c r="B65" s="533"/>
      <c r="C65" s="143">
        <v>0.5</v>
      </c>
      <c r="D65" s="143">
        <v>0</v>
      </c>
      <c r="E65" s="116">
        <f t="shared" si="10"/>
        <v>0.5</v>
      </c>
      <c r="F65" s="446" t="s">
        <v>14</v>
      </c>
      <c r="G65" s="445">
        <v>253</v>
      </c>
      <c r="H65" s="459">
        <f>'1461'!H65</f>
        <v>6685</v>
      </c>
      <c r="I65" s="101">
        <f t="shared" si="11"/>
        <v>3342.5</v>
      </c>
      <c r="N65" s="619"/>
      <c r="O65" s="619"/>
      <c r="P65" s="623"/>
      <c r="Q65" s="623"/>
      <c r="R65" s="40" t="s">
        <v>14</v>
      </c>
      <c r="S65" s="451">
        <v>253</v>
      </c>
      <c r="T65" s="462">
        <f t="shared" si="12"/>
        <v>6685</v>
      </c>
      <c r="U65" s="477">
        <f t="shared" si="13"/>
        <v>0</v>
      </c>
      <c r="V65" s="426"/>
    </row>
    <row r="66" spans="1:22" ht="16.5" thickBot="1" x14ac:dyDescent="0.3">
      <c r="A66" s="442"/>
      <c r="C66" s="97">
        <f>SUM(C57:C65)</f>
        <v>24.5</v>
      </c>
      <c r="D66" s="97">
        <f>SUM(D57:D65)</f>
        <v>28.7</v>
      </c>
      <c r="E66" s="97">
        <f>SUM(E57:E65)</f>
        <v>53.2</v>
      </c>
      <c r="F66" s="520" t="s">
        <v>448</v>
      </c>
      <c r="G66" s="520"/>
      <c r="H66" s="520"/>
      <c r="I66" s="97">
        <f>SUM(I57:I65)</f>
        <v>54136.03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350.24</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1.7229999999999999E-3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350.07659999999998</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1.539E-3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350.24</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1.874E-3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350.24</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1.725E-3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350.24</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1.8760000000000001E-3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1.725E-3</v>
      </c>
      <c r="I85" s="101">
        <f>ROUND(F85*H85,2)</f>
        <v>77048.05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1.7229999999999999E-3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1.8760000000000001E-3</v>
      </c>
      <c r="I90" s="101">
        <f>ROUND(F90*H90,2)</f>
        <v>30329.39</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1.874E-3</v>
      </c>
      <c r="I92" s="101">
        <f t="shared" ref="I92:I96" si="14">ROUND(F92*H92,2)</f>
        <v>18815.150000000001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1.539E-3</v>
      </c>
      <c r="I94" s="101">
        <f t="shared" si="14"/>
        <v>367817.42</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1.539E-3</v>
      </c>
      <c r="I96" s="101">
        <f t="shared" si="14"/>
        <v>-2462.4699999999998</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350.07659999999998</v>
      </c>
      <c r="D103" s="515"/>
      <c r="E103" s="46">
        <f>H8</f>
        <v>1.0442</v>
      </c>
      <c r="F103" s="304">
        <f>'1461'!F103</f>
        <v>906.93</v>
      </c>
      <c r="G103" s="39" t="s">
        <v>12</v>
      </c>
      <c r="H103" s="94">
        <f>ROUND(C103*E103*F103,2)</f>
        <v>331528.25</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350.07659999999998</v>
      </c>
      <c r="D104" s="528"/>
      <c r="E104" s="123"/>
      <c r="F104" s="123"/>
      <c r="G104" s="123"/>
      <c r="H104" s="124" t="s">
        <v>100</v>
      </c>
      <c r="I104" s="101">
        <f>IF(A1=75,0,H103+H102+H101)</f>
        <v>331528.25</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141</v>
      </c>
      <c r="D110" s="143">
        <v>11</v>
      </c>
      <c r="E110" s="116">
        <f>(C110+D110)/2</f>
        <v>76</v>
      </c>
      <c r="F110" s="126" t="s">
        <v>30</v>
      </c>
      <c r="G110" s="305">
        <f>'1461'!G110</f>
        <v>565</v>
      </c>
      <c r="I110" s="101">
        <f>ROUND(G110*E110,2)</f>
        <v>42940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2798980.0499999993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2687565.5299999993</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2687565.5299999993</v>
      </c>
      <c r="I132" s="94">
        <f>ROUND(IF(E30=0,0,IF(E30&gt;250,-(((250/E30)*H132)*IF(G132="H",0.02,0.05)),IF(G132="H",-0.02*H132,-0.05*H132))),2)</f>
        <v>-95918.71</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2703061.3399999994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-237827.66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2465233.6799999992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224112.15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38459.57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123</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102.22</v>
      </c>
      <c r="D14" s="141">
        <v>101.72</v>
      </c>
      <c r="E14" s="187">
        <f>IF(D$30=0,C14*2,C14+D14)</f>
        <v>203.94</v>
      </c>
      <c r="F14" s="558">
        <f>'1461'!F14:G14</f>
        <v>1.1220000000000001</v>
      </c>
      <c r="G14" s="558"/>
      <c r="H14" s="145">
        <f>ROUND(E14*F14,4)</f>
        <v>228.82069999999999</v>
      </c>
      <c r="I14" s="111">
        <f>ROUND(ROUND(ROUND(H14*$C$8,4)*($H$8),2)*(MAX($H$9,1)),2)</f>
        <v>1228059.2</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17</v>
      </c>
      <c r="D15" s="143">
        <v>19.52</v>
      </c>
      <c r="E15" s="116">
        <f t="shared" ref="E15:E29" si="1">IF(D$30=0,C15*2,C15+D15)</f>
        <v>36.519999999999996</v>
      </c>
      <c r="F15" s="555">
        <f>'1461'!F15:G15</f>
        <v>1.1220000000000001</v>
      </c>
      <c r="G15" s="555"/>
      <c r="H15" s="80">
        <f t="shared" ref="H15:H29" si="2">ROUND(E15*F15,4)</f>
        <v>40.9754</v>
      </c>
      <c r="I15" s="101">
        <f t="shared" ref="I15:I29" si="3">ROUND(ROUND(ROUND(H15*$C$8,4)*($H$8),2)*(MAX($H$9,1)),2)</f>
        <v>219911.12</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39</v>
      </c>
      <c r="D16" s="143">
        <v>38.99</v>
      </c>
      <c r="E16" s="116">
        <f t="shared" si="1"/>
        <v>77.990000000000009</v>
      </c>
      <c r="F16" s="555">
        <f>'1461'!F16:G16</f>
        <v>1</v>
      </c>
      <c r="G16" s="555"/>
      <c r="H16" s="80">
        <f t="shared" si="2"/>
        <v>77.989999999999995</v>
      </c>
      <c r="I16" s="101">
        <f t="shared" si="3"/>
        <v>418565</v>
      </c>
      <c r="N16" s="568" t="s">
        <v>22</v>
      </c>
      <c r="O16" s="568"/>
      <c r="P16" s="569">
        <f t="shared" si="0"/>
        <v>0</v>
      </c>
      <c r="Q16" s="569"/>
      <c r="R16" s="570">
        <v>1</v>
      </c>
      <c r="S16" s="570"/>
      <c r="T16" s="95">
        <f t="shared" si="4"/>
        <v>0</v>
      </c>
      <c r="U16" s="475">
        <f t="shared" si="5"/>
        <v>0</v>
      </c>
    </row>
    <row r="17" spans="1:21" x14ac:dyDescent="0.25">
      <c r="A17" s="517" t="s">
        <v>23</v>
      </c>
      <c r="B17" s="517"/>
      <c r="C17" s="143">
        <v>12.5</v>
      </c>
      <c r="D17" s="143">
        <v>11.99</v>
      </c>
      <c r="E17" s="116">
        <f t="shared" si="1"/>
        <v>24.490000000000002</v>
      </c>
      <c r="F17" s="555">
        <f>'1461'!F17:G17</f>
        <v>1</v>
      </c>
      <c r="G17" s="555"/>
      <c r="H17" s="80">
        <f t="shared" si="2"/>
        <v>24.49</v>
      </c>
      <c r="I17" s="101">
        <f t="shared" si="3"/>
        <v>131435.53</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3.28</v>
      </c>
      <c r="D26" s="143">
        <v>3.28</v>
      </c>
      <c r="E26" s="116">
        <f t="shared" si="1"/>
        <v>6.56</v>
      </c>
      <c r="F26" s="555">
        <f>'1461'!F26:G26</f>
        <v>1.208</v>
      </c>
      <c r="G26" s="555"/>
      <c r="H26" s="80">
        <f t="shared" si="2"/>
        <v>7.9245000000000001</v>
      </c>
      <c r="I26" s="101">
        <f t="shared" si="3"/>
        <v>42530.05</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174</v>
      </c>
      <c r="D30" s="94">
        <f>SUM(D14:D29)</f>
        <v>175.5</v>
      </c>
      <c r="E30" s="94">
        <f>SUM(E14:E29)</f>
        <v>349.5</v>
      </c>
      <c r="F30" s="536"/>
      <c r="G30" s="536"/>
      <c r="H30" s="99">
        <f>SUM(H14:H29)</f>
        <v>380.20060000000001</v>
      </c>
      <c r="I30" s="94">
        <f>SUM(I14:I29)</f>
        <v>2040500.9</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380.20060000000001</v>
      </c>
      <c r="F46" s="34"/>
      <c r="G46" s="106"/>
      <c r="H46" s="107" t="s">
        <v>98</v>
      </c>
      <c r="I46" s="94">
        <f>SUM(I44,I30)</f>
        <v>2040500.9</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2040500.9</v>
      </c>
      <c r="G51" s="109" t="s">
        <v>6</v>
      </c>
      <c r="H51" s="403">
        <v>4.5199999999999997E-2</v>
      </c>
      <c r="I51" s="101">
        <f>ROUND(F51*H51,2)</f>
        <v>92230.64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2040500.9</v>
      </c>
      <c r="G52" s="109" t="s">
        <v>6</v>
      </c>
      <c r="H52" s="403">
        <v>1.41E-2</v>
      </c>
      <c r="I52" s="101">
        <f>ROUND(F52*H52,2)</f>
        <v>28771.06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121001.7</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16</v>
      </c>
      <c r="D57" s="143">
        <v>18.61</v>
      </c>
      <c r="E57" s="116">
        <f t="shared" ref="E57:E65" si="10">IF(D$72=0,C57*2,C57+D57)</f>
        <v>34.61</v>
      </c>
      <c r="F57" s="445" t="s">
        <v>439</v>
      </c>
      <c r="G57" s="445">
        <v>251</v>
      </c>
      <c r="H57" s="459">
        <f>'1461'!H57</f>
        <v>1047</v>
      </c>
      <c r="I57" s="101">
        <f>ROUND(E57*H57,2)</f>
        <v>36236.67</v>
      </c>
      <c r="N57" s="618" t="s">
        <v>447</v>
      </c>
      <c r="O57" s="618"/>
      <c r="P57" s="621"/>
      <c r="Q57" s="621"/>
      <c r="R57" s="451" t="s">
        <v>439</v>
      </c>
      <c r="S57" s="451">
        <v>251</v>
      </c>
      <c r="T57" s="462">
        <f>H57</f>
        <v>1047</v>
      </c>
      <c r="U57" s="476">
        <f>ROUND(P57*T57,2)</f>
        <v>0</v>
      </c>
      <c r="V57" s="426"/>
    </row>
    <row r="58" spans="1:22" x14ac:dyDescent="0.25">
      <c r="A58" s="533"/>
      <c r="B58" s="533"/>
      <c r="C58" s="143">
        <v>1</v>
      </c>
      <c r="D58" s="143">
        <v>0.91</v>
      </c>
      <c r="E58" s="116">
        <f t="shared" si="10"/>
        <v>1.9100000000000001</v>
      </c>
      <c r="F58" s="445" t="s">
        <v>439</v>
      </c>
      <c r="G58" s="445">
        <v>252</v>
      </c>
      <c r="H58" s="459">
        <f>'1461'!H58</f>
        <v>3380</v>
      </c>
      <c r="I58" s="101">
        <f t="shared" ref="I58:I65" si="11">ROUND(E58*H58,2)</f>
        <v>6455.8</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12.5</v>
      </c>
      <c r="D60" s="143">
        <v>11.58</v>
      </c>
      <c r="E60" s="116">
        <f t="shared" si="10"/>
        <v>24.08</v>
      </c>
      <c r="F60" s="446" t="s">
        <v>13</v>
      </c>
      <c r="G60" s="445">
        <v>251</v>
      </c>
      <c r="H60" s="459">
        <f>'1461'!H60</f>
        <v>1173</v>
      </c>
      <c r="I60" s="101">
        <f t="shared" si="11"/>
        <v>28245.84</v>
      </c>
      <c r="N60" s="619"/>
      <c r="O60" s="619"/>
      <c r="P60" s="622"/>
      <c r="Q60" s="622"/>
      <c r="R60" s="40" t="s">
        <v>13</v>
      </c>
      <c r="S60" s="451">
        <v>251</v>
      </c>
      <c r="T60" s="462">
        <f t="shared" si="12"/>
        <v>1173</v>
      </c>
      <c r="U60" s="476">
        <f t="shared" si="13"/>
        <v>0</v>
      </c>
      <c r="V60" s="426"/>
    </row>
    <row r="61" spans="1:22" x14ac:dyDescent="0.25">
      <c r="A61" s="533"/>
      <c r="B61" s="533"/>
      <c r="C61" s="143">
        <v>0</v>
      </c>
      <c r="D61" s="143">
        <v>0.41</v>
      </c>
      <c r="E61" s="116">
        <f t="shared" si="10"/>
        <v>0.41</v>
      </c>
      <c r="F61" s="446" t="s">
        <v>13</v>
      </c>
      <c r="G61" s="445">
        <v>252</v>
      </c>
      <c r="H61" s="459">
        <f>'1461'!H61</f>
        <v>3506</v>
      </c>
      <c r="I61" s="101">
        <f t="shared" si="11"/>
        <v>1437.46</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29.5</v>
      </c>
      <c r="D66" s="97">
        <f>SUM(D57:D65)</f>
        <v>31.51</v>
      </c>
      <c r="E66" s="97">
        <f>SUM(E57:E65)</f>
        <v>61.009999999999991</v>
      </c>
      <c r="F66" s="520" t="s">
        <v>448</v>
      </c>
      <c r="G66" s="520"/>
      <c r="H66" s="520"/>
      <c r="I66" s="97">
        <f>SUM(I57:I65)</f>
        <v>72375.77</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349.5</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1.719E-3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380.20060000000001</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1.671E-3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349.5</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1.8699999999999999E-3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349.5</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1.7210000000000001E-3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349.5</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1.872E-3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1.7210000000000001E-3</v>
      </c>
      <c r="I85" s="101">
        <f>ROUND(F85*H85,2)</f>
        <v>76869.39</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1.719E-3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1.872E-3</v>
      </c>
      <c r="I90" s="101">
        <f>ROUND(F90*H90,2)</f>
        <v>30264.720000000001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1.8699999999999999E-3</v>
      </c>
      <c r="I92" s="101">
        <f t="shared" ref="I92:I96" si="14">ROUND(F92*H92,2)</f>
        <v>18774.990000000002</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1.671E-3</v>
      </c>
      <c r="I94" s="101">
        <f t="shared" si="14"/>
        <v>399365.11</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1.671E-3</v>
      </c>
      <c r="I96" s="101">
        <f t="shared" si="14"/>
        <v>-2673.68</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277.72059999999999</v>
      </c>
      <c r="D101" s="515"/>
      <c r="E101" s="46">
        <f>H8</f>
        <v>1.0442</v>
      </c>
      <c r="F101" s="304">
        <f>'1461'!F101</f>
        <v>947.59</v>
      </c>
      <c r="G101" s="39" t="s">
        <v>12</v>
      </c>
      <c r="H101" s="101">
        <f>ROUND(C101*E101*F101,2)</f>
        <v>274797.17</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102.47999999999999</v>
      </c>
      <c r="D102" s="515"/>
      <c r="E102" s="46">
        <f>H8</f>
        <v>1.0442</v>
      </c>
      <c r="F102" s="304">
        <f>'1461'!F102</f>
        <v>904.74</v>
      </c>
      <c r="G102" s="39" t="s">
        <v>12</v>
      </c>
      <c r="H102" s="101">
        <f>ROUND(C102*E102*F102,2)</f>
        <v>96815.88</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380.20060000000001</v>
      </c>
      <c r="D104" s="528"/>
      <c r="E104" s="123"/>
      <c r="F104" s="123"/>
      <c r="G104" s="123"/>
      <c r="H104" s="124" t="s">
        <v>100</v>
      </c>
      <c r="I104" s="101">
        <f>IF(A1=75,0,H103+H102+H101)</f>
        <v>371613.05</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v>
      </c>
      <c r="D110" s="143">
        <v>1</v>
      </c>
      <c r="E110" s="116">
        <f>(C110+D110)/2</f>
        <v>1</v>
      </c>
      <c r="F110" s="126" t="s">
        <v>30</v>
      </c>
      <c r="G110" s="305">
        <f>'1461'!G110</f>
        <v>565</v>
      </c>
      <c r="I110" s="101">
        <f>ROUND(G110*E110,2)</f>
        <v>565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3007655.25</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2886653.55</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2886653.55</v>
      </c>
      <c r="I132" s="94">
        <f>ROUND(IF(E30=0,0,IF(E30&gt;250,-(((250/E30)*H132)*IF(G132="H",0.02,0.05)),IF(G132="H",-0.02*H132,-0.05*H132))),2)</f>
        <v>-41296.9</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2966358.35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-260556.29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2705802.06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245982.01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16436.169999999998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CCC"/>
  </sheetPr>
  <dimension ref="A1:V218"/>
  <sheetViews>
    <sheetView showGridLines="0" zoomScaleNormal="100" workbookViewId="0">
      <pane ySplit="1" topLeftCell="A102" activePane="bottomLeft" state="frozen"/>
      <selection activeCell="F97" sqref="F97"/>
      <selection pane="bottomLeft" activeCell="H133" sqref="H133"/>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124</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121.43</v>
      </c>
      <c r="D18" s="143">
        <v>142.29</v>
      </c>
      <c r="E18" s="116">
        <f t="shared" si="1"/>
        <v>263.72000000000003</v>
      </c>
      <c r="F18" s="555">
        <f>'1461'!F18:G18</f>
        <v>0.98799999999999999</v>
      </c>
      <c r="G18" s="555"/>
      <c r="H18" s="80">
        <f t="shared" si="2"/>
        <v>260.55540000000002</v>
      </c>
      <c r="I18" s="101">
        <f t="shared" si="3"/>
        <v>1398376.36</v>
      </c>
      <c r="N18" s="568" t="s">
        <v>24</v>
      </c>
      <c r="O18" s="568"/>
      <c r="P18" s="569">
        <f t="shared" si="0"/>
        <v>0</v>
      </c>
      <c r="Q18" s="569"/>
      <c r="R18" s="570">
        <v>1</v>
      </c>
      <c r="S18" s="570"/>
      <c r="T18" s="95">
        <f t="shared" si="4"/>
        <v>0</v>
      </c>
      <c r="U18" s="475">
        <f t="shared" si="5"/>
        <v>0</v>
      </c>
    </row>
    <row r="19" spans="1:21" x14ac:dyDescent="0.25">
      <c r="A19" s="517" t="s">
        <v>25</v>
      </c>
      <c r="B19" s="517"/>
      <c r="C19" s="143">
        <v>19.5</v>
      </c>
      <c r="D19" s="143">
        <v>23.39</v>
      </c>
      <c r="E19" s="116">
        <f t="shared" si="1"/>
        <v>42.89</v>
      </c>
      <c r="F19" s="555">
        <f>'1461'!F19:G19</f>
        <v>0.98799999999999999</v>
      </c>
      <c r="G19" s="555"/>
      <c r="H19" s="80">
        <f t="shared" si="2"/>
        <v>42.375300000000003</v>
      </c>
      <c r="I19" s="101">
        <f t="shared" si="3"/>
        <v>227424.25</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6.2</v>
      </c>
      <c r="D28" s="143">
        <v>9.08</v>
      </c>
      <c r="E28" s="116">
        <f t="shared" si="1"/>
        <v>15.280000000000001</v>
      </c>
      <c r="F28" s="555">
        <f>'1461'!F28:G28</f>
        <v>1.208</v>
      </c>
      <c r="G28" s="555"/>
      <c r="H28" s="80">
        <f t="shared" si="2"/>
        <v>18.458200000000001</v>
      </c>
      <c r="I28" s="101">
        <f t="shared" si="3"/>
        <v>99063.43</v>
      </c>
      <c r="N28" s="568" t="s">
        <v>87</v>
      </c>
      <c r="O28" s="568"/>
      <c r="P28" s="569">
        <f t="shared" si="0"/>
        <v>0</v>
      </c>
      <c r="Q28" s="569"/>
      <c r="R28" s="570">
        <v>1</v>
      </c>
      <c r="S28" s="570"/>
      <c r="T28" s="95">
        <f t="shared" si="4"/>
        <v>0</v>
      </c>
      <c r="U28" s="475">
        <f t="shared" si="5"/>
        <v>0</v>
      </c>
    </row>
    <row r="29" spans="1:21" x14ac:dyDescent="0.25">
      <c r="A29" s="517" t="s">
        <v>88</v>
      </c>
      <c r="B29" s="517"/>
      <c r="C29" s="110">
        <v>2.1</v>
      </c>
      <c r="D29" s="110">
        <v>1.4</v>
      </c>
      <c r="E29" s="154">
        <f t="shared" si="1"/>
        <v>3.5</v>
      </c>
      <c r="F29" s="555">
        <f>'1461'!F29:G29</f>
        <v>1.0720000000000001</v>
      </c>
      <c r="G29" s="555"/>
      <c r="H29" s="93">
        <f t="shared" si="2"/>
        <v>3.7519999999999998</v>
      </c>
      <c r="I29" s="94">
        <f t="shared" si="3"/>
        <v>20136.63</v>
      </c>
      <c r="N29" s="585" t="s">
        <v>88</v>
      </c>
      <c r="O29" s="585"/>
      <c r="P29" s="569">
        <f t="shared" si="0"/>
        <v>0</v>
      </c>
      <c r="Q29" s="569"/>
      <c r="R29" s="586">
        <v>1</v>
      </c>
      <c r="S29" s="586"/>
      <c r="T29" s="95">
        <f t="shared" si="4"/>
        <v>0</v>
      </c>
      <c r="U29" s="475">
        <f t="shared" si="5"/>
        <v>0</v>
      </c>
    </row>
    <row r="30" spans="1:21" x14ac:dyDescent="0.25">
      <c r="A30" s="520" t="s">
        <v>5</v>
      </c>
      <c r="B30" s="520"/>
      <c r="C30" s="94">
        <f>SUM(C14:C29)</f>
        <v>149.22999999999999</v>
      </c>
      <c r="D30" s="94">
        <f>SUM(D14:D29)</f>
        <v>176.16000000000003</v>
      </c>
      <c r="E30" s="94">
        <f>SUM(E14:E29)</f>
        <v>325.39</v>
      </c>
      <c r="F30" s="536"/>
      <c r="G30" s="536"/>
      <c r="H30" s="99">
        <f>SUM(H14:H29)</f>
        <v>325.14089999999999</v>
      </c>
      <c r="I30" s="94">
        <f>SUM(I14:I29)</f>
        <v>1745000.67</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325.14089999999999</v>
      </c>
      <c r="F46" s="34"/>
      <c r="G46" s="106"/>
      <c r="H46" s="107" t="s">
        <v>98</v>
      </c>
      <c r="I46" s="94">
        <f>SUM(I44,I30)</f>
        <v>1745000.67</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1745000.67</v>
      </c>
      <c r="G51" s="109" t="s">
        <v>6</v>
      </c>
      <c r="H51" s="403">
        <v>4.5199999999999997E-2</v>
      </c>
      <c r="I51" s="101">
        <f>ROUND(F51*H51,2)</f>
        <v>78874.03</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1745000.67</v>
      </c>
      <c r="G52" s="109" t="s">
        <v>6</v>
      </c>
      <c r="H52" s="403">
        <v>1.41E-2</v>
      </c>
      <c r="I52" s="101">
        <f>ROUND(F52*H52,2)</f>
        <v>24604.51</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103478.54</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17.5</v>
      </c>
      <c r="D63" s="143">
        <v>21.47</v>
      </c>
      <c r="E63" s="116">
        <f t="shared" si="10"/>
        <v>38.97</v>
      </c>
      <c r="F63" s="446" t="s">
        <v>14</v>
      </c>
      <c r="G63" s="445">
        <v>251</v>
      </c>
      <c r="H63" s="459">
        <f>'1461'!H63</f>
        <v>835</v>
      </c>
      <c r="I63" s="101">
        <f t="shared" si="11"/>
        <v>32539.95</v>
      </c>
      <c r="N63" s="619"/>
      <c r="O63" s="619"/>
      <c r="P63" s="622"/>
      <c r="Q63" s="622"/>
      <c r="R63" s="40" t="s">
        <v>14</v>
      </c>
      <c r="S63" s="451">
        <v>251</v>
      </c>
      <c r="T63" s="462">
        <f t="shared" si="12"/>
        <v>835</v>
      </c>
      <c r="U63" s="476">
        <f t="shared" si="13"/>
        <v>0</v>
      </c>
      <c r="V63" s="426"/>
    </row>
    <row r="64" spans="1:22" x14ac:dyDescent="0.25">
      <c r="A64" s="533"/>
      <c r="B64" s="533"/>
      <c r="C64" s="143">
        <v>2</v>
      </c>
      <c r="D64" s="143">
        <v>1.92</v>
      </c>
      <c r="E64" s="116">
        <f t="shared" si="10"/>
        <v>3.92</v>
      </c>
      <c r="F64" s="446" t="s">
        <v>14</v>
      </c>
      <c r="G64" s="445">
        <v>252</v>
      </c>
      <c r="H64" s="459">
        <f>'1461'!H64</f>
        <v>3168</v>
      </c>
      <c r="I64" s="101">
        <f t="shared" si="11"/>
        <v>12418.56</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19.5</v>
      </c>
      <c r="D66" s="97">
        <f>SUM(D57:D65)</f>
        <v>23.39</v>
      </c>
      <c r="E66" s="97">
        <f>SUM(E57:E65)</f>
        <v>42.89</v>
      </c>
      <c r="F66" s="520" t="s">
        <v>448</v>
      </c>
      <c r="G66" s="520"/>
      <c r="H66" s="520"/>
      <c r="I66" s="97">
        <f>SUM(I57:I65)</f>
        <v>44958.51</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325.39</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1.6000000000000001E-3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325.14089999999999</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1.4289999999999999E-3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325.39</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1.7409999999999999E-3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325.39</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1.6019999999999999E-3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325.39</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1.743E-3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1.6019999999999999E-3</v>
      </c>
      <c r="I85" s="101">
        <f>ROUND(F85*H85,2)</f>
        <v>71554.19</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1.6000000000000001E-3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1.743E-3</v>
      </c>
      <c r="I90" s="101">
        <f>ROUND(F90*H90,2)</f>
        <v>28179.17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1.7409999999999999E-3</v>
      </c>
      <c r="I92" s="101">
        <f t="shared" ref="I92:I96" si="14">ROUND(F92*H92,2)</f>
        <v>17479.810000000001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1.4289999999999999E-3</v>
      </c>
      <c r="I94" s="101">
        <f t="shared" si="14"/>
        <v>341527.68</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1.4289999999999999E-3</v>
      </c>
      <c r="I96" s="101">
        <f t="shared" si="14"/>
        <v>-2286.4699999999998</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325.14089999999999</v>
      </c>
      <c r="D103" s="515"/>
      <c r="E103" s="46">
        <f>H8</f>
        <v>1.0442</v>
      </c>
      <c r="F103" s="304">
        <f>'1461'!F103</f>
        <v>906.93</v>
      </c>
      <c r="G103" s="39" t="s">
        <v>12</v>
      </c>
      <c r="H103" s="94">
        <f>ROUND(C103*E103*F103,2)</f>
        <v>307913.73</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325.14089999999999</v>
      </c>
      <c r="D104" s="528"/>
      <c r="E104" s="123"/>
      <c r="F104" s="123"/>
      <c r="G104" s="123"/>
      <c r="H104" s="124" t="s">
        <v>100</v>
      </c>
      <c r="I104" s="101">
        <f>IF(A1=75,0,H103+H102+H101)</f>
        <v>307913.73</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5</v>
      </c>
      <c r="D110" s="143">
        <v>50</v>
      </c>
      <c r="E110" s="116">
        <f>(C110+D110)/2</f>
        <v>27.5</v>
      </c>
      <c r="F110" s="126" t="s">
        <v>30</v>
      </c>
      <c r="G110" s="305">
        <f>'1461'!G110</f>
        <v>565</v>
      </c>
      <c r="I110" s="101">
        <f>ROUND(G110*E110,2)</f>
        <v>15537.5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2569864.7899999996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2466386.2499999995</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2466386.2499999995</v>
      </c>
      <c r="I132" s="94">
        <f>ROUND(IF(E30=0,0,IF(E30&gt;250,-(((250/E30)*H132)*IF(G132="H",0.02,0.05)),IF(G132="H",-0.02*H132,-0.05*H132))),2)</f>
        <v>-94747.31</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2475117.4799999995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-217310.76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2257806.7199999997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205255.16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28572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CCC"/>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125</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204.52</v>
      </c>
      <c r="D14" s="141">
        <v>197.36</v>
      </c>
      <c r="E14" s="187">
        <f>IF(D$30=0,C14*2,C14+D14)</f>
        <v>401.88</v>
      </c>
      <c r="F14" s="558">
        <f>'1461'!F14:G14</f>
        <v>1.1220000000000001</v>
      </c>
      <c r="G14" s="558"/>
      <c r="H14" s="145">
        <f>ROUND(E14*F14,4)</f>
        <v>450.90940000000001</v>
      </c>
      <c r="I14" s="111">
        <f>ROUND(ROUND(ROUND(H14*$C$8,4)*($H$8),2)*(MAX($H$9,1)),2)</f>
        <v>2419988.39</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23</v>
      </c>
      <c r="D15" s="143">
        <v>24.5</v>
      </c>
      <c r="E15" s="116">
        <f t="shared" ref="E15:E29" si="1">IF(D$30=0,C15*2,C15+D15)</f>
        <v>47.5</v>
      </c>
      <c r="F15" s="555">
        <f>'1461'!F15:G15</f>
        <v>1.1220000000000001</v>
      </c>
      <c r="G15" s="555"/>
      <c r="H15" s="80">
        <f t="shared" ref="H15:H29" si="2">ROUND(E15*F15,4)</f>
        <v>53.295000000000002</v>
      </c>
      <c r="I15" s="101">
        <f t="shared" ref="I15:I29" si="3">ROUND(ROUND(ROUND(H15*$C$8,4)*($H$8),2)*(MAX($H$9,1)),2)</f>
        <v>286029.26</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233.25</v>
      </c>
      <c r="D16" s="143">
        <v>226.71</v>
      </c>
      <c r="E16" s="116">
        <f t="shared" si="1"/>
        <v>459.96000000000004</v>
      </c>
      <c r="F16" s="555">
        <f>'1461'!F16:G16</f>
        <v>1</v>
      </c>
      <c r="G16" s="555"/>
      <c r="H16" s="80">
        <f t="shared" si="2"/>
        <v>459.96</v>
      </c>
      <c r="I16" s="101">
        <f t="shared" si="3"/>
        <v>2468562.11</v>
      </c>
      <c r="N16" s="568" t="s">
        <v>22</v>
      </c>
      <c r="O16" s="568"/>
      <c r="P16" s="569">
        <f t="shared" si="0"/>
        <v>0</v>
      </c>
      <c r="Q16" s="569"/>
      <c r="R16" s="570">
        <v>1</v>
      </c>
      <c r="S16" s="570"/>
      <c r="T16" s="95">
        <f t="shared" si="4"/>
        <v>0</v>
      </c>
      <c r="U16" s="475">
        <f t="shared" si="5"/>
        <v>0</v>
      </c>
    </row>
    <row r="17" spans="1:21" x14ac:dyDescent="0.25">
      <c r="A17" s="517" t="s">
        <v>23</v>
      </c>
      <c r="B17" s="517"/>
      <c r="C17" s="143">
        <v>30.5</v>
      </c>
      <c r="D17" s="143">
        <v>29.49</v>
      </c>
      <c r="E17" s="116">
        <f t="shared" si="1"/>
        <v>59.989999999999995</v>
      </c>
      <c r="F17" s="555">
        <f>'1461'!F17:G17</f>
        <v>1</v>
      </c>
      <c r="G17" s="555"/>
      <c r="H17" s="80">
        <f t="shared" si="2"/>
        <v>59.99</v>
      </c>
      <c r="I17" s="101">
        <f t="shared" si="3"/>
        <v>321960.69</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11.76</v>
      </c>
      <c r="D26" s="143">
        <v>10.94</v>
      </c>
      <c r="E26" s="116">
        <f t="shared" si="1"/>
        <v>22.7</v>
      </c>
      <c r="F26" s="555">
        <f>'1461'!F26:G26</f>
        <v>1.208</v>
      </c>
      <c r="G26" s="555"/>
      <c r="H26" s="80">
        <f t="shared" si="2"/>
        <v>27.421600000000002</v>
      </c>
      <c r="I26" s="101">
        <f t="shared" si="3"/>
        <v>147169.15</v>
      </c>
      <c r="N26" s="568" t="s">
        <v>85</v>
      </c>
      <c r="O26" s="568"/>
      <c r="P26" s="569">
        <f t="shared" si="0"/>
        <v>0</v>
      </c>
      <c r="Q26" s="569"/>
      <c r="R26" s="570">
        <v>1</v>
      </c>
      <c r="S26" s="570"/>
      <c r="T26" s="95">
        <f t="shared" si="4"/>
        <v>0</v>
      </c>
      <c r="U26" s="475">
        <f t="shared" si="5"/>
        <v>0</v>
      </c>
    </row>
    <row r="27" spans="1:21" x14ac:dyDescent="0.25">
      <c r="A27" s="517" t="s">
        <v>86</v>
      </c>
      <c r="B27" s="517"/>
      <c r="C27" s="143">
        <v>3.01</v>
      </c>
      <c r="D27" s="143">
        <v>2.57</v>
      </c>
      <c r="E27" s="116">
        <f t="shared" si="1"/>
        <v>5.58</v>
      </c>
      <c r="F27" s="555">
        <f>'1461'!F27:G27</f>
        <v>1.208</v>
      </c>
      <c r="G27" s="555"/>
      <c r="H27" s="80">
        <f t="shared" si="2"/>
        <v>6.7405999999999997</v>
      </c>
      <c r="I27" s="101">
        <f t="shared" si="3"/>
        <v>36176.17</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506.03999999999996</v>
      </c>
      <c r="D30" s="94">
        <f>SUM(D14:D29)</f>
        <v>491.57000000000005</v>
      </c>
      <c r="E30" s="94">
        <f>SUM(E14:E29)</f>
        <v>997.61000000000013</v>
      </c>
      <c r="F30" s="536"/>
      <c r="G30" s="536"/>
      <c r="H30" s="99">
        <f>SUM(H14:H29)</f>
        <v>1058.3165999999999</v>
      </c>
      <c r="I30" s="94">
        <f>SUM(I14:I29)</f>
        <v>5679885.7700000005</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1058.3165999999999</v>
      </c>
      <c r="F46" s="34"/>
      <c r="G46" s="106"/>
      <c r="H46" s="107" t="s">
        <v>98</v>
      </c>
      <c r="I46" s="94">
        <f>SUM(I44,I30)</f>
        <v>5679885.7700000005</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5679885.7700000005</v>
      </c>
      <c r="G51" s="109" t="s">
        <v>6</v>
      </c>
      <c r="H51" s="403">
        <v>4.5199999999999997E-2</v>
      </c>
      <c r="I51" s="101">
        <f>ROUND(F51*H51,2)</f>
        <v>256730.84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5679885.7700000005</v>
      </c>
      <c r="G52" s="109" t="s">
        <v>6</v>
      </c>
      <c r="H52" s="403">
        <v>1.41E-2</v>
      </c>
      <c r="I52" s="101">
        <f>ROUND(F52*H52,2)</f>
        <v>80086.39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336817.23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19</v>
      </c>
      <c r="D57" s="143">
        <v>21.59</v>
      </c>
      <c r="E57" s="116">
        <f t="shared" ref="E57:E65" si="10">IF(D$72=0,C57*2,C57+D57)</f>
        <v>40.590000000000003</v>
      </c>
      <c r="F57" s="445" t="s">
        <v>439</v>
      </c>
      <c r="G57" s="445">
        <v>251</v>
      </c>
      <c r="H57" s="459">
        <f>'1461'!H57</f>
        <v>1047</v>
      </c>
      <c r="I57" s="101">
        <f>ROUND(E57*H57,2)</f>
        <v>42497.73</v>
      </c>
      <c r="N57" s="618" t="s">
        <v>447</v>
      </c>
      <c r="O57" s="618"/>
      <c r="P57" s="621"/>
      <c r="Q57" s="621"/>
      <c r="R57" s="451" t="s">
        <v>439</v>
      </c>
      <c r="S57" s="451">
        <v>251</v>
      </c>
      <c r="T57" s="462">
        <f>H57</f>
        <v>1047</v>
      </c>
      <c r="U57" s="476">
        <f>ROUND(P57*T57,2)</f>
        <v>0</v>
      </c>
      <c r="V57" s="426"/>
    </row>
    <row r="58" spans="1:22" x14ac:dyDescent="0.25">
      <c r="A58" s="533"/>
      <c r="B58" s="533"/>
      <c r="C58" s="143">
        <v>4</v>
      </c>
      <c r="D58" s="143">
        <v>2.91</v>
      </c>
      <c r="E58" s="116">
        <f t="shared" si="10"/>
        <v>6.91</v>
      </c>
      <c r="F58" s="445" t="s">
        <v>439</v>
      </c>
      <c r="G58" s="445">
        <v>252</v>
      </c>
      <c r="H58" s="459">
        <f>'1461'!H58</f>
        <v>3380</v>
      </c>
      <c r="I58" s="101">
        <f t="shared" ref="I58:I65" si="11">ROUND(E58*H58,2)</f>
        <v>23355.8</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26.5</v>
      </c>
      <c r="D60" s="143">
        <v>25.48</v>
      </c>
      <c r="E60" s="116">
        <f t="shared" si="10"/>
        <v>51.980000000000004</v>
      </c>
      <c r="F60" s="446" t="s">
        <v>13</v>
      </c>
      <c r="G60" s="445">
        <v>251</v>
      </c>
      <c r="H60" s="459">
        <f>'1461'!H60</f>
        <v>1173</v>
      </c>
      <c r="I60" s="101">
        <f t="shared" si="11"/>
        <v>60972.54</v>
      </c>
      <c r="N60" s="619"/>
      <c r="O60" s="619"/>
      <c r="P60" s="622"/>
      <c r="Q60" s="622"/>
      <c r="R60" s="40" t="s">
        <v>13</v>
      </c>
      <c r="S60" s="451">
        <v>251</v>
      </c>
      <c r="T60" s="462">
        <f t="shared" si="12"/>
        <v>1173</v>
      </c>
      <c r="U60" s="476">
        <f t="shared" si="13"/>
        <v>0</v>
      </c>
      <c r="V60" s="426"/>
    </row>
    <row r="61" spans="1:22" x14ac:dyDescent="0.25">
      <c r="A61" s="533"/>
      <c r="B61" s="533"/>
      <c r="C61" s="143">
        <v>4</v>
      </c>
      <c r="D61" s="143">
        <v>4.01</v>
      </c>
      <c r="E61" s="116">
        <f t="shared" si="10"/>
        <v>8.01</v>
      </c>
      <c r="F61" s="446" t="s">
        <v>13</v>
      </c>
      <c r="G61" s="445">
        <v>252</v>
      </c>
      <c r="H61" s="459">
        <f>'1461'!H61</f>
        <v>3506</v>
      </c>
      <c r="I61" s="101">
        <f t="shared" si="11"/>
        <v>28083.06</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53.5</v>
      </c>
      <c r="D66" s="97">
        <f>SUM(D57:D65)</f>
        <v>53.99</v>
      </c>
      <c r="E66" s="97">
        <f>SUM(E57:E65)</f>
        <v>107.49000000000001</v>
      </c>
      <c r="F66" s="520" t="s">
        <v>448</v>
      </c>
      <c r="G66" s="520"/>
      <c r="H66" s="520"/>
      <c r="I66" s="97">
        <f>SUM(I57:I65)</f>
        <v>154909.13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997.61000000000013</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4.9069999999999999E-3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1058.3165999999999</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4.6509999999999998E-3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997.61000000000013</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5.3369999999999997E-3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997.61000000000013</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4.9119999999999997E-3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997.61000000000013</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5.3439999999999998E-3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4.9119999999999997E-3</v>
      </c>
      <c r="I85" s="101">
        <f>ROUND(F85*H85,2)</f>
        <v>219397.11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4.9069999999999999E-3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5.3439999999999998E-3</v>
      </c>
      <c r="I90" s="101">
        <f>ROUND(F90*H90,2)</f>
        <v>86396.73</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5.3369999999999997E-3</v>
      </c>
      <c r="I92" s="101">
        <f t="shared" ref="I92:I96" si="14">ROUND(F92*H92,2)</f>
        <v>53584.01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4.6509999999999998E-3</v>
      </c>
      <c r="I94" s="101">
        <f t="shared" si="14"/>
        <v>1111578.18</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4.6509999999999998E-3</v>
      </c>
      <c r="I96" s="101">
        <f t="shared" si="14"/>
        <v>-7441.82</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531.62599999999998</v>
      </c>
      <c r="D101" s="515"/>
      <c r="E101" s="46">
        <f>H8</f>
        <v>1.0442</v>
      </c>
      <c r="F101" s="304">
        <f>'1461'!F101</f>
        <v>947.59</v>
      </c>
      <c r="G101" s="39" t="s">
        <v>12</v>
      </c>
      <c r="H101" s="101">
        <f>ROUND(C101*E101*F101,2)</f>
        <v>526029.82999999996</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526.6905999999999</v>
      </c>
      <c r="D102" s="515"/>
      <c r="E102" s="46">
        <f>H8</f>
        <v>1.0442</v>
      </c>
      <c r="F102" s="304">
        <f>'1461'!F102</f>
        <v>904.74</v>
      </c>
      <c r="G102" s="39" t="s">
        <v>12</v>
      </c>
      <c r="H102" s="101">
        <f>ROUND(C102*E102*F102,2)</f>
        <v>497580.15</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1058.3165999999999</v>
      </c>
      <c r="D104" s="528"/>
      <c r="E104" s="123"/>
      <c r="F104" s="123"/>
      <c r="G104" s="123"/>
      <c r="H104" s="124" t="s">
        <v>100</v>
      </c>
      <c r="I104" s="101">
        <f>IF(A1=75,0,H103+H102+H101)</f>
        <v>1023609.98</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46</v>
      </c>
      <c r="D110" s="143">
        <v>0</v>
      </c>
      <c r="E110" s="116">
        <f>(C110+D110)/2</f>
        <v>23</v>
      </c>
      <c r="F110" s="126" t="s">
        <v>30</v>
      </c>
      <c r="G110" s="305">
        <f>'1461'!G110</f>
        <v>565</v>
      </c>
      <c r="I110" s="101">
        <f>ROUND(G110*E110,2)</f>
        <v>12995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8334914.0899999999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7998096.8599999994</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7998096.8599999994</v>
      </c>
      <c r="I132" s="94">
        <f>ROUND(IF(E30=0,0,IF(E30&gt;250,-(((250/E30)*H132)*IF(G132="H",0.02,0.05)),IF(G132="H",-0.02*H132,-0.05*H132))),2)</f>
        <v>-40086.29</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8294827.7999999998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-722549.02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7572278.7799999993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688388.98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119875.65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8:B118"/>
    <mergeCell ref="F118:G118"/>
    <mergeCell ref="N118:O118"/>
    <mergeCell ref="P118:Q118"/>
    <mergeCell ref="R118:S118"/>
    <mergeCell ref="A119:B119"/>
    <mergeCell ref="F119:G119"/>
    <mergeCell ref="N119:O119"/>
    <mergeCell ref="R117:S117"/>
    <mergeCell ref="A114:C114"/>
    <mergeCell ref="F114:I114"/>
    <mergeCell ref="N114:U114"/>
    <mergeCell ref="C115:E115"/>
    <mergeCell ref="F116:G116"/>
    <mergeCell ref="A117:B117"/>
    <mergeCell ref="F117:G117"/>
    <mergeCell ref="N117:O117"/>
    <mergeCell ref="P117:Q117"/>
    <mergeCell ref="A120:B120"/>
    <mergeCell ref="F120:G120"/>
    <mergeCell ref="N120:O120"/>
    <mergeCell ref="P120:Q120"/>
    <mergeCell ref="P119:Q119"/>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CCC"/>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287" t="s">
        <v>126</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J11" s="256"/>
      <c r="K11" s="255"/>
      <c r="L11" s="255"/>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J12" s="254"/>
      <c r="K12" s="255"/>
      <c r="L12" s="255"/>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K13" s="255"/>
      <c r="L13" s="255"/>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223.83</v>
      </c>
      <c r="D16" s="143">
        <v>220.4</v>
      </c>
      <c r="E16" s="116">
        <f t="shared" si="1"/>
        <v>444.23</v>
      </c>
      <c r="F16" s="555">
        <f>'1461'!F16:G16</f>
        <v>1</v>
      </c>
      <c r="G16" s="555"/>
      <c r="H16" s="80">
        <f t="shared" si="2"/>
        <v>444.23</v>
      </c>
      <c r="I16" s="101">
        <f t="shared" si="3"/>
        <v>2384140.6800000002</v>
      </c>
      <c r="N16" s="568" t="s">
        <v>22</v>
      </c>
      <c r="O16" s="568"/>
      <c r="P16" s="569">
        <f t="shared" si="0"/>
        <v>0</v>
      </c>
      <c r="Q16" s="569"/>
      <c r="R16" s="570">
        <v>1</v>
      </c>
      <c r="S16" s="570"/>
      <c r="T16" s="95">
        <f t="shared" si="4"/>
        <v>0</v>
      </c>
      <c r="U16" s="475">
        <f t="shared" si="5"/>
        <v>0</v>
      </c>
    </row>
    <row r="17" spans="1:21" x14ac:dyDescent="0.25">
      <c r="A17" s="517" t="s">
        <v>23</v>
      </c>
      <c r="B17" s="517"/>
      <c r="C17" s="143">
        <v>42.5</v>
      </c>
      <c r="D17" s="143">
        <v>41.46</v>
      </c>
      <c r="E17" s="116">
        <f t="shared" si="1"/>
        <v>83.960000000000008</v>
      </c>
      <c r="F17" s="555">
        <f>'1461'!F17:G17</f>
        <v>1</v>
      </c>
      <c r="G17" s="555"/>
      <c r="H17" s="80">
        <f t="shared" si="2"/>
        <v>83.96</v>
      </c>
      <c r="I17" s="101">
        <f t="shared" si="3"/>
        <v>450605.43</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2.94</v>
      </c>
      <c r="D27" s="143">
        <v>2.96</v>
      </c>
      <c r="E27" s="116">
        <f t="shared" si="1"/>
        <v>5.9</v>
      </c>
      <c r="F27" s="555">
        <f>'1461'!F27:G27</f>
        <v>1.208</v>
      </c>
      <c r="G27" s="555"/>
      <c r="H27" s="80">
        <f t="shared" si="2"/>
        <v>7.1272000000000002</v>
      </c>
      <c r="I27" s="101">
        <f t="shared" si="3"/>
        <v>38251.01</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269.27000000000004</v>
      </c>
      <c r="D30" s="94">
        <f>SUM(D14:D29)</f>
        <v>264.82</v>
      </c>
      <c r="E30" s="94">
        <f>SUM(E14:E29)</f>
        <v>534.09</v>
      </c>
      <c r="F30" s="536"/>
      <c r="G30" s="536"/>
      <c r="H30" s="99">
        <f>SUM(H14:H29)</f>
        <v>535.31720000000007</v>
      </c>
      <c r="I30" s="94">
        <f>SUM(I14:I29)</f>
        <v>2872997.12</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535.31720000000007</v>
      </c>
      <c r="F46" s="34"/>
      <c r="G46" s="106"/>
      <c r="H46" s="107" t="s">
        <v>98</v>
      </c>
      <c r="I46" s="94">
        <f>SUM(I44,I30)</f>
        <v>2872997.12</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2872997.12</v>
      </c>
      <c r="G51" s="109" t="s">
        <v>6</v>
      </c>
      <c r="H51" s="403">
        <v>4.5199999999999997E-2</v>
      </c>
      <c r="I51" s="101">
        <f>ROUND(F51*H51,2)</f>
        <v>129859.47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2872997.12</v>
      </c>
      <c r="G52" s="109" t="s">
        <v>6</v>
      </c>
      <c r="H52" s="403">
        <v>1.41E-2</v>
      </c>
      <c r="I52" s="101">
        <f>ROUND(F52*H52,2)</f>
        <v>40509.26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170368.73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42</v>
      </c>
      <c r="D60" s="143">
        <v>40.96</v>
      </c>
      <c r="E60" s="116">
        <f t="shared" si="10"/>
        <v>82.960000000000008</v>
      </c>
      <c r="F60" s="446" t="s">
        <v>13</v>
      </c>
      <c r="G60" s="445">
        <v>251</v>
      </c>
      <c r="H60" s="459">
        <f>'1461'!H60</f>
        <v>1173</v>
      </c>
      <c r="I60" s="101">
        <f t="shared" si="11"/>
        <v>97312.08</v>
      </c>
      <c r="N60" s="619"/>
      <c r="O60" s="619"/>
      <c r="P60" s="622"/>
      <c r="Q60" s="622"/>
      <c r="R60" s="40" t="s">
        <v>13</v>
      </c>
      <c r="S60" s="451">
        <v>251</v>
      </c>
      <c r="T60" s="462">
        <f t="shared" si="12"/>
        <v>1173</v>
      </c>
      <c r="U60" s="476">
        <f t="shared" si="13"/>
        <v>0</v>
      </c>
      <c r="V60" s="426"/>
    </row>
    <row r="61" spans="1:22" x14ac:dyDescent="0.25">
      <c r="A61" s="533"/>
      <c r="B61" s="533"/>
      <c r="C61" s="143">
        <v>0.5</v>
      </c>
      <c r="D61" s="143">
        <v>0.5</v>
      </c>
      <c r="E61" s="116">
        <f t="shared" si="10"/>
        <v>1</v>
      </c>
      <c r="F61" s="446" t="s">
        <v>13</v>
      </c>
      <c r="G61" s="445">
        <v>252</v>
      </c>
      <c r="H61" s="459">
        <f>'1461'!H61</f>
        <v>3506</v>
      </c>
      <c r="I61" s="101">
        <f t="shared" si="11"/>
        <v>3506</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42.5</v>
      </c>
      <c r="D66" s="97">
        <f>SUM(D57:D65)</f>
        <v>41.46</v>
      </c>
      <c r="E66" s="97">
        <f>SUM(E57:E65)</f>
        <v>83.960000000000008</v>
      </c>
      <c r="F66" s="520" t="s">
        <v>448</v>
      </c>
      <c r="G66" s="520"/>
      <c r="H66" s="520"/>
      <c r="I66" s="97">
        <f>SUM(I57:I65)</f>
        <v>100818.08</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534.09</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2.627E-3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535.31720000000007</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2.3530000000000001E-3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534.09</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2.8579999999999999E-3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534.09</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2.63E-3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534.09</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2.8609999999999998E-3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2.63E-3</v>
      </c>
      <c r="I85" s="101">
        <f>ROUND(F85*H85,2)</f>
        <v>117470.36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2.627E-3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2.8609999999999998E-3</v>
      </c>
      <c r="I90" s="101">
        <f>ROUND(F90*H90,2)</f>
        <v>46253.94</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2.8579999999999999E-3</v>
      </c>
      <c r="I92" s="101">
        <f t="shared" ref="I92:I96" si="14">ROUND(F92*H92,2)</f>
        <v>28694.6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2.3530000000000001E-3</v>
      </c>
      <c r="I94" s="101">
        <f t="shared" si="14"/>
        <v>562361.53</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2.3530000000000001E-3</v>
      </c>
      <c r="I96" s="101">
        <f t="shared" si="14"/>
        <v>-3764.91</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535.31720000000007</v>
      </c>
      <c r="D102" s="515"/>
      <c r="E102" s="46">
        <f>H8</f>
        <v>1.0442</v>
      </c>
      <c r="F102" s="304">
        <f>'1461'!F102</f>
        <v>904.74</v>
      </c>
      <c r="G102" s="39" t="s">
        <v>12</v>
      </c>
      <c r="H102" s="101">
        <f>ROUND(C102*E102*F102,2)</f>
        <v>505729.95</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535.31720000000007</v>
      </c>
      <c r="D104" s="528"/>
      <c r="E104" s="123"/>
      <c r="F104" s="123"/>
      <c r="G104" s="123"/>
      <c r="H104" s="124" t="s">
        <v>100</v>
      </c>
      <c r="I104" s="101">
        <f>IF(A1=75,0,H103+H102+H101)</f>
        <v>505729.95</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336</v>
      </c>
      <c r="D110" s="143">
        <v>333</v>
      </c>
      <c r="E110" s="116">
        <f>(C110+D110)/2</f>
        <v>334.5</v>
      </c>
      <c r="F110" s="126" t="s">
        <v>30</v>
      </c>
      <c r="G110" s="305">
        <f>'1461'!G110</f>
        <v>565</v>
      </c>
      <c r="I110" s="101">
        <f>ROUND(G110*E110,2)</f>
        <v>188992.5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4419553.17</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4249184.4399999995</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4249184.4399999995</v>
      </c>
      <c r="I132" s="94">
        <f>ROUND(IF(E30=0,0,IF(E30&gt;250,-(((250/E30)*H132)*IF(G132="H",0.02,0.05)),IF(G132="H",-0.02*H132,-0.05*H132))),2)</f>
        <v>-99449.17</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4320104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v>-378425.46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3941678.54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81" t="s">
        <v>242</v>
      </c>
      <c r="B142" s="69"/>
      <c r="C142" s="69"/>
      <c r="D142" s="69"/>
      <c r="E142" s="69"/>
      <c r="F142" s="69"/>
      <c r="G142" s="69"/>
      <c r="H142" s="65"/>
      <c r="I142" s="155">
        <f>ROUND(I138/I140,2)</f>
        <v>358334.41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113010.05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362</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115.65</v>
      </c>
      <c r="D16" s="143">
        <v>110.08</v>
      </c>
      <c r="E16" s="116">
        <f t="shared" si="1"/>
        <v>225.73000000000002</v>
      </c>
      <c r="F16" s="555">
        <f>'1461'!F16:G16</f>
        <v>1</v>
      </c>
      <c r="G16" s="555"/>
      <c r="H16" s="80">
        <f t="shared" si="2"/>
        <v>225.73</v>
      </c>
      <c r="I16" s="101">
        <f t="shared" si="3"/>
        <v>1211471.71</v>
      </c>
      <c r="N16" s="568" t="s">
        <v>22</v>
      </c>
      <c r="O16" s="568"/>
      <c r="P16" s="569">
        <f t="shared" si="0"/>
        <v>0</v>
      </c>
      <c r="Q16" s="569"/>
      <c r="R16" s="570">
        <v>1</v>
      </c>
      <c r="S16" s="570"/>
      <c r="T16" s="95">
        <f t="shared" si="4"/>
        <v>0</v>
      </c>
      <c r="U16" s="475">
        <f t="shared" si="5"/>
        <v>0</v>
      </c>
    </row>
    <row r="17" spans="1:21" x14ac:dyDescent="0.25">
      <c r="A17" s="517" t="s">
        <v>23</v>
      </c>
      <c r="B17" s="517"/>
      <c r="C17" s="143">
        <v>24.5</v>
      </c>
      <c r="D17" s="143">
        <v>21</v>
      </c>
      <c r="E17" s="116">
        <f t="shared" si="1"/>
        <v>45.5</v>
      </c>
      <c r="F17" s="555">
        <f>'1461'!F17:G17</f>
        <v>1</v>
      </c>
      <c r="G17" s="555"/>
      <c r="H17" s="80">
        <f t="shared" si="2"/>
        <v>45.5</v>
      </c>
      <c r="I17" s="101">
        <f t="shared" si="3"/>
        <v>244194.23</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77.760000000000005</v>
      </c>
      <c r="D18" s="143">
        <v>73.150000000000006</v>
      </c>
      <c r="E18" s="116">
        <f t="shared" si="1"/>
        <v>150.91000000000003</v>
      </c>
      <c r="F18" s="555">
        <f>'1461'!F18:G18</f>
        <v>0.98799999999999999</v>
      </c>
      <c r="G18" s="555"/>
      <c r="H18" s="80">
        <f t="shared" si="2"/>
        <v>149.09909999999999</v>
      </c>
      <c r="I18" s="101">
        <f t="shared" si="3"/>
        <v>800200.86</v>
      </c>
      <c r="N18" s="568" t="s">
        <v>24</v>
      </c>
      <c r="O18" s="568"/>
      <c r="P18" s="569">
        <f t="shared" si="0"/>
        <v>0</v>
      </c>
      <c r="Q18" s="569"/>
      <c r="R18" s="570">
        <v>1</v>
      </c>
      <c r="S18" s="570"/>
      <c r="T18" s="95">
        <f t="shared" si="4"/>
        <v>0</v>
      </c>
      <c r="U18" s="475">
        <f t="shared" si="5"/>
        <v>0</v>
      </c>
    </row>
    <row r="19" spans="1:21" x14ac:dyDescent="0.25">
      <c r="A19" s="517" t="s">
        <v>25</v>
      </c>
      <c r="B19" s="517"/>
      <c r="C19" s="143">
        <v>17.5</v>
      </c>
      <c r="D19" s="143">
        <v>16.440000000000001</v>
      </c>
      <c r="E19" s="116">
        <f t="shared" si="1"/>
        <v>33.94</v>
      </c>
      <c r="F19" s="555">
        <f>'1461'!F19:G19</f>
        <v>0.98799999999999999</v>
      </c>
      <c r="G19" s="555"/>
      <c r="H19" s="80">
        <f t="shared" si="2"/>
        <v>33.532699999999998</v>
      </c>
      <c r="I19" s="101">
        <f t="shared" si="3"/>
        <v>179966.85</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19.350000000000001</v>
      </c>
      <c r="D27" s="143">
        <v>17.940000000000001</v>
      </c>
      <c r="E27" s="116">
        <f t="shared" si="1"/>
        <v>37.290000000000006</v>
      </c>
      <c r="F27" s="555">
        <f>'1461'!F27:G27</f>
        <v>1.208</v>
      </c>
      <c r="G27" s="555"/>
      <c r="H27" s="80">
        <f t="shared" si="2"/>
        <v>45.046300000000002</v>
      </c>
      <c r="I27" s="101">
        <f t="shared" si="3"/>
        <v>241759.26</v>
      </c>
      <c r="N27" s="568" t="s">
        <v>86</v>
      </c>
      <c r="O27" s="568"/>
      <c r="P27" s="569">
        <f t="shared" si="0"/>
        <v>0</v>
      </c>
      <c r="Q27" s="569"/>
      <c r="R27" s="570">
        <v>1</v>
      </c>
      <c r="S27" s="570"/>
      <c r="T27" s="95">
        <f t="shared" si="4"/>
        <v>0</v>
      </c>
      <c r="U27" s="475">
        <f t="shared" si="5"/>
        <v>0</v>
      </c>
    </row>
    <row r="28" spans="1:21" x14ac:dyDescent="0.25">
      <c r="A28" s="517" t="s">
        <v>87</v>
      </c>
      <c r="B28" s="517"/>
      <c r="C28" s="143">
        <v>4.66</v>
      </c>
      <c r="D28" s="143">
        <v>3.42</v>
      </c>
      <c r="E28" s="116">
        <f t="shared" si="1"/>
        <v>8.08</v>
      </c>
      <c r="F28" s="555">
        <f>'1461'!F28:G28</f>
        <v>1.208</v>
      </c>
      <c r="G28" s="555"/>
      <c r="H28" s="80">
        <f t="shared" si="2"/>
        <v>9.7606000000000002</v>
      </c>
      <c r="I28" s="101">
        <f t="shared" si="3"/>
        <v>52384.22</v>
      </c>
      <c r="N28" s="568" t="s">
        <v>87</v>
      </c>
      <c r="O28" s="568"/>
      <c r="P28" s="569">
        <f t="shared" si="0"/>
        <v>0</v>
      </c>
      <c r="Q28" s="569"/>
      <c r="R28" s="570">
        <v>1</v>
      </c>
      <c r="S28" s="570"/>
      <c r="T28" s="95">
        <f t="shared" si="4"/>
        <v>0</v>
      </c>
      <c r="U28" s="475">
        <f t="shared" si="5"/>
        <v>0</v>
      </c>
    </row>
    <row r="29" spans="1:21" x14ac:dyDescent="0.25">
      <c r="A29" s="517" t="s">
        <v>88</v>
      </c>
      <c r="B29" s="517"/>
      <c r="C29" s="110">
        <v>3.46</v>
      </c>
      <c r="D29" s="110">
        <v>2.75</v>
      </c>
      <c r="E29" s="154">
        <f t="shared" si="1"/>
        <v>6.21</v>
      </c>
      <c r="F29" s="555">
        <f>'1461'!F29:G29</f>
        <v>1.0720000000000001</v>
      </c>
      <c r="G29" s="555"/>
      <c r="H29" s="93">
        <f t="shared" si="2"/>
        <v>6.6570999999999998</v>
      </c>
      <c r="I29" s="94">
        <f t="shared" si="3"/>
        <v>35728.03</v>
      </c>
      <c r="N29" s="585" t="s">
        <v>88</v>
      </c>
      <c r="O29" s="585"/>
      <c r="P29" s="569">
        <f t="shared" si="0"/>
        <v>0</v>
      </c>
      <c r="Q29" s="569"/>
      <c r="R29" s="586">
        <v>1</v>
      </c>
      <c r="S29" s="586"/>
      <c r="T29" s="95">
        <f t="shared" si="4"/>
        <v>0</v>
      </c>
      <c r="U29" s="475">
        <f t="shared" si="5"/>
        <v>0</v>
      </c>
    </row>
    <row r="30" spans="1:21" x14ac:dyDescent="0.25">
      <c r="A30" s="520" t="s">
        <v>5</v>
      </c>
      <c r="B30" s="520"/>
      <c r="C30" s="94">
        <f>SUM(C14:C29)</f>
        <v>262.88</v>
      </c>
      <c r="D30" s="94">
        <f>SUM(D14:D29)</f>
        <v>244.77999999999997</v>
      </c>
      <c r="E30" s="94">
        <f>SUM(E14:E29)</f>
        <v>507.66</v>
      </c>
      <c r="F30" s="536"/>
      <c r="G30" s="536"/>
      <c r="H30" s="99">
        <f>SUM(H14:H29)</f>
        <v>515.32579999999996</v>
      </c>
      <c r="I30" s="94">
        <f>SUM(I14:I29)</f>
        <v>2765705.16</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515.32579999999996</v>
      </c>
      <c r="F46" s="34"/>
      <c r="G46" s="106"/>
      <c r="H46" s="107" t="s">
        <v>98</v>
      </c>
      <c r="I46" s="94">
        <f>SUM(I44,I30)</f>
        <v>2765705.16</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2765705.16</v>
      </c>
      <c r="G51" s="109" t="s">
        <v>6</v>
      </c>
      <c r="H51" s="403">
        <v>4.5199999999999997E-2</v>
      </c>
      <c r="I51" s="101">
        <f>ROUND(F51*H51,2)</f>
        <v>125009.87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2765705.16</v>
      </c>
      <c r="G52" s="109" t="s">
        <v>6</v>
      </c>
      <c r="H52" s="403">
        <v>1.41E-2</v>
      </c>
      <c r="I52" s="101">
        <f>ROUND(F52*H52,2)</f>
        <v>38996.44</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164006.31</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22.5</v>
      </c>
      <c r="D60" s="143">
        <v>19.5</v>
      </c>
      <c r="E60" s="116">
        <f t="shared" si="10"/>
        <v>42</v>
      </c>
      <c r="F60" s="446" t="s">
        <v>13</v>
      </c>
      <c r="G60" s="445">
        <v>251</v>
      </c>
      <c r="H60" s="459">
        <f>'1461'!H60</f>
        <v>1173</v>
      </c>
      <c r="I60" s="101">
        <f t="shared" si="11"/>
        <v>49266</v>
      </c>
      <c r="N60" s="619"/>
      <c r="O60" s="619"/>
      <c r="P60" s="622"/>
      <c r="Q60" s="622"/>
      <c r="R60" s="40" t="s">
        <v>13</v>
      </c>
      <c r="S60" s="451">
        <v>251</v>
      </c>
      <c r="T60" s="462">
        <f t="shared" si="12"/>
        <v>1173</v>
      </c>
      <c r="U60" s="476">
        <f t="shared" si="13"/>
        <v>0</v>
      </c>
      <c r="V60" s="426"/>
    </row>
    <row r="61" spans="1:22" x14ac:dyDescent="0.25">
      <c r="A61" s="533"/>
      <c r="B61" s="533"/>
      <c r="C61" s="143">
        <v>1.5</v>
      </c>
      <c r="D61" s="143">
        <v>1.5</v>
      </c>
      <c r="E61" s="116">
        <f t="shared" si="10"/>
        <v>3</v>
      </c>
      <c r="F61" s="446" t="s">
        <v>13</v>
      </c>
      <c r="G61" s="445">
        <v>252</v>
      </c>
      <c r="H61" s="459">
        <f>'1461'!H61</f>
        <v>3506</v>
      </c>
      <c r="I61" s="101">
        <f t="shared" si="11"/>
        <v>10518</v>
      </c>
      <c r="N61" s="619"/>
      <c r="O61" s="619"/>
      <c r="P61" s="622"/>
      <c r="Q61" s="622"/>
      <c r="R61" s="40" t="s">
        <v>13</v>
      </c>
      <c r="S61" s="451">
        <v>252</v>
      </c>
      <c r="T61" s="462">
        <f t="shared" si="12"/>
        <v>3506</v>
      </c>
      <c r="U61" s="476">
        <f t="shared" si="13"/>
        <v>0</v>
      </c>
      <c r="V61" s="426"/>
    </row>
    <row r="62" spans="1:22" x14ac:dyDescent="0.25">
      <c r="A62" s="533"/>
      <c r="B62" s="533"/>
      <c r="C62" s="143">
        <v>0.5</v>
      </c>
      <c r="D62" s="143">
        <v>0</v>
      </c>
      <c r="E62" s="116">
        <f t="shared" si="10"/>
        <v>0.5</v>
      </c>
      <c r="F62" s="446" t="s">
        <v>13</v>
      </c>
      <c r="G62" s="445">
        <v>253</v>
      </c>
      <c r="H62" s="459">
        <f>'1461'!H62</f>
        <v>7023</v>
      </c>
      <c r="I62" s="101">
        <f t="shared" si="11"/>
        <v>3511.5</v>
      </c>
      <c r="N62" s="619"/>
      <c r="O62" s="619"/>
      <c r="P62" s="622"/>
      <c r="Q62" s="622"/>
      <c r="R62" s="40" t="s">
        <v>13</v>
      </c>
      <c r="S62" s="451">
        <v>253</v>
      </c>
      <c r="T62" s="462">
        <f t="shared" si="12"/>
        <v>7023</v>
      </c>
      <c r="U62" s="476">
        <f t="shared" si="13"/>
        <v>0</v>
      </c>
      <c r="V62" s="426"/>
    </row>
    <row r="63" spans="1:22" x14ac:dyDescent="0.25">
      <c r="A63" s="533"/>
      <c r="B63" s="533"/>
      <c r="C63" s="143">
        <v>16.5</v>
      </c>
      <c r="D63" s="143">
        <v>15.43</v>
      </c>
      <c r="E63" s="116">
        <f t="shared" si="10"/>
        <v>31.93</v>
      </c>
      <c r="F63" s="446" t="s">
        <v>14</v>
      </c>
      <c r="G63" s="445">
        <v>251</v>
      </c>
      <c r="H63" s="459">
        <f>'1461'!H63</f>
        <v>835</v>
      </c>
      <c r="I63" s="101">
        <f t="shared" si="11"/>
        <v>26661.55</v>
      </c>
      <c r="N63" s="619"/>
      <c r="O63" s="619"/>
      <c r="P63" s="622"/>
      <c r="Q63" s="622"/>
      <c r="R63" s="40" t="s">
        <v>14</v>
      </c>
      <c r="S63" s="451">
        <v>251</v>
      </c>
      <c r="T63" s="462">
        <f t="shared" si="12"/>
        <v>835</v>
      </c>
      <c r="U63" s="476">
        <f t="shared" si="13"/>
        <v>0</v>
      </c>
      <c r="V63" s="426"/>
    </row>
    <row r="64" spans="1:22" x14ac:dyDescent="0.25">
      <c r="A64" s="533"/>
      <c r="B64" s="533"/>
      <c r="C64" s="143">
        <v>1</v>
      </c>
      <c r="D64" s="143">
        <v>1.01</v>
      </c>
      <c r="E64" s="116">
        <f t="shared" si="10"/>
        <v>2.0099999999999998</v>
      </c>
      <c r="F64" s="446" t="s">
        <v>14</v>
      </c>
      <c r="G64" s="445">
        <v>252</v>
      </c>
      <c r="H64" s="459">
        <f>'1461'!H64</f>
        <v>3168</v>
      </c>
      <c r="I64" s="101">
        <f t="shared" si="11"/>
        <v>6367.68</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42</v>
      </c>
      <c r="D66" s="97">
        <f>SUM(D57:D65)</f>
        <v>37.44</v>
      </c>
      <c r="E66" s="97">
        <f>SUM(E57:E65)</f>
        <v>79.440000000000012</v>
      </c>
      <c r="F66" s="520" t="s">
        <v>448</v>
      </c>
      <c r="G66" s="520"/>
      <c r="H66" s="520"/>
      <c r="I66" s="97">
        <f>SUM(I57:I65)</f>
        <v>96324.73000000001</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507.66</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2.4970000000000001E-3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515.32579999999996</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2.2650000000000001E-3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507.66</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2.7160000000000001E-3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507.66</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2.5000000000000001E-3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507.66</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2.7190000000000001E-3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2.5000000000000001E-3</v>
      </c>
      <c r="I85" s="101">
        <f>ROUND(F85*H85,2)</f>
        <v>111663.84</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2.4970000000000001E-3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2.7190000000000001E-3</v>
      </c>
      <c r="I90" s="101">
        <f>ROUND(F90*H90,2)</f>
        <v>43958.21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2.7160000000000001E-3</v>
      </c>
      <c r="I92" s="101">
        <f t="shared" ref="I92:I96" si="14">ROUND(F92*H92,2)</f>
        <v>27268.91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2.2650000000000001E-3</v>
      </c>
      <c r="I94" s="101">
        <f t="shared" si="14"/>
        <v>541329.73</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2.2650000000000001E-3</v>
      </c>
      <c r="I96" s="101">
        <f t="shared" si="14"/>
        <v>-3624.11</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316.27629999999999</v>
      </c>
      <c r="D102" s="515"/>
      <c r="E102" s="46">
        <f>H8</f>
        <v>1.0442</v>
      </c>
      <c r="F102" s="304">
        <f>'1461'!F102</f>
        <v>904.74</v>
      </c>
      <c r="G102" s="39" t="s">
        <v>12</v>
      </c>
      <c r="H102" s="101">
        <f>ROUND(C102*E102*F102,2)</f>
        <v>298795.55</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199.04950000000002</v>
      </c>
      <c r="D103" s="515"/>
      <c r="E103" s="46">
        <f>H8</f>
        <v>1.0442</v>
      </c>
      <c r="F103" s="304">
        <f>'1461'!F103</f>
        <v>906.93</v>
      </c>
      <c r="G103" s="39" t="s">
        <v>12</v>
      </c>
      <c r="H103" s="94">
        <f>ROUND(C103*E103*F103,2)</f>
        <v>188503.12</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515.32580000000007</v>
      </c>
      <c r="D104" s="528"/>
      <c r="E104" s="123"/>
      <c r="F104" s="123"/>
      <c r="G104" s="123"/>
      <c r="H104" s="124" t="s">
        <v>100</v>
      </c>
      <c r="I104" s="101">
        <f>IF(A1=75,0,H103+H102+H101)</f>
        <v>487298.67</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289</v>
      </c>
      <c r="D110" s="143">
        <v>261</v>
      </c>
      <c r="E110" s="116">
        <f>(C110+D110)/2</f>
        <v>275</v>
      </c>
      <c r="F110" s="126" t="s">
        <v>30</v>
      </c>
      <c r="G110" s="305">
        <f>'1461'!G110</f>
        <v>565</v>
      </c>
      <c r="I110" s="101">
        <f>ROUND(G110*E110,2)</f>
        <v>155375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4225300.1400000006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4061293.8300000005</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4061293.8300000005</v>
      </c>
      <c r="I132" s="94">
        <f>ROUND(IF(E30=0,0,IF(E30&gt;250,-(((250/E30)*H132)*IF(G132="H",0.02,0.05)),IF(G132="H",-0.02*H132,-0.05*H132))),2)</f>
        <v>-100000.34</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4125299.8000000007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-361321.52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3763978.2800000007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342179.84000000003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103064.35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v>637300</v>
      </c>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127</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61.16</v>
      </c>
      <c r="D14" s="141">
        <v>60.43</v>
      </c>
      <c r="E14" s="187">
        <f>IF(D$30=0,C14*2,C14+D14)</f>
        <v>121.59</v>
      </c>
      <c r="F14" s="558">
        <f>'1461'!F14:G14</f>
        <v>1.1220000000000001</v>
      </c>
      <c r="G14" s="558"/>
      <c r="H14" s="145">
        <f>ROUND(E14*F14,4)</f>
        <v>136.42400000000001</v>
      </c>
      <c r="I14" s="111">
        <f>ROUND(ROUND(ROUND(H14*$C$8,4)*($H$8),2)*(MAX($H$9,1)),2)</f>
        <v>732174.79</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19</v>
      </c>
      <c r="D15" s="143">
        <v>18</v>
      </c>
      <c r="E15" s="116">
        <f t="shared" ref="E15:E29" si="1">IF(D$30=0,C15*2,C15+D15)</f>
        <v>37</v>
      </c>
      <c r="F15" s="555">
        <f>'1461'!F15:G15</f>
        <v>1.1220000000000001</v>
      </c>
      <c r="G15" s="555"/>
      <c r="H15" s="80">
        <f t="shared" ref="H15:H29" si="2">ROUND(E15*F15,4)</f>
        <v>41.514000000000003</v>
      </c>
      <c r="I15" s="101">
        <f t="shared" ref="I15:I29" si="3">ROUND(ROUND(ROUND(H15*$C$8,4)*($H$8),2)*(MAX($H$9,1)),2)</f>
        <v>222801.74</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28.85</v>
      </c>
      <c r="D16" s="143">
        <v>28.35</v>
      </c>
      <c r="E16" s="116">
        <f t="shared" si="1"/>
        <v>57.2</v>
      </c>
      <c r="F16" s="555">
        <f>'1461'!F16:G16</f>
        <v>1</v>
      </c>
      <c r="G16" s="555"/>
      <c r="H16" s="80">
        <f t="shared" si="2"/>
        <v>57.2</v>
      </c>
      <c r="I16" s="101">
        <f t="shared" si="3"/>
        <v>306987.03000000003</v>
      </c>
      <c r="N16" s="568" t="s">
        <v>22</v>
      </c>
      <c r="O16" s="568"/>
      <c r="P16" s="569">
        <f t="shared" si="0"/>
        <v>0</v>
      </c>
      <c r="Q16" s="569"/>
      <c r="R16" s="570">
        <v>1</v>
      </c>
      <c r="S16" s="570"/>
      <c r="T16" s="95">
        <f t="shared" si="4"/>
        <v>0</v>
      </c>
      <c r="U16" s="475">
        <f t="shared" si="5"/>
        <v>0</v>
      </c>
    </row>
    <row r="17" spans="1:21" x14ac:dyDescent="0.25">
      <c r="A17" s="517" t="s">
        <v>23</v>
      </c>
      <c r="B17" s="517"/>
      <c r="C17" s="143">
        <v>8.5</v>
      </c>
      <c r="D17" s="143">
        <v>9</v>
      </c>
      <c r="E17" s="116">
        <f t="shared" si="1"/>
        <v>17.5</v>
      </c>
      <c r="F17" s="555">
        <f>'1461'!F17:G17</f>
        <v>1</v>
      </c>
      <c r="G17" s="555"/>
      <c r="H17" s="80">
        <f t="shared" si="2"/>
        <v>17.5</v>
      </c>
      <c r="I17" s="101">
        <f t="shared" si="3"/>
        <v>93920.86</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3.84</v>
      </c>
      <c r="D26" s="143">
        <v>4.57</v>
      </c>
      <c r="E26" s="116">
        <f t="shared" si="1"/>
        <v>8.41</v>
      </c>
      <c r="F26" s="555">
        <f>'1461'!F26:G26</f>
        <v>1.208</v>
      </c>
      <c r="G26" s="555"/>
      <c r="H26" s="80">
        <f t="shared" si="2"/>
        <v>10.1593</v>
      </c>
      <c r="I26" s="101">
        <f t="shared" si="3"/>
        <v>54524.01</v>
      </c>
      <c r="N26" s="568" t="s">
        <v>85</v>
      </c>
      <c r="O26" s="568"/>
      <c r="P26" s="569">
        <f t="shared" si="0"/>
        <v>0</v>
      </c>
      <c r="Q26" s="569"/>
      <c r="R26" s="570">
        <v>1</v>
      </c>
      <c r="S26" s="570"/>
      <c r="T26" s="95">
        <f t="shared" si="4"/>
        <v>0</v>
      </c>
      <c r="U26" s="475">
        <f t="shared" si="5"/>
        <v>0</v>
      </c>
    </row>
    <row r="27" spans="1:21" x14ac:dyDescent="0.25">
      <c r="A27" s="517" t="s">
        <v>86</v>
      </c>
      <c r="B27" s="517"/>
      <c r="C27" s="143">
        <v>1.1499999999999999</v>
      </c>
      <c r="D27" s="143">
        <v>1.1499999999999999</v>
      </c>
      <c r="E27" s="116">
        <f t="shared" si="1"/>
        <v>2.2999999999999998</v>
      </c>
      <c r="F27" s="555">
        <f>'1461'!F27:G27</f>
        <v>1.208</v>
      </c>
      <c r="G27" s="555"/>
      <c r="H27" s="80">
        <f t="shared" si="2"/>
        <v>2.7784</v>
      </c>
      <c r="I27" s="101">
        <f t="shared" si="3"/>
        <v>14911.41</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122.5</v>
      </c>
      <c r="D30" s="94">
        <f>SUM(D14:D29)</f>
        <v>121.5</v>
      </c>
      <c r="E30" s="94">
        <f>SUM(E14:E29)</f>
        <v>244.00000000000003</v>
      </c>
      <c r="F30" s="536"/>
      <c r="G30" s="536"/>
      <c r="H30" s="99">
        <f>SUM(H14:H29)</f>
        <v>265.57569999999998</v>
      </c>
      <c r="I30" s="94">
        <f>SUM(I14:I29)</f>
        <v>1425319.84</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265.57569999999998</v>
      </c>
      <c r="F46" s="34"/>
      <c r="G46" s="106"/>
      <c r="H46" s="107" t="s">
        <v>98</v>
      </c>
      <c r="I46" s="94">
        <f>SUM(I44,I30)</f>
        <v>1425319.84</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1425319.84</v>
      </c>
      <c r="G51" s="109" t="s">
        <v>6</v>
      </c>
      <c r="H51" s="403">
        <v>4.5199999999999997E-2</v>
      </c>
      <c r="I51" s="101">
        <f>ROUND(F51*H51,2)</f>
        <v>64424.46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1425319.84</v>
      </c>
      <c r="G52" s="109" t="s">
        <v>6</v>
      </c>
      <c r="H52" s="403">
        <v>1.41E-2</v>
      </c>
      <c r="I52" s="101">
        <f>ROUND(F52*H52,2)</f>
        <v>20097.009999999998</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84521.47</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15.5</v>
      </c>
      <c r="D57" s="143">
        <v>15.49</v>
      </c>
      <c r="E57" s="116">
        <f t="shared" ref="E57:E65" si="10">IF(D$72=0,C57*2,C57+D57)</f>
        <v>30.990000000000002</v>
      </c>
      <c r="F57" s="445" t="s">
        <v>439</v>
      </c>
      <c r="G57" s="445">
        <v>251</v>
      </c>
      <c r="H57" s="459">
        <f>'1461'!H57</f>
        <v>1047</v>
      </c>
      <c r="I57" s="101">
        <f>ROUND(E57*H57,2)</f>
        <v>32446.53</v>
      </c>
      <c r="N57" s="618" t="s">
        <v>447</v>
      </c>
      <c r="O57" s="618"/>
      <c r="P57" s="621"/>
      <c r="Q57" s="621"/>
      <c r="R57" s="451" t="s">
        <v>439</v>
      </c>
      <c r="S57" s="451">
        <v>251</v>
      </c>
      <c r="T57" s="462">
        <f>H57</f>
        <v>1047</v>
      </c>
      <c r="U57" s="476">
        <f>ROUND(P57*T57,2)</f>
        <v>0</v>
      </c>
      <c r="V57" s="426"/>
    </row>
    <row r="58" spans="1:22" x14ac:dyDescent="0.25">
      <c r="A58" s="533"/>
      <c r="B58" s="533"/>
      <c r="C58" s="143">
        <v>3.5</v>
      </c>
      <c r="D58" s="143">
        <v>2.5099999999999998</v>
      </c>
      <c r="E58" s="116">
        <f t="shared" si="10"/>
        <v>6.01</v>
      </c>
      <c r="F58" s="445" t="s">
        <v>439</v>
      </c>
      <c r="G58" s="445">
        <v>252</v>
      </c>
      <c r="H58" s="459">
        <f>'1461'!H58</f>
        <v>3380</v>
      </c>
      <c r="I58" s="101">
        <f t="shared" ref="I58:I65" si="11">ROUND(E58*H58,2)</f>
        <v>20313.8</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7.5</v>
      </c>
      <c r="D60" s="143">
        <v>8</v>
      </c>
      <c r="E60" s="116">
        <f t="shared" si="10"/>
        <v>15.5</v>
      </c>
      <c r="F60" s="446" t="s">
        <v>13</v>
      </c>
      <c r="G60" s="445">
        <v>251</v>
      </c>
      <c r="H60" s="459">
        <f>'1461'!H60</f>
        <v>1173</v>
      </c>
      <c r="I60" s="101">
        <f t="shared" si="11"/>
        <v>18181.5</v>
      </c>
      <c r="N60" s="619"/>
      <c r="O60" s="619"/>
      <c r="P60" s="622"/>
      <c r="Q60" s="622"/>
      <c r="R60" s="40" t="s">
        <v>13</v>
      </c>
      <c r="S60" s="451">
        <v>251</v>
      </c>
      <c r="T60" s="462">
        <f t="shared" si="12"/>
        <v>1173</v>
      </c>
      <c r="U60" s="476">
        <f t="shared" si="13"/>
        <v>0</v>
      </c>
      <c r="V60" s="426"/>
    </row>
    <row r="61" spans="1:22" x14ac:dyDescent="0.25">
      <c r="A61" s="533"/>
      <c r="B61" s="533"/>
      <c r="C61" s="143">
        <v>0.5</v>
      </c>
      <c r="D61" s="143">
        <v>0.5</v>
      </c>
      <c r="E61" s="116">
        <f t="shared" si="10"/>
        <v>1</v>
      </c>
      <c r="F61" s="446" t="s">
        <v>13</v>
      </c>
      <c r="G61" s="445">
        <v>252</v>
      </c>
      <c r="H61" s="459">
        <f>'1461'!H61</f>
        <v>3506</v>
      </c>
      <c r="I61" s="101">
        <f t="shared" si="11"/>
        <v>3506</v>
      </c>
      <c r="N61" s="619"/>
      <c r="O61" s="619"/>
      <c r="P61" s="622"/>
      <c r="Q61" s="622"/>
      <c r="R61" s="40" t="s">
        <v>13</v>
      </c>
      <c r="S61" s="451">
        <v>252</v>
      </c>
      <c r="T61" s="462">
        <f t="shared" si="12"/>
        <v>3506</v>
      </c>
      <c r="U61" s="476">
        <f t="shared" si="13"/>
        <v>0</v>
      </c>
      <c r="V61" s="426"/>
    </row>
    <row r="62" spans="1:22" x14ac:dyDescent="0.25">
      <c r="A62" s="533"/>
      <c r="B62" s="533"/>
      <c r="C62" s="143">
        <v>0.5</v>
      </c>
      <c r="D62" s="143">
        <v>0.5</v>
      </c>
      <c r="E62" s="116">
        <f t="shared" si="10"/>
        <v>1</v>
      </c>
      <c r="F62" s="446" t="s">
        <v>13</v>
      </c>
      <c r="G62" s="445">
        <v>253</v>
      </c>
      <c r="H62" s="459">
        <f>'1461'!H62</f>
        <v>7023</v>
      </c>
      <c r="I62" s="101">
        <f t="shared" si="11"/>
        <v>7023</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27.5</v>
      </c>
      <c r="D66" s="97">
        <f>SUM(D57:D65)</f>
        <v>27</v>
      </c>
      <c r="E66" s="97">
        <f>SUM(E57:E65)</f>
        <v>54.5</v>
      </c>
      <c r="F66" s="520" t="s">
        <v>448</v>
      </c>
      <c r="G66" s="520"/>
      <c r="H66" s="520"/>
      <c r="I66" s="97">
        <f>SUM(I57:I65)</f>
        <v>81470.83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244.00000000000003</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1.1999999999999999E-3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265.57569999999998</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1.1670000000000001E-3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244.00000000000003</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1.305E-3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244.00000000000003</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1.201E-3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244.00000000000003</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1.307E-3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1.201E-3</v>
      </c>
      <c r="I85" s="101">
        <f>ROUND(F85*H85,2)</f>
        <v>53643.31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1.1999999999999999E-3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1.307E-3</v>
      </c>
      <c r="I90" s="101">
        <f>ROUND(F90*H90,2)</f>
        <v>21130.34</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1.305E-3</v>
      </c>
      <c r="I92" s="101">
        <f t="shared" ref="I92:I96" si="14">ROUND(F92*H92,2)</f>
        <v>13102.33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1.1670000000000001E-3</v>
      </c>
      <c r="I94" s="101">
        <f t="shared" si="14"/>
        <v>278910.28999999998</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1.1670000000000001E-3</v>
      </c>
      <c r="I96" s="101">
        <f t="shared" si="14"/>
        <v>-1867.25</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188.09730000000002</v>
      </c>
      <c r="D101" s="515"/>
      <c r="E101" s="46">
        <f>H8</f>
        <v>1.0442</v>
      </c>
      <c r="F101" s="304">
        <f>'1461'!F101</f>
        <v>947.59</v>
      </c>
      <c r="G101" s="39" t="s">
        <v>12</v>
      </c>
      <c r="H101" s="101">
        <f>ROUND(C101*E101*F101,2)</f>
        <v>186117.29</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77.478400000000008</v>
      </c>
      <c r="D102" s="515"/>
      <c r="E102" s="46">
        <f>H8</f>
        <v>1.0442</v>
      </c>
      <c r="F102" s="304">
        <f>'1461'!F102</f>
        <v>904.74</v>
      </c>
      <c r="G102" s="39" t="s">
        <v>12</v>
      </c>
      <c r="H102" s="101">
        <f>ROUND(C102*E102*F102,2)</f>
        <v>73196.13</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265.57570000000004</v>
      </c>
      <c r="D104" s="528"/>
      <c r="E104" s="123"/>
      <c r="F104" s="123"/>
      <c r="G104" s="123"/>
      <c r="H104" s="124" t="s">
        <v>100</v>
      </c>
      <c r="I104" s="101">
        <f>IF(A1=75,0,H103+H102+H101)</f>
        <v>259313.42</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0</v>
      </c>
      <c r="E110" s="116">
        <f>(C110+D110)/2</f>
        <v>0</v>
      </c>
      <c r="F110" s="126" t="s">
        <v>30</v>
      </c>
      <c r="G110" s="305">
        <f>'1461'!G110</f>
        <v>565</v>
      </c>
      <c r="I110" s="101">
        <f>ROUND(G110*E110,2)</f>
        <v>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2131023.1100000003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2046501.6400000004</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80" t="s">
        <v>241</v>
      </c>
      <c r="H132" s="139">
        <f>IF(H130=1,I130,I127)</f>
        <v>2046501.6400000004</v>
      </c>
      <c r="I132" s="94">
        <f>ROUND(IF(E30=0,0,IF(E30&gt;250,-(((250/E30)*H132)*IF(G132="H",0.02,0.05)),IF(G132="H",-0.02*H132,-0.05*H132))),2)</f>
        <v>-40930.03</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2090093.0800000003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-182821.5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1907271.5800000003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173388.33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128</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57.3</v>
      </c>
      <c r="D14" s="141">
        <v>57.85</v>
      </c>
      <c r="E14" s="187">
        <f>IF(D$30=0,C14*2,C14+D14)</f>
        <v>115.15</v>
      </c>
      <c r="F14" s="558">
        <f>'1461'!F14:G14</f>
        <v>1.1220000000000001</v>
      </c>
      <c r="G14" s="558"/>
      <c r="H14" s="145">
        <f>ROUND(E14*F14,4)</f>
        <v>129.19829999999999</v>
      </c>
      <c r="I14" s="111">
        <f>ROUND(ROUND(ROUND(H14*$C$8,4)*($H$8),2)*(MAX($H$9,1)),2)</f>
        <v>693395.14</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4.5</v>
      </c>
      <c r="D15" s="143">
        <v>4.5</v>
      </c>
      <c r="E15" s="116">
        <f t="shared" ref="E15:E29" si="1">IF(D$30=0,C15*2,C15+D15)</f>
        <v>9</v>
      </c>
      <c r="F15" s="555">
        <f>'1461'!F15:G15</f>
        <v>1.1220000000000001</v>
      </c>
      <c r="G15" s="555"/>
      <c r="H15" s="80">
        <f t="shared" ref="H15:H29" si="2">ROUND(E15*F15,4)</f>
        <v>10.098000000000001</v>
      </c>
      <c r="I15" s="101">
        <f t="shared" ref="I15:I29" si="3">ROUND(ROUND(ROUND(H15*$C$8,4)*($H$8),2)*(MAX($H$9,1)),2)</f>
        <v>54195.02</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86.32</v>
      </c>
      <c r="D16" s="143">
        <v>87.01</v>
      </c>
      <c r="E16" s="116">
        <f t="shared" si="1"/>
        <v>173.32999999999998</v>
      </c>
      <c r="F16" s="555">
        <f>'1461'!F16:G16</f>
        <v>1</v>
      </c>
      <c r="G16" s="555"/>
      <c r="H16" s="80">
        <f t="shared" si="2"/>
        <v>173.33</v>
      </c>
      <c r="I16" s="101">
        <f t="shared" si="3"/>
        <v>930245.83</v>
      </c>
      <c r="N16" s="568" t="s">
        <v>22</v>
      </c>
      <c r="O16" s="568"/>
      <c r="P16" s="569">
        <f t="shared" si="0"/>
        <v>0</v>
      </c>
      <c r="Q16" s="569"/>
      <c r="R16" s="570">
        <v>1</v>
      </c>
      <c r="S16" s="570"/>
      <c r="T16" s="95">
        <f t="shared" si="4"/>
        <v>0</v>
      </c>
      <c r="U16" s="475">
        <f t="shared" si="5"/>
        <v>0</v>
      </c>
    </row>
    <row r="17" spans="1:21" x14ac:dyDescent="0.25">
      <c r="A17" s="517" t="s">
        <v>23</v>
      </c>
      <c r="B17" s="517"/>
      <c r="C17" s="143">
        <v>13.44</v>
      </c>
      <c r="D17" s="143">
        <v>13.68</v>
      </c>
      <c r="E17" s="116">
        <f t="shared" si="1"/>
        <v>27.119999999999997</v>
      </c>
      <c r="F17" s="555">
        <f>'1461'!F17:G17</f>
        <v>1</v>
      </c>
      <c r="G17" s="555"/>
      <c r="H17" s="80">
        <f t="shared" si="2"/>
        <v>27.12</v>
      </c>
      <c r="I17" s="101">
        <f t="shared" si="3"/>
        <v>145550.49</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6.7</v>
      </c>
      <c r="D26" s="143">
        <v>6.7</v>
      </c>
      <c r="E26" s="116">
        <f t="shared" si="1"/>
        <v>13.4</v>
      </c>
      <c r="F26" s="555">
        <f>'1461'!F26:G26</f>
        <v>1.208</v>
      </c>
      <c r="G26" s="555"/>
      <c r="H26" s="80">
        <f t="shared" si="2"/>
        <v>16.187200000000001</v>
      </c>
      <c r="I26" s="101">
        <f t="shared" si="3"/>
        <v>86875.18</v>
      </c>
      <c r="N26" s="568" t="s">
        <v>85</v>
      </c>
      <c r="O26" s="568"/>
      <c r="P26" s="569">
        <f t="shared" si="0"/>
        <v>0</v>
      </c>
      <c r="Q26" s="569"/>
      <c r="R26" s="570">
        <v>1</v>
      </c>
      <c r="S26" s="570"/>
      <c r="T26" s="95">
        <f t="shared" si="4"/>
        <v>0</v>
      </c>
      <c r="U26" s="475">
        <f t="shared" si="5"/>
        <v>0</v>
      </c>
    </row>
    <row r="27" spans="1:21" x14ac:dyDescent="0.25">
      <c r="A27" s="517" t="s">
        <v>86</v>
      </c>
      <c r="B27" s="517"/>
      <c r="C27" s="143">
        <v>3.21</v>
      </c>
      <c r="D27" s="143">
        <v>3.21</v>
      </c>
      <c r="E27" s="116">
        <f t="shared" si="1"/>
        <v>6.42</v>
      </c>
      <c r="F27" s="555">
        <f>'1461'!F27:G27</f>
        <v>1.208</v>
      </c>
      <c r="G27" s="555"/>
      <c r="H27" s="80">
        <f t="shared" si="2"/>
        <v>7.7553999999999998</v>
      </c>
      <c r="I27" s="101">
        <f t="shared" si="3"/>
        <v>41622.5</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171.47</v>
      </c>
      <c r="D30" s="94">
        <f>SUM(D14:D29)</f>
        <v>172.95000000000002</v>
      </c>
      <c r="E30" s="94">
        <f>SUM(E14:E29)</f>
        <v>344.42</v>
      </c>
      <c r="F30" s="536"/>
      <c r="G30" s="536"/>
      <c r="H30" s="99">
        <f>SUM(H14:H29)</f>
        <v>363.68890000000005</v>
      </c>
      <c r="I30" s="94">
        <f>SUM(I14:I29)</f>
        <v>1951884.16</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363.68890000000005</v>
      </c>
      <c r="F46" s="34"/>
      <c r="G46" s="106"/>
      <c r="H46" s="107" t="s">
        <v>98</v>
      </c>
      <c r="I46" s="94">
        <f>SUM(I44,I30)</f>
        <v>1951884.16</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1951884.16</v>
      </c>
      <c r="G51" s="109" t="s">
        <v>6</v>
      </c>
      <c r="H51" s="403">
        <v>4.5199999999999997E-2</v>
      </c>
      <c r="I51" s="101">
        <f>ROUND(F51*H51,2)</f>
        <v>88225.16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1951884.16</v>
      </c>
      <c r="G52" s="109" t="s">
        <v>6</v>
      </c>
      <c r="H52" s="403">
        <v>1.41E-2</v>
      </c>
      <c r="I52" s="101">
        <f>ROUND(F52*H52,2)</f>
        <v>27521.57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115746.73000000001</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3</v>
      </c>
      <c r="D57" s="143">
        <v>3.58</v>
      </c>
      <c r="E57" s="116">
        <f t="shared" ref="E57:E65" si="10">IF(D$72=0,C57*2,C57+D57)</f>
        <v>6.58</v>
      </c>
      <c r="F57" s="445" t="s">
        <v>439</v>
      </c>
      <c r="G57" s="445">
        <v>251</v>
      </c>
      <c r="H57" s="459">
        <f>'1461'!H57</f>
        <v>1047</v>
      </c>
      <c r="I57" s="101">
        <f>ROUND(E57*H57,2)</f>
        <v>6889.26</v>
      </c>
      <c r="N57" s="618" t="s">
        <v>447</v>
      </c>
      <c r="O57" s="618"/>
      <c r="P57" s="621"/>
      <c r="Q57" s="621"/>
      <c r="R57" s="451" t="s">
        <v>439</v>
      </c>
      <c r="S57" s="451">
        <v>251</v>
      </c>
      <c r="T57" s="462">
        <f>H57</f>
        <v>1047</v>
      </c>
      <c r="U57" s="476">
        <f>ROUND(P57*T57,2)</f>
        <v>0</v>
      </c>
      <c r="V57" s="426"/>
    </row>
    <row r="58" spans="1:22" x14ac:dyDescent="0.25">
      <c r="A58" s="533"/>
      <c r="B58" s="533"/>
      <c r="C58" s="143">
        <v>1.5</v>
      </c>
      <c r="D58" s="143">
        <v>0.92</v>
      </c>
      <c r="E58" s="116">
        <f t="shared" si="10"/>
        <v>2.42</v>
      </c>
      <c r="F58" s="445" t="s">
        <v>439</v>
      </c>
      <c r="G58" s="445">
        <v>252</v>
      </c>
      <c r="H58" s="459">
        <f>'1461'!H58</f>
        <v>3380</v>
      </c>
      <c r="I58" s="101">
        <f t="shared" ref="I58:I65" si="11">ROUND(E58*H58,2)</f>
        <v>8179.6</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12.94</v>
      </c>
      <c r="D60" s="143">
        <v>13.27</v>
      </c>
      <c r="E60" s="116">
        <f t="shared" si="10"/>
        <v>26.21</v>
      </c>
      <c r="F60" s="446" t="s">
        <v>13</v>
      </c>
      <c r="G60" s="445">
        <v>251</v>
      </c>
      <c r="H60" s="459">
        <f>'1461'!H60</f>
        <v>1173</v>
      </c>
      <c r="I60" s="101">
        <f t="shared" si="11"/>
        <v>30744.33</v>
      </c>
      <c r="N60" s="619"/>
      <c r="O60" s="619"/>
      <c r="P60" s="622"/>
      <c r="Q60" s="622"/>
      <c r="R60" s="40" t="s">
        <v>13</v>
      </c>
      <c r="S60" s="451">
        <v>251</v>
      </c>
      <c r="T60" s="462">
        <f t="shared" si="12"/>
        <v>1173</v>
      </c>
      <c r="U60" s="476">
        <f t="shared" si="13"/>
        <v>0</v>
      </c>
      <c r="V60" s="426"/>
    </row>
    <row r="61" spans="1:22" x14ac:dyDescent="0.25">
      <c r="A61" s="533"/>
      <c r="B61" s="533"/>
      <c r="C61" s="143">
        <v>0.5</v>
      </c>
      <c r="D61" s="143">
        <v>0.41</v>
      </c>
      <c r="E61" s="116">
        <f t="shared" si="10"/>
        <v>0.90999999999999992</v>
      </c>
      <c r="F61" s="446" t="s">
        <v>13</v>
      </c>
      <c r="G61" s="445">
        <v>252</v>
      </c>
      <c r="H61" s="459">
        <f>'1461'!H61</f>
        <v>3506</v>
      </c>
      <c r="I61" s="101">
        <f t="shared" si="11"/>
        <v>3190.46</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17.939999999999998</v>
      </c>
      <c r="D66" s="97">
        <f>SUM(D57:D65)</f>
        <v>18.18</v>
      </c>
      <c r="E66" s="97">
        <f>SUM(E57:E65)</f>
        <v>36.119999999999997</v>
      </c>
      <c r="F66" s="520" t="s">
        <v>448</v>
      </c>
      <c r="G66" s="520"/>
      <c r="H66" s="520"/>
      <c r="I66" s="97">
        <f>SUM(I57:I65)</f>
        <v>49003.65</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344.42</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1.694E-3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363.68890000000005</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1.598E-3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344.42</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1.843E-3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344.42</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1.696E-3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344.42</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1.8450000000000001E-3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1.696E-3</v>
      </c>
      <c r="I85" s="101">
        <f>ROUND(F85*H85,2)</f>
        <v>75752.75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1.694E-3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1.8450000000000001E-3</v>
      </c>
      <c r="I90" s="101">
        <f>ROUND(F90*H90,2)</f>
        <v>29828.21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1.843E-3</v>
      </c>
      <c r="I92" s="101">
        <f t="shared" ref="I92:I96" si="14">ROUND(F92*H92,2)</f>
        <v>18503.900000000001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1.598E-3</v>
      </c>
      <c r="I94" s="101">
        <f t="shared" si="14"/>
        <v>381918.28</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1.598E-3</v>
      </c>
      <c r="I96" s="101">
        <f t="shared" si="14"/>
        <v>-2556.88</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155.48349999999999</v>
      </c>
      <c r="D101" s="515"/>
      <c r="E101" s="46">
        <f>H8</f>
        <v>1.0442</v>
      </c>
      <c r="F101" s="304">
        <f>'1461'!F101</f>
        <v>947.59</v>
      </c>
      <c r="G101" s="39" t="s">
        <v>12</v>
      </c>
      <c r="H101" s="101">
        <f>ROUND(C101*E101*F101,2)</f>
        <v>153846.79999999999</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208.20540000000003</v>
      </c>
      <c r="D102" s="515"/>
      <c r="E102" s="46">
        <f>H8</f>
        <v>1.0442</v>
      </c>
      <c r="F102" s="304">
        <f>'1461'!F102</f>
        <v>904.74</v>
      </c>
      <c r="G102" s="39" t="s">
        <v>12</v>
      </c>
      <c r="H102" s="101">
        <f>ROUND(C102*E102*F102,2)</f>
        <v>196697.79</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363.68889999999999</v>
      </c>
      <c r="D104" s="528"/>
      <c r="E104" s="123"/>
      <c r="F104" s="123"/>
      <c r="G104" s="123"/>
      <c r="H104" s="124" t="s">
        <v>100</v>
      </c>
      <c r="I104" s="101">
        <f>IF(A1=75,0,H103+H102+H101)</f>
        <v>350544.58999999997</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2</v>
      </c>
      <c r="D110" s="143">
        <v>0</v>
      </c>
      <c r="E110" s="116">
        <f>(C110+D110)/2</f>
        <v>1</v>
      </c>
      <c r="F110" s="126" t="s">
        <v>30</v>
      </c>
      <c r="G110" s="305">
        <f>'1461'!G110</f>
        <v>565</v>
      </c>
      <c r="I110" s="101">
        <f>ROUND(G110*E110,2)</f>
        <v>565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2855443.66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2739696.93</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2739696.93</v>
      </c>
      <c r="I132" s="94">
        <f>ROUND(IF(E30=0,0,IF(E30&gt;250,-(((250/E30)*H132)*IF(G132="H",0.02,0.05)),IF(G132="H",-0.02*H132,-0.05*H132))),2)</f>
        <v>-39772.620000000003</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2815671.04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-245513.56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2570157.48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233650.68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15021.32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164"/>
  <sheetViews>
    <sheetView showGridLines="0" zoomScaleNormal="100" workbookViewId="0">
      <selection activeCell="J85" sqref="J85"/>
    </sheetView>
  </sheetViews>
  <sheetFormatPr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6384" width="9.140625" style="3"/>
  </cols>
  <sheetData>
    <row r="1" spans="1:9" ht="16.5" thickBot="1" x14ac:dyDescent="0.3">
      <c r="A1" s="82"/>
      <c r="B1" s="540" t="s">
        <v>15</v>
      </c>
      <c r="C1" s="541"/>
      <c r="D1" s="541"/>
      <c r="E1" s="541"/>
      <c r="F1" s="541"/>
      <c r="G1" s="541"/>
      <c r="H1" s="541"/>
      <c r="I1" s="541"/>
    </row>
    <row r="2" spans="1:9" ht="21" x14ac:dyDescent="0.35">
      <c r="A2" s="1" t="s">
        <v>255</v>
      </c>
      <c r="B2" s="2"/>
      <c r="C2" s="2"/>
      <c r="D2" s="2"/>
      <c r="E2" s="2"/>
      <c r="F2" s="2"/>
      <c r="G2" s="2"/>
      <c r="H2" s="2"/>
      <c r="I2" s="2"/>
    </row>
    <row r="3" spans="1:9" x14ac:dyDescent="0.25">
      <c r="A3" s="81" t="str">
        <f>'1461'!A3</f>
        <v>Based on the FLDOE 2023-24 FEFP Second Calculation</v>
      </c>
    </row>
    <row r="4" spans="1:9" x14ac:dyDescent="0.25">
      <c r="A4" s="542" t="s">
        <v>0</v>
      </c>
      <c r="B4" s="542"/>
      <c r="C4" s="543" t="s">
        <v>9</v>
      </c>
      <c r="D4" s="543"/>
      <c r="E4" s="543"/>
      <c r="F4" s="4" t="str">
        <f>'1461'!F4</f>
        <v>Aug 2023</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44" t="str">
        <f>'1461'!A7:I7</f>
        <v>1A.   2023-24 FEFP State and Local Funding</v>
      </c>
      <c r="B7" s="544"/>
      <c r="C7" s="544"/>
      <c r="D7" s="544"/>
      <c r="E7" s="544"/>
      <c r="F7" s="544"/>
      <c r="G7" s="544"/>
      <c r="H7" s="544"/>
      <c r="I7" s="544"/>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390</v>
      </c>
      <c r="H9" s="223">
        <f>'1461'!H9</f>
        <v>1</v>
      </c>
      <c r="I9" s="75"/>
    </row>
    <row r="10" spans="1:9" x14ac:dyDescent="0.25">
      <c r="A10" s="7"/>
      <c r="B10" s="7"/>
      <c r="C10" s="8"/>
      <c r="D10" s="8"/>
      <c r="E10" s="8"/>
      <c r="F10" s="9"/>
      <c r="G10" s="9"/>
      <c r="H10" s="10"/>
      <c r="I10" s="368" t="str">
        <f>'1461'!I10</f>
        <v>2023-24</v>
      </c>
    </row>
    <row r="11" spans="1:9" x14ac:dyDescent="0.25">
      <c r="A11" s="7"/>
      <c r="B11" s="7"/>
      <c r="C11" s="88" t="str">
        <f>'1461'!C11</f>
        <v>Oct 2022</v>
      </c>
      <c r="D11" s="88" t="str">
        <f>'1461'!D11</f>
        <v>Feb 2023</v>
      </c>
      <c r="E11" s="89" t="s">
        <v>8</v>
      </c>
      <c r="F11" s="545" t="s">
        <v>1</v>
      </c>
      <c r="G11" s="545"/>
      <c r="H11" s="10" t="s">
        <v>60</v>
      </c>
      <c r="I11" s="11" t="s">
        <v>27</v>
      </c>
    </row>
    <row r="12" spans="1:9" x14ac:dyDescent="0.25">
      <c r="A12" s="537" t="s">
        <v>1</v>
      </c>
      <c r="B12" s="537"/>
      <c r="C12" s="437" t="str">
        <f>'1461'!C12</f>
        <v>FTE</v>
      </c>
      <c r="D12" s="437" t="str">
        <f>'1461'!D12</f>
        <v>FTE</v>
      </c>
      <c r="E12" s="90" t="s">
        <v>2</v>
      </c>
      <c r="F12" s="546" t="s">
        <v>63</v>
      </c>
      <c r="G12" s="546"/>
      <c r="H12" s="17" t="s">
        <v>59</v>
      </c>
      <c r="I12" s="390" t="s">
        <v>394</v>
      </c>
    </row>
    <row r="13" spans="1:9" x14ac:dyDescent="0.25">
      <c r="A13" s="547" t="s">
        <v>36</v>
      </c>
      <c r="B13" s="547"/>
      <c r="C13" s="91"/>
      <c r="D13" s="91"/>
      <c r="E13" s="92" t="s">
        <v>37</v>
      </c>
      <c r="F13" s="548" t="s">
        <v>38</v>
      </c>
      <c r="G13" s="548"/>
      <c r="H13" s="20" t="s">
        <v>39</v>
      </c>
      <c r="I13" s="21" t="s">
        <v>40</v>
      </c>
    </row>
    <row r="14" spans="1:9" x14ac:dyDescent="0.25">
      <c r="A14" s="538" t="s">
        <v>20</v>
      </c>
      <c r="B14" s="538"/>
      <c r="C14" s="141">
        <f>SUM('1461:4131'!C14)</f>
        <v>2394.08</v>
      </c>
      <c r="D14" s="141">
        <f>SUM('1461:4131'!D14)</f>
        <v>2339.17</v>
      </c>
      <c r="E14" s="187">
        <f>SUM('1461:4131'!E14)</f>
        <v>4733.25</v>
      </c>
      <c r="F14" s="539">
        <f>'1461'!F14:G14</f>
        <v>1.1220000000000001</v>
      </c>
      <c r="G14" s="539"/>
      <c r="H14" s="145">
        <f>SUM('1461:4131'!H14)</f>
        <v>5310.7066999999997</v>
      </c>
      <c r="I14" s="111">
        <f>SUM('1461:4131'!I14)</f>
        <v>28502063.990000002</v>
      </c>
    </row>
    <row r="15" spans="1:9" x14ac:dyDescent="0.25">
      <c r="A15" s="517" t="s">
        <v>21</v>
      </c>
      <c r="B15" s="517"/>
      <c r="C15" s="143">
        <f>SUM('1461:4131'!C15)</f>
        <v>289.08000000000004</v>
      </c>
      <c r="D15" s="143">
        <f>SUM('1461:4131'!D15)</f>
        <v>307.03999999999996</v>
      </c>
      <c r="E15" s="116">
        <f>SUM('1461:4131'!E15)</f>
        <v>596.12000000000012</v>
      </c>
      <c r="F15" s="534">
        <f>'1461'!F15:G15</f>
        <v>1.1220000000000001</v>
      </c>
      <c r="G15" s="534"/>
      <c r="H15" s="80">
        <f>SUM('1461:4131'!H15)</f>
        <v>668.84660000000019</v>
      </c>
      <c r="I15" s="101">
        <f>SUM('1461:4131'!I15)</f>
        <v>3589636.8800000008</v>
      </c>
    </row>
    <row r="16" spans="1:9" x14ac:dyDescent="0.25">
      <c r="A16" s="517" t="s">
        <v>22</v>
      </c>
      <c r="B16" s="517"/>
      <c r="C16" s="143">
        <f>SUM('1461:4131'!C16)</f>
        <v>3555.68</v>
      </c>
      <c r="D16" s="143">
        <f>SUM('1461:4131'!D16)</f>
        <v>3527.33</v>
      </c>
      <c r="E16" s="116">
        <f>SUM('1461:4131'!E16)</f>
        <v>7083.0099999999993</v>
      </c>
      <c r="F16" s="534">
        <f>'1461'!F16:G16</f>
        <v>1</v>
      </c>
      <c r="G16" s="534"/>
      <c r="H16" s="80">
        <f>SUM('1461:4131'!H16)</f>
        <v>7083.0099999999993</v>
      </c>
      <c r="I16" s="101">
        <f>SUM('1461:4131'!I16)</f>
        <v>38013849.320000008</v>
      </c>
    </row>
    <row r="17" spans="1:9" x14ac:dyDescent="0.25">
      <c r="A17" s="517" t="s">
        <v>23</v>
      </c>
      <c r="B17" s="517"/>
      <c r="C17" s="143">
        <f>SUM('1461:4131'!C17)</f>
        <v>643.02000000000021</v>
      </c>
      <c r="D17" s="143">
        <f>SUM('1461:4131'!D17)</f>
        <v>621.14</v>
      </c>
      <c r="E17" s="116">
        <f>SUM('1461:4131'!E17)</f>
        <v>1264.1600000000001</v>
      </c>
      <c r="F17" s="534">
        <f>'1461'!F17:G17</f>
        <v>1</v>
      </c>
      <c r="G17" s="534"/>
      <c r="H17" s="80">
        <f>SUM('1461:4131'!H17)</f>
        <v>1264.1600000000001</v>
      </c>
      <c r="I17" s="101">
        <f>SUM('1461:4131'!I17)</f>
        <v>6784627.9900000002</v>
      </c>
    </row>
    <row r="18" spans="1:9" x14ac:dyDescent="0.25">
      <c r="A18" s="517" t="s">
        <v>24</v>
      </c>
      <c r="B18" s="517"/>
      <c r="C18" s="143">
        <f>SUM('1461:4131'!C18)</f>
        <v>2235.31</v>
      </c>
      <c r="D18" s="143">
        <f>SUM('1461:4131'!D18)</f>
        <v>2253.23</v>
      </c>
      <c r="E18" s="116">
        <f>SUM('1461:4131'!E18)</f>
        <v>4488.5400000000018</v>
      </c>
      <c r="F18" s="534">
        <f>'1461'!F18:G18</f>
        <v>0.98799999999999999</v>
      </c>
      <c r="G18" s="534"/>
      <c r="H18" s="80">
        <f>SUM('1461:4131'!H18)</f>
        <v>4434.6775000000007</v>
      </c>
      <c r="I18" s="101">
        <f>SUM('1461:4131'!I18)</f>
        <v>23800497.589999992</v>
      </c>
    </row>
    <row r="19" spans="1:9" x14ac:dyDescent="0.25">
      <c r="A19" s="517" t="s">
        <v>25</v>
      </c>
      <c r="B19" s="517"/>
      <c r="C19" s="143">
        <f>SUM('1461:4131'!C19)</f>
        <v>550.70000000000005</v>
      </c>
      <c r="D19" s="143">
        <f>SUM('1461:4131'!D19)</f>
        <v>574.3599999999999</v>
      </c>
      <c r="E19" s="116">
        <f>SUM('1461:4131'!E19)</f>
        <v>1125.06</v>
      </c>
      <c r="F19" s="534">
        <f>'1461'!F19:G19</f>
        <v>0.98799999999999999</v>
      </c>
      <c r="G19" s="534"/>
      <c r="H19" s="80">
        <f>SUM('1461:4131'!H19)</f>
        <v>1111.5593000000001</v>
      </c>
      <c r="I19" s="101">
        <f>SUM('1461:4131'!I19)</f>
        <v>5965634.3200000003</v>
      </c>
    </row>
    <row r="20" spans="1:9" x14ac:dyDescent="0.25">
      <c r="A20" s="517" t="s">
        <v>79</v>
      </c>
      <c r="B20" s="517"/>
      <c r="C20" s="143">
        <f>SUM('1461:4131'!C20)</f>
        <v>88</v>
      </c>
      <c r="D20" s="143">
        <f>SUM('1461:4131'!D20)</f>
        <v>88.52</v>
      </c>
      <c r="E20" s="116">
        <f>SUM('1461:4131'!E20)</f>
        <v>176.51999999999998</v>
      </c>
      <c r="F20" s="534">
        <f>'1461'!F20:G20</f>
        <v>3.706</v>
      </c>
      <c r="G20" s="534"/>
      <c r="H20" s="80">
        <f>SUM('1461:4131'!H20)</f>
        <v>654.18309999999997</v>
      </c>
      <c r="I20" s="101">
        <f>SUM('1461:4131'!I20)</f>
        <v>3510939.25</v>
      </c>
    </row>
    <row r="21" spans="1:9" x14ac:dyDescent="0.25">
      <c r="A21" s="517" t="s">
        <v>80</v>
      </c>
      <c r="B21" s="517"/>
      <c r="C21" s="143">
        <f>SUM('1461:4131'!C21)</f>
        <v>72.5</v>
      </c>
      <c r="D21" s="143">
        <f>SUM('1461:4131'!D21)</f>
        <v>73</v>
      </c>
      <c r="E21" s="116">
        <f>SUM('1461:4131'!E21)</f>
        <v>145.5</v>
      </c>
      <c r="F21" s="534">
        <f>'1461'!F21:G21</f>
        <v>3.706</v>
      </c>
      <c r="G21" s="534"/>
      <c r="H21" s="80">
        <f>SUM('1461:4131'!H21)</f>
        <v>539.22299999999996</v>
      </c>
      <c r="I21" s="101">
        <f>SUM('1461:4131'!I21)</f>
        <v>2893959.19</v>
      </c>
    </row>
    <row r="22" spans="1:9" x14ac:dyDescent="0.25">
      <c r="A22" s="517" t="s">
        <v>81</v>
      </c>
      <c r="B22" s="517"/>
      <c r="C22" s="143">
        <f>SUM('1461:4131'!C22)</f>
        <v>67.94</v>
      </c>
      <c r="D22" s="143">
        <f>SUM('1461:4131'!D22)</f>
        <v>64.25</v>
      </c>
      <c r="E22" s="116">
        <f>SUM('1461:4131'!E22)</f>
        <v>132.19</v>
      </c>
      <c r="F22" s="534">
        <f>'1461'!F22:G22</f>
        <v>3.706</v>
      </c>
      <c r="G22" s="534"/>
      <c r="H22" s="80">
        <f>SUM('1461:4131'!H22)</f>
        <v>489.89620000000002</v>
      </c>
      <c r="I22" s="101">
        <f>SUM('1461:4131'!I22)</f>
        <v>2629226.89</v>
      </c>
    </row>
    <row r="23" spans="1:9" x14ac:dyDescent="0.25">
      <c r="A23" s="517" t="s">
        <v>82</v>
      </c>
      <c r="B23" s="517"/>
      <c r="C23" s="143">
        <f>SUM('1461:4131'!C23)</f>
        <v>28.5</v>
      </c>
      <c r="D23" s="143">
        <f>SUM('1461:4131'!D23)</f>
        <v>30</v>
      </c>
      <c r="E23" s="116">
        <f>SUM('1461:4131'!E23)</f>
        <v>58.5</v>
      </c>
      <c r="F23" s="534">
        <f>'1461'!F23:G23</f>
        <v>5.7069999999999999</v>
      </c>
      <c r="G23" s="534"/>
      <c r="H23" s="80">
        <f>SUM('1461:4131'!H23)</f>
        <v>333.85950000000003</v>
      </c>
      <c r="I23" s="101">
        <f>SUM('1461:4131'!I23)</f>
        <v>1791792.5699999998</v>
      </c>
    </row>
    <row r="24" spans="1:9" x14ac:dyDescent="0.25">
      <c r="A24" s="517" t="s">
        <v>83</v>
      </c>
      <c r="B24" s="517"/>
      <c r="C24" s="143">
        <f>SUM('1461:4131'!C24)</f>
        <v>48</v>
      </c>
      <c r="D24" s="143">
        <f>SUM('1461:4131'!D24)</f>
        <v>45</v>
      </c>
      <c r="E24" s="116">
        <f>SUM('1461:4131'!E24)</f>
        <v>93</v>
      </c>
      <c r="F24" s="534">
        <f>'1461'!F24:G24</f>
        <v>5.7069999999999999</v>
      </c>
      <c r="G24" s="534"/>
      <c r="H24" s="80">
        <f>SUM('1461:4131'!H24)</f>
        <v>530.75099999999998</v>
      </c>
      <c r="I24" s="101">
        <f>SUM('1461:4131'!I24)</f>
        <v>2848490.76</v>
      </c>
    </row>
    <row r="25" spans="1:9" x14ac:dyDescent="0.25">
      <c r="A25" s="517" t="s">
        <v>84</v>
      </c>
      <c r="B25" s="517"/>
      <c r="C25" s="143">
        <f>SUM('1461:4131'!C25)</f>
        <v>48.5</v>
      </c>
      <c r="D25" s="143">
        <f>SUM('1461:4131'!D25)</f>
        <v>47.68</v>
      </c>
      <c r="E25" s="116">
        <f>SUM('1461:4131'!E25)</f>
        <v>96.18</v>
      </c>
      <c r="F25" s="534">
        <f>'1461'!F25:G25</f>
        <v>5.7069999999999999</v>
      </c>
      <c r="G25" s="534"/>
      <c r="H25" s="80">
        <f>SUM('1461:4131'!H25)</f>
        <v>548.89930000000004</v>
      </c>
      <c r="I25" s="101">
        <f>SUM('1461:4131'!I25)</f>
        <v>2945890.98</v>
      </c>
    </row>
    <row r="26" spans="1:9" x14ac:dyDescent="0.25">
      <c r="A26" s="517" t="s">
        <v>85</v>
      </c>
      <c r="B26" s="517"/>
      <c r="C26" s="143">
        <f>SUM('1461:4131'!C26)</f>
        <v>429.59999999999991</v>
      </c>
      <c r="D26" s="143">
        <f>SUM('1461:4131'!D26)</f>
        <v>434.73999999999995</v>
      </c>
      <c r="E26" s="116">
        <f>SUM('1461:4131'!E26)</f>
        <v>864.34</v>
      </c>
      <c r="F26" s="534">
        <f>'1461'!F26:G26</f>
        <v>1.208</v>
      </c>
      <c r="G26" s="534"/>
      <c r="H26" s="80">
        <f>SUM('1461:4131'!H26)</f>
        <v>1044.1226999999999</v>
      </c>
      <c r="I26" s="101">
        <f>SUM('1461:4131'!I26)</f>
        <v>5603708.4400000004</v>
      </c>
    </row>
    <row r="27" spans="1:9" x14ac:dyDescent="0.25">
      <c r="A27" s="517" t="s">
        <v>86</v>
      </c>
      <c r="B27" s="517"/>
      <c r="C27" s="143">
        <f>SUM('1461:4131'!C27)</f>
        <v>303.92</v>
      </c>
      <c r="D27" s="143">
        <f>SUM('1461:4131'!D27)</f>
        <v>305.33999999999997</v>
      </c>
      <c r="E27" s="116">
        <f>SUM('1461:4131'!E27)</f>
        <v>609.26</v>
      </c>
      <c r="F27" s="534">
        <f>'1461'!F27:G27</f>
        <v>1.208</v>
      </c>
      <c r="G27" s="534"/>
      <c r="H27" s="80">
        <f>SUM('1461:4131'!H27)</f>
        <v>735.98609999999985</v>
      </c>
      <c r="I27" s="101">
        <f>SUM('1461:4131'!I27)</f>
        <v>3949968.2600000007</v>
      </c>
    </row>
    <row r="28" spans="1:9" x14ac:dyDescent="0.25">
      <c r="A28" s="517" t="s">
        <v>87</v>
      </c>
      <c r="B28" s="517"/>
      <c r="C28" s="143">
        <f>SUM('1461:4131'!C28)</f>
        <v>119.61</v>
      </c>
      <c r="D28" s="143">
        <f>SUM('1461:4131'!D28)</f>
        <v>123.67</v>
      </c>
      <c r="E28" s="116">
        <f>SUM('1461:4131'!E28)</f>
        <v>243.28</v>
      </c>
      <c r="F28" s="534">
        <f>'1461'!F28:G28</f>
        <v>1.208</v>
      </c>
      <c r="G28" s="534"/>
      <c r="H28" s="80">
        <f>SUM('1461:4131'!H28)</f>
        <v>293.88219999999995</v>
      </c>
      <c r="I28" s="101">
        <f>SUM('1461:4131'!I28)</f>
        <v>1577238.18</v>
      </c>
    </row>
    <row r="29" spans="1:9" x14ac:dyDescent="0.25">
      <c r="A29" s="517" t="s">
        <v>88</v>
      </c>
      <c r="B29" s="517"/>
      <c r="C29" s="110">
        <f>SUM('1461:4131'!C29)</f>
        <v>311.14999999999998</v>
      </c>
      <c r="D29" s="110">
        <f>SUM('1461:4131'!D29)</f>
        <v>316.90999999999997</v>
      </c>
      <c r="E29" s="154">
        <f>SUM('1461:4131'!E29)</f>
        <v>628.05999999999995</v>
      </c>
      <c r="F29" s="534">
        <f>'1461'!F29:G29</f>
        <v>1.0720000000000001</v>
      </c>
      <c r="G29" s="534"/>
      <c r="H29" s="93">
        <f>SUM('1461:4131'!H29)</f>
        <v>673.28020000000004</v>
      </c>
      <c r="I29" s="94">
        <f>SUM('1461:4131'!I29)</f>
        <v>3613431.5799999996</v>
      </c>
    </row>
    <row r="30" spans="1:9" x14ac:dyDescent="0.25">
      <c r="A30" s="535" t="s">
        <v>154</v>
      </c>
      <c r="B30" s="521"/>
      <c r="C30" s="111">
        <f>SUM(C14:C29)</f>
        <v>11185.590000000002</v>
      </c>
      <c r="D30" s="111">
        <f>SUM(D14:D29)</f>
        <v>11151.380000000001</v>
      </c>
      <c r="E30" s="187">
        <f>SUM(E14:E29)</f>
        <v>22336.97</v>
      </c>
      <c r="F30" s="536"/>
      <c r="G30" s="536"/>
      <c r="H30" s="145">
        <f>SUM(H14:H29)</f>
        <v>25717.043399999995</v>
      </c>
      <c r="I30" s="111">
        <f>SUM(I14:I29)</f>
        <v>138020956.19000003</v>
      </c>
    </row>
    <row r="31" spans="1:9" x14ac:dyDescent="0.25">
      <c r="A31" s="81" t="s">
        <v>155</v>
      </c>
      <c r="B31" s="156"/>
      <c r="C31" s="143">
        <f>Virtual!E22</f>
        <v>0</v>
      </c>
      <c r="D31" s="143">
        <f>Virtual!E23</f>
        <v>0</v>
      </c>
      <c r="E31" s="116">
        <f>IF(D$30=0,C31*2,C31+D31)</f>
        <v>0</v>
      </c>
      <c r="F31" s="534">
        <v>0.7</v>
      </c>
      <c r="G31" s="534"/>
      <c r="H31" s="80">
        <f t="shared" ref="H31" si="0">ROUND(E31*F31,4)</f>
        <v>0</v>
      </c>
      <c r="I31" s="101">
        <f>Virtual!E28</f>
        <v>0</v>
      </c>
    </row>
    <row r="32" spans="1:9" x14ac:dyDescent="0.25">
      <c r="A32" s="535" t="s">
        <v>156</v>
      </c>
      <c r="B32" s="521"/>
      <c r="C32" s="97">
        <f>SUM(C30:C31)</f>
        <v>11185.590000000002</v>
      </c>
      <c r="D32" s="97">
        <f>SUM(D30:D31)</f>
        <v>11151.380000000001</v>
      </c>
      <c r="E32" s="97">
        <f>SUM(E30:E31)</f>
        <v>22336.97</v>
      </c>
      <c r="F32" s="27"/>
      <c r="G32" s="27"/>
      <c r="H32" s="80"/>
      <c r="I32" s="97">
        <f>SUM(I30:I31)</f>
        <v>138020956.19000003</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3"/>
      <c r="C35" s="101"/>
      <c r="D35" s="101"/>
      <c r="E35" s="101"/>
      <c r="F35" s="488"/>
      <c r="G35" s="488"/>
      <c r="H35" s="80"/>
      <c r="I35" s="101"/>
    </row>
    <row r="36" spans="1:9" hidden="1" x14ac:dyDescent="0.25">
      <c r="A36" s="3"/>
      <c r="B36" s="69"/>
      <c r="C36" s="69"/>
      <c r="D36" s="69"/>
      <c r="E36" s="69"/>
      <c r="F36" s="69"/>
      <c r="G36" s="69"/>
      <c r="H36" s="69"/>
      <c r="I36" s="322" t="s">
        <v>299</v>
      </c>
    </row>
    <row r="37" spans="1:9" hidden="1" x14ac:dyDescent="0.25">
      <c r="A37" s="26"/>
      <c r="B37" s="26"/>
      <c r="C37" s="88" t="str">
        <f>C11</f>
        <v>Oct 2022</v>
      </c>
      <c r="D37" s="88" t="str">
        <f>D11</f>
        <v>Feb 2023</v>
      </c>
      <c r="E37" s="89" t="s">
        <v>8</v>
      </c>
      <c r="F37" s="27"/>
      <c r="G37" s="27"/>
      <c r="H37" s="104"/>
      <c r="I37" s="24" t="s">
        <v>27</v>
      </c>
    </row>
    <row r="38" spans="1:9" hidden="1" x14ac:dyDescent="0.25">
      <c r="A38" s="537" t="s">
        <v>50</v>
      </c>
      <c r="B38" s="537"/>
      <c r="C38" s="325" t="s">
        <v>2</v>
      </c>
      <c r="D38" s="325" t="s">
        <v>2</v>
      </c>
      <c r="E38" s="90" t="s">
        <v>2</v>
      </c>
      <c r="F38" s="105"/>
      <c r="G38" s="105"/>
      <c r="H38" s="105"/>
      <c r="I38" s="31" t="s">
        <v>62</v>
      </c>
    </row>
    <row r="39" spans="1:9" hidden="1" x14ac:dyDescent="0.25">
      <c r="A39" s="538" t="s">
        <v>45</v>
      </c>
      <c r="B39" s="538"/>
      <c r="C39" s="147">
        <f>SUM('1461:4111'!C38)</f>
        <v>0</v>
      </c>
      <c r="D39" s="147">
        <f>SUM('1461:4111'!D38)</f>
        <v>0</v>
      </c>
      <c r="E39" s="187">
        <f>SUM('1461:4111'!E38)</f>
        <v>0</v>
      </c>
      <c r="F39" s="148"/>
      <c r="G39" s="148"/>
      <c r="H39" s="148"/>
      <c r="I39" s="111">
        <f>SUM('1461:4111'!I38)</f>
        <v>0</v>
      </c>
    </row>
    <row r="40" spans="1:9" hidden="1" x14ac:dyDescent="0.25">
      <c r="A40" s="517" t="s">
        <v>46</v>
      </c>
      <c r="B40" s="517"/>
      <c r="C40" s="150">
        <f>SUM('1461:4111'!C39)</f>
        <v>0</v>
      </c>
      <c r="D40" s="150">
        <f>SUM('1461:4111'!D39)</f>
        <v>0</v>
      </c>
      <c r="E40" s="116">
        <f>SUM('1461:4111'!E39)</f>
        <v>0</v>
      </c>
      <c r="F40" s="151"/>
      <c r="G40" s="151"/>
      <c r="H40" s="151"/>
      <c r="I40" s="101">
        <f>SUM('1461:4111'!I39)</f>
        <v>0</v>
      </c>
    </row>
    <row r="41" spans="1:9" hidden="1" x14ac:dyDescent="0.25">
      <c r="A41" s="524" t="s">
        <v>47</v>
      </c>
      <c r="B41" s="524"/>
      <c r="C41" s="150">
        <f>SUM('1461:4111'!C40)</f>
        <v>0</v>
      </c>
      <c r="D41" s="150">
        <f>SUM('1461:4111'!D40)</f>
        <v>0</v>
      </c>
      <c r="E41" s="116">
        <f>SUM('1461:4111'!E40)</f>
        <v>0</v>
      </c>
      <c r="F41" s="151"/>
      <c r="G41" s="151"/>
      <c r="H41" s="151"/>
      <c r="I41" s="101">
        <f>SUM('1461:4111'!I40)</f>
        <v>0</v>
      </c>
    </row>
    <row r="42" spans="1:9" hidden="1" x14ac:dyDescent="0.25">
      <c r="A42" s="517" t="s">
        <v>48</v>
      </c>
      <c r="B42" s="517"/>
      <c r="C42" s="150">
        <f>SUM('1461:4111'!C41)</f>
        <v>0</v>
      </c>
      <c r="D42" s="150">
        <f>SUM('1461:4111'!D41)</f>
        <v>0</v>
      </c>
      <c r="E42" s="116">
        <f>SUM('1461:4111'!E41)</f>
        <v>0</v>
      </c>
      <c r="F42" s="151"/>
      <c r="G42" s="151"/>
      <c r="H42" s="151"/>
      <c r="I42" s="101">
        <f>SUM('1461:4111'!I41)</f>
        <v>0</v>
      </c>
    </row>
    <row r="43" spans="1:9" hidden="1" x14ac:dyDescent="0.25">
      <c r="A43" s="517" t="s">
        <v>49</v>
      </c>
      <c r="B43" s="517"/>
      <c r="C43" s="150">
        <f>SUM('1461:4111'!C42)</f>
        <v>0</v>
      </c>
      <c r="D43" s="150">
        <f>SUM('1461:4111'!D42)</f>
        <v>0</v>
      </c>
      <c r="E43" s="116">
        <f>SUM('1461:4111'!E42)</f>
        <v>0</v>
      </c>
      <c r="F43" s="151"/>
      <c r="G43" s="151"/>
      <c r="H43" s="151"/>
      <c r="I43" s="101">
        <f>SUM('1461:4111'!I42)</f>
        <v>0</v>
      </c>
    </row>
    <row r="44" spans="1:9" hidden="1" x14ac:dyDescent="0.25">
      <c r="A44" s="517" t="s">
        <v>41</v>
      </c>
      <c r="B44" s="517"/>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25717.043399999995</v>
      </c>
      <c r="F47" s="34"/>
      <c r="G47" s="106"/>
      <c r="H47" s="107" t="s">
        <v>98</v>
      </c>
      <c r="I47" s="94">
        <f>SUM(I45,I32)</f>
        <v>138020956.19000003</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395</v>
      </c>
      <c r="B50" s="26"/>
      <c r="C50" s="26"/>
      <c r="D50" s="26"/>
      <c r="E50" s="26"/>
      <c r="F50" s="34"/>
      <c r="G50" s="27"/>
      <c r="H50" s="27"/>
      <c r="I50" s="101"/>
    </row>
    <row r="51" spans="1:9" s="393" customFormat="1" ht="9" customHeight="1" x14ac:dyDescent="0.2">
      <c r="A51" s="392" t="s">
        <v>396</v>
      </c>
      <c r="F51" s="394"/>
      <c r="G51" s="395"/>
      <c r="H51" s="395"/>
      <c r="I51" s="396"/>
    </row>
    <row r="52" spans="1:9" s="393" customFormat="1" ht="11.25" customHeight="1" x14ac:dyDescent="0.2">
      <c r="A52" s="400" t="s">
        <v>397</v>
      </c>
      <c r="F52" s="394"/>
      <c r="G52" s="395"/>
      <c r="H52" s="395"/>
      <c r="I52" s="396"/>
    </row>
    <row r="53" spans="1:9" x14ac:dyDescent="0.25">
      <c r="A53" s="391"/>
      <c r="B53" s="3" t="s">
        <v>398</v>
      </c>
      <c r="C53" s="26"/>
      <c r="D53" s="26"/>
      <c r="E53" s="43" t="s">
        <v>399</v>
      </c>
      <c r="F53" s="402">
        <f>SUM('1461:4131'!F51)</f>
        <v>138020956.18999997</v>
      </c>
      <c r="G53" s="109" t="s">
        <v>6</v>
      </c>
      <c r="H53" s="403">
        <f>'1461'!H51</f>
        <v>4.5199999999999997E-2</v>
      </c>
      <c r="I53" s="101">
        <f>SUM('1461:4131'!I51)</f>
        <v>6238547.2299999995</v>
      </c>
    </row>
    <row r="54" spans="1:9" x14ac:dyDescent="0.25">
      <c r="A54" s="26"/>
      <c r="B54" s="81" t="s">
        <v>400</v>
      </c>
      <c r="C54" s="26"/>
      <c r="D54" s="26"/>
      <c r="E54" s="43" t="s">
        <v>399</v>
      </c>
      <c r="F54" s="402">
        <f>SUM('1461:4131'!F52)</f>
        <v>138020956.18999997</v>
      </c>
      <c r="G54" s="109" t="s">
        <v>6</v>
      </c>
      <c r="H54" s="403">
        <f>'1461'!H52</f>
        <v>1.41E-2</v>
      </c>
      <c r="I54" s="94">
        <f>SUM('1461:4131'!I52)</f>
        <v>1946095.4699999997</v>
      </c>
    </row>
    <row r="55" spans="1:9" x14ac:dyDescent="0.25">
      <c r="A55" s="26"/>
      <c r="B55" s="81" t="s">
        <v>401</v>
      </c>
      <c r="C55" s="26"/>
      <c r="D55" s="26"/>
      <c r="E55" s="43"/>
      <c r="F55" s="402"/>
      <c r="G55" s="109"/>
      <c r="H55" s="403"/>
      <c r="I55" s="97">
        <f>SUM(I53:I54)</f>
        <v>8184642.6999999993</v>
      </c>
    </row>
    <row r="56" spans="1:9" x14ac:dyDescent="0.25">
      <c r="A56" s="26"/>
      <c r="B56" s="26"/>
      <c r="C56" s="26"/>
      <c r="D56" s="26"/>
      <c r="E56" s="26"/>
      <c r="F56" s="34"/>
      <c r="G56" s="27"/>
      <c r="H56" s="27"/>
      <c r="I56" s="101"/>
    </row>
    <row r="57" spans="1:9" x14ac:dyDescent="0.25">
      <c r="A57" s="493"/>
      <c r="B57" s="493"/>
      <c r="C57" s="88" t="str">
        <f>C11</f>
        <v>Oct 2022</v>
      </c>
      <c r="D57" s="334" t="str">
        <f t="shared" ref="D57:D58" si="1">D11</f>
        <v>Feb 2023</v>
      </c>
      <c r="E57" s="89" t="s">
        <v>8</v>
      </c>
      <c r="F57" s="46" t="s">
        <v>440</v>
      </c>
      <c r="G57" s="109" t="s">
        <v>441</v>
      </c>
      <c r="H57" s="456" t="s">
        <v>442</v>
      </c>
      <c r="I57" s="101"/>
    </row>
    <row r="58" spans="1:9" x14ac:dyDescent="0.25">
      <c r="A58" s="36" t="s">
        <v>443</v>
      </c>
      <c r="B58" s="36"/>
      <c r="C58" s="325" t="str">
        <f t="shared" ref="C58" si="2">C12</f>
        <v>FTE</v>
      </c>
      <c r="D58" s="325" t="str">
        <f t="shared" si="1"/>
        <v>FTE</v>
      </c>
      <c r="E58" s="90" t="s">
        <v>2</v>
      </c>
      <c r="F58" s="486" t="s">
        <v>444</v>
      </c>
      <c r="G58" s="489" t="s">
        <v>444</v>
      </c>
      <c r="H58" s="457" t="s">
        <v>445</v>
      </c>
      <c r="I58" s="36"/>
    </row>
    <row r="59" spans="1:9" ht="15.75" customHeight="1" x14ac:dyDescent="0.25">
      <c r="A59" s="532" t="s">
        <v>447</v>
      </c>
      <c r="B59" s="532"/>
      <c r="C59" s="143">
        <f>SUM('1461:4131'!C57)</f>
        <v>244.22</v>
      </c>
      <c r="D59" s="143">
        <f>SUM('1461:4131'!D57)</f>
        <v>264.39</v>
      </c>
      <c r="E59" s="116">
        <f>SUM('1461:4131'!E57)</f>
        <v>508.60999999999996</v>
      </c>
      <c r="F59" s="491" t="s">
        <v>439</v>
      </c>
      <c r="G59" s="491">
        <v>251</v>
      </c>
      <c r="H59" s="459">
        <f>'1461'!H57</f>
        <v>1047</v>
      </c>
      <c r="I59" s="101">
        <f>SUM('1461:4131'!I57)</f>
        <v>532514.67000000004</v>
      </c>
    </row>
    <row r="60" spans="1:9" x14ac:dyDescent="0.25">
      <c r="A60" s="533"/>
      <c r="B60" s="533"/>
      <c r="C60" s="143">
        <f>SUM('1461:4131'!C58)</f>
        <v>37.11</v>
      </c>
      <c r="D60" s="143">
        <f>SUM('1461:4131'!D58)</f>
        <v>33.68</v>
      </c>
      <c r="E60" s="116">
        <f>SUM('1461:4131'!E58)</f>
        <v>70.790000000000006</v>
      </c>
      <c r="F60" s="491" t="s">
        <v>439</v>
      </c>
      <c r="G60" s="491">
        <v>252</v>
      </c>
      <c r="H60" s="459">
        <f>'1461'!H58</f>
        <v>3380</v>
      </c>
      <c r="I60" s="101">
        <f>SUM('1461:4131'!I58)</f>
        <v>239270.19999999998</v>
      </c>
    </row>
    <row r="61" spans="1:9" x14ac:dyDescent="0.25">
      <c r="A61" s="533"/>
      <c r="B61" s="533"/>
      <c r="C61" s="143">
        <f>SUM('1461:4131'!C59)</f>
        <v>7.75</v>
      </c>
      <c r="D61" s="143">
        <f>SUM('1461:4131'!D59)</f>
        <v>8.9700000000000006</v>
      </c>
      <c r="E61" s="116">
        <f>SUM('1461:4131'!E59)</f>
        <v>16.72</v>
      </c>
      <c r="F61" s="491" t="s">
        <v>439</v>
      </c>
      <c r="G61" s="491">
        <v>253</v>
      </c>
      <c r="H61" s="459">
        <f>'1461'!H59</f>
        <v>6896</v>
      </c>
      <c r="I61" s="101">
        <f>SUM('1461:4131'!I59)</f>
        <v>115301.12000000001</v>
      </c>
    </row>
    <row r="62" spans="1:9" x14ac:dyDescent="0.25">
      <c r="A62" s="533"/>
      <c r="B62" s="533"/>
      <c r="C62" s="143">
        <f>SUM('1461:4131'!C60)</f>
        <v>583.47</v>
      </c>
      <c r="D62" s="143">
        <f>SUM('1461:4131'!D60)</f>
        <v>560.44000000000005</v>
      </c>
      <c r="E62" s="116">
        <f>SUM('1461:4131'!E60)</f>
        <v>1143.9099999999999</v>
      </c>
      <c r="F62" s="492" t="s">
        <v>13</v>
      </c>
      <c r="G62" s="491">
        <v>251</v>
      </c>
      <c r="H62" s="459">
        <f>'1461'!H60</f>
        <v>1173</v>
      </c>
      <c r="I62" s="101">
        <f>SUM('1461:4131'!I60)</f>
        <v>1341806.43</v>
      </c>
    </row>
    <row r="63" spans="1:9" x14ac:dyDescent="0.25">
      <c r="A63" s="533"/>
      <c r="B63" s="533"/>
      <c r="C63" s="143">
        <f>SUM('1461:4131'!C61)</f>
        <v>44.550000000000004</v>
      </c>
      <c r="D63" s="143">
        <f>SUM('1461:4131'!D61)</f>
        <v>46.7</v>
      </c>
      <c r="E63" s="116">
        <f>SUM('1461:4131'!E61)</f>
        <v>91.250000000000014</v>
      </c>
      <c r="F63" s="492" t="s">
        <v>13</v>
      </c>
      <c r="G63" s="491">
        <v>252</v>
      </c>
      <c r="H63" s="459">
        <f>'1461'!H61</f>
        <v>3506</v>
      </c>
      <c r="I63" s="101">
        <f>SUM('1461:4131'!I61)</f>
        <v>319922.5</v>
      </c>
    </row>
    <row r="64" spans="1:9" x14ac:dyDescent="0.25">
      <c r="A64" s="533"/>
      <c r="B64" s="533"/>
      <c r="C64" s="143">
        <f>SUM('1461:4131'!C62)</f>
        <v>15</v>
      </c>
      <c r="D64" s="143">
        <f>SUM('1461:4131'!D62)</f>
        <v>14</v>
      </c>
      <c r="E64" s="116">
        <f>SUM('1461:4131'!E62)</f>
        <v>29</v>
      </c>
      <c r="F64" s="492" t="s">
        <v>13</v>
      </c>
      <c r="G64" s="491">
        <v>253</v>
      </c>
      <c r="H64" s="459">
        <f>'1461'!H62</f>
        <v>7023</v>
      </c>
      <c r="I64" s="101">
        <f>SUM('1461:4131'!I62)</f>
        <v>203667</v>
      </c>
    </row>
    <row r="65" spans="1:9" x14ac:dyDescent="0.25">
      <c r="A65" s="533"/>
      <c r="B65" s="533"/>
      <c r="C65" s="143">
        <f>SUM('1461:4131'!C63)</f>
        <v>396.49</v>
      </c>
      <c r="D65" s="143">
        <f>SUM('1461:4131'!D63)</f>
        <v>410.18</v>
      </c>
      <c r="E65" s="116">
        <f>SUM('1461:4131'!E63)</f>
        <v>806.67</v>
      </c>
      <c r="F65" s="492" t="s">
        <v>14</v>
      </c>
      <c r="G65" s="491">
        <v>251</v>
      </c>
      <c r="H65" s="459">
        <f>'1461'!H63</f>
        <v>835</v>
      </c>
      <c r="I65" s="101">
        <f>SUM('1461:4131'!I63)</f>
        <v>673569.45000000007</v>
      </c>
    </row>
    <row r="66" spans="1:9" x14ac:dyDescent="0.25">
      <c r="A66" s="533"/>
      <c r="B66" s="533"/>
      <c r="C66" s="143">
        <f>SUM('1461:4131'!C64)</f>
        <v>51.42</v>
      </c>
      <c r="D66" s="143">
        <f>SUM('1461:4131'!D64)</f>
        <v>52.269999999999996</v>
      </c>
      <c r="E66" s="116">
        <f>SUM('1461:4131'!E64)</f>
        <v>103.69000000000001</v>
      </c>
      <c r="F66" s="492" t="s">
        <v>14</v>
      </c>
      <c r="G66" s="491">
        <v>252</v>
      </c>
      <c r="H66" s="459">
        <f>'1461'!H64</f>
        <v>3168</v>
      </c>
      <c r="I66" s="101">
        <f>SUM('1461:4131'!I64)</f>
        <v>328489.92</v>
      </c>
    </row>
    <row r="67" spans="1:9" x14ac:dyDescent="0.25">
      <c r="A67" s="533"/>
      <c r="B67" s="533"/>
      <c r="C67" s="143">
        <f>SUM('1461:4131'!C65)</f>
        <v>102.79</v>
      </c>
      <c r="D67" s="143">
        <f>SUM('1461:4131'!D65)</f>
        <v>111.91</v>
      </c>
      <c r="E67" s="116">
        <f>SUM('1461:4131'!E65)</f>
        <v>214.70000000000002</v>
      </c>
      <c r="F67" s="492" t="s">
        <v>14</v>
      </c>
      <c r="G67" s="491">
        <v>253</v>
      </c>
      <c r="H67" s="459">
        <f>'1461'!H65</f>
        <v>6685</v>
      </c>
      <c r="I67" s="101">
        <f>SUM('1461:4131'!I65)</f>
        <v>1435269.4999999998</v>
      </c>
    </row>
    <row r="68" spans="1:9" x14ac:dyDescent="0.25">
      <c r="A68" s="487"/>
      <c r="C68" s="97">
        <f>SUM(C59:C67)</f>
        <v>1482.8</v>
      </c>
      <c r="D68" s="97">
        <f>SUM(D59:D67)</f>
        <v>1502.5400000000002</v>
      </c>
      <c r="E68" s="97">
        <f>SUM(E59:E67)</f>
        <v>2985.3399999999997</v>
      </c>
      <c r="F68" s="520" t="s">
        <v>448</v>
      </c>
      <c r="G68" s="520"/>
      <c r="H68" s="520"/>
      <c r="I68" s="97">
        <f>SUM(I59:I67)</f>
        <v>5189810.79</v>
      </c>
    </row>
    <row r="69" spans="1:9" x14ac:dyDescent="0.25">
      <c r="A69" s="493"/>
      <c r="B69" s="493"/>
      <c r="C69" s="493"/>
      <c r="D69" s="493"/>
      <c r="E69" s="493"/>
      <c r="F69" s="34"/>
      <c r="G69" s="488"/>
      <c r="H69" s="488"/>
      <c r="I69" s="101"/>
    </row>
    <row r="70" spans="1:9" x14ac:dyDescent="0.25">
      <c r="A70" s="490" t="s">
        <v>450</v>
      </c>
    </row>
    <row r="71" spans="1:9" x14ac:dyDescent="0.25">
      <c r="A71" s="516" t="s">
        <v>402</v>
      </c>
      <c r="B71" s="517"/>
      <c r="C71" s="112">
        <f>SUM('1461:4131'!C69)</f>
        <v>22336.969999999998</v>
      </c>
      <c r="D71" s="530" t="s">
        <v>413</v>
      </c>
      <c r="E71" s="530"/>
      <c r="F71" s="530"/>
      <c r="G71" s="530"/>
      <c r="H71" s="289">
        <f>'1461'!H69</f>
        <v>203305.63</v>
      </c>
      <c r="I71" s="113"/>
    </row>
    <row r="72" spans="1:9" x14ac:dyDescent="0.25">
      <c r="B72" s="69"/>
      <c r="G72" s="42" t="s">
        <v>12</v>
      </c>
      <c r="H72" s="114">
        <f>ROUND(C71/H71,6)</f>
        <v>0.10986899999999999</v>
      </c>
      <c r="I72" s="115"/>
    </row>
    <row r="73" spans="1:9" x14ac:dyDescent="0.25">
      <c r="A73" s="490" t="s">
        <v>451</v>
      </c>
    </row>
    <row r="74" spans="1:9" x14ac:dyDescent="0.25">
      <c r="A74" s="516" t="s">
        <v>403</v>
      </c>
      <c r="B74" s="517"/>
      <c r="C74" s="415">
        <f>SUM('1461:4131'!C72)</f>
        <v>25717.043400000006</v>
      </c>
      <c r="D74" s="530" t="s">
        <v>414</v>
      </c>
      <c r="E74" s="530"/>
      <c r="F74" s="530"/>
      <c r="G74" s="530"/>
      <c r="H74" s="290">
        <f>'1461'!H72</f>
        <v>227540.36</v>
      </c>
      <c r="I74" s="116"/>
    </row>
    <row r="75" spans="1:9" x14ac:dyDescent="0.25">
      <c r="G75" s="42" t="s">
        <v>12</v>
      </c>
      <c r="H75" s="114">
        <f>ROUND(C74/H74,6)</f>
        <v>0.113022</v>
      </c>
      <c r="I75" s="114"/>
    </row>
    <row r="76" spans="1:9" x14ac:dyDescent="0.25">
      <c r="A76" s="419" t="s">
        <v>452</v>
      </c>
      <c r="B76" s="416"/>
      <c r="C76" s="416"/>
      <c r="D76" s="416"/>
      <c r="E76" s="416"/>
      <c r="F76" s="416"/>
      <c r="G76" s="416"/>
      <c r="H76" s="416"/>
      <c r="I76" s="416"/>
    </row>
    <row r="77" spans="1:9" x14ac:dyDescent="0.25">
      <c r="A77" s="516" t="s">
        <v>404</v>
      </c>
      <c r="B77" s="517"/>
      <c r="C77" s="112">
        <f>SUM('1461:4131'!C75)</f>
        <v>22336.969999999998</v>
      </c>
      <c r="D77" s="529" t="s">
        <v>415</v>
      </c>
      <c r="E77" s="529"/>
      <c r="F77" s="529"/>
      <c r="G77" s="529"/>
      <c r="H77" s="289">
        <f>'1461'!H75</f>
        <v>186907.73</v>
      </c>
      <c r="I77" s="113"/>
    </row>
    <row r="78" spans="1:9" x14ac:dyDescent="0.25">
      <c r="B78" s="69"/>
      <c r="G78" s="42" t="s">
        <v>12</v>
      </c>
      <c r="H78" s="114">
        <f>ROUND(C77/H77,6)</f>
        <v>0.119508</v>
      </c>
      <c r="I78" s="115"/>
    </row>
    <row r="79" spans="1:9" x14ac:dyDescent="0.25">
      <c r="A79" s="419" t="s">
        <v>453</v>
      </c>
      <c r="B79" s="416"/>
      <c r="C79" s="416"/>
      <c r="D79" s="416"/>
      <c r="E79" s="416"/>
      <c r="F79" s="416"/>
      <c r="G79" s="416"/>
      <c r="H79" s="416"/>
      <c r="I79" s="416"/>
    </row>
    <row r="80" spans="1:9" x14ac:dyDescent="0.25">
      <c r="A80" s="516" t="s">
        <v>404</v>
      </c>
      <c r="B80" s="517"/>
      <c r="C80" s="112">
        <f>SUM('1461:4131'!C78)</f>
        <v>22336.969999999998</v>
      </c>
      <c r="D80" s="525" t="s">
        <v>416</v>
      </c>
      <c r="E80" s="525"/>
      <c r="F80" s="525"/>
      <c r="G80" s="525"/>
      <c r="H80" s="289">
        <f>'1461'!H78</f>
        <v>203080.55</v>
      </c>
      <c r="I80" s="113"/>
    </row>
    <row r="81" spans="1:9" x14ac:dyDescent="0.25">
      <c r="B81" s="69"/>
      <c r="G81" s="42" t="s">
        <v>12</v>
      </c>
      <c r="H81" s="114">
        <f>ROUND(C80/H80,6)</f>
        <v>0.10999100000000001</v>
      </c>
      <c r="I81" s="115"/>
    </row>
    <row r="82" spans="1:9" x14ac:dyDescent="0.25">
      <c r="A82" s="419" t="s">
        <v>454</v>
      </c>
      <c r="B82" s="416"/>
      <c r="C82" s="416"/>
      <c r="D82" s="416"/>
      <c r="E82" s="416"/>
      <c r="F82" s="416"/>
      <c r="G82" s="416"/>
      <c r="H82" s="416"/>
      <c r="I82" s="416"/>
    </row>
    <row r="83" spans="1:9" x14ac:dyDescent="0.25">
      <c r="A83" s="516" t="s">
        <v>412</v>
      </c>
      <c r="B83" s="517"/>
      <c r="C83" s="112">
        <f>SUM('1461:4131'!C81)</f>
        <v>22336.969999999998</v>
      </c>
      <c r="D83" s="529" t="s">
        <v>417</v>
      </c>
      <c r="E83" s="529"/>
      <c r="F83" s="529"/>
      <c r="G83" s="529"/>
      <c r="H83" s="289">
        <f>'1461'!H81</f>
        <v>186682.65</v>
      </c>
      <c r="I83" s="113"/>
    </row>
    <row r="84" spans="1:9" x14ac:dyDescent="0.25">
      <c r="B84" s="69"/>
      <c r="G84" s="42" t="s">
        <v>12</v>
      </c>
      <c r="H84" s="114">
        <f>ROUND(C83/H83,6)</f>
        <v>0.11965199999999999</v>
      </c>
      <c r="I84" s="115"/>
    </row>
    <row r="85" spans="1:9" x14ac:dyDescent="0.25">
      <c r="A85" s="242"/>
      <c r="G85" s="42"/>
      <c r="H85" s="114"/>
      <c r="I85" s="114"/>
    </row>
    <row r="86" spans="1:9" x14ac:dyDescent="0.25">
      <c r="A86" s="490" t="s">
        <v>455</v>
      </c>
      <c r="D86" s="69"/>
      <c r="E86" s="43" t="s">
        <v>294</v>
      </c>
      <c r="F86" s="291">
        <f>'1461'!F85</f>
        <v>44665536</v>
      </c>
      <c r="G86" s="37" t="s">
        <v>6</v>
      </c>
      <c r="H86" s="424">
        <f>H81</f>
        <v>0.10999100000000001</v>
      </c>
      <c r="I86" s="101">
        <f>SUM('1461:4131'!I85)</f>
        <v>4912583.6599999992</v>
      </c>
    </row>
    <row r="87" spans="1:9" x14ac:dyDescent="0.25">
      <c r="A87" s="401"/>
      <c r="D87" s="69"/>
      <c r="E87" s="43"/>
      <c r="F87" s="277"/>
      <c r="G87" s="37"/>
      <c r="H87" s="424"/>
      <c r="I87" s="101"/>
    </row>
    <row r="88" spans="1:9" x14ac:dyDescent="0.25">
      <c r="A88" s="531" t="s">
        <v>71</v>
      </c>
      <c r="B88" s="517"/>
      <c r="C88" s="517"/>
      <c r="D88" s="69"/>
      <c r="E88" s="43"/>
      <c r="F88" s="277"/>
      <c r="G88" s="37"/>
      <c r="H88" s="424"/>
      <c r="I88" s="101"/>
    </row>
    <row r="89" spans="1:9" ht="15.75" customHeight="1" x14ac:dyDescent="0.25">
      <c r="A89" s="531" t="s">
        <v>99</v>
      </c>
      <c r="B89" s="517"/>
      <c r="C89" s="517"/>
      <c r="D89" s="69"/>
      <c r="E89" s="43" t="s">
        <v>3</v>
      </c>
      <c r="F89" s="291">
        <f>'1461'!F88</f>
        <v>0</v>
      </c>
      <c r="G89" s="37" t="s">
        <v>6</v>
      </c>
      <c r="H89" s="424">
        <f>H72</f>
        <v>0.10986899999999999</v>
      </c>
      <c r="I89" s="101">
        <f>SUM('1461:4131'!I88)</f>
        <v>0</v>
      </c>
    </row>
    <row r="90" spans="1:9" ht="15.75" customHeight="1" x14ac:dyDescent="0.25">
      <c r="A90" s="433"/>
      <c r="B90" s="69"/>
      <c r="C90" s="69"/>
      <c r="D90" s="69"/>
      <c r="E90" s="43"/>
      <c r="F90" s="277"/>
      <c r="G90" s="37"/>
      <c r="H90" s="424"/>
      <c r="I90" s="101"/>
    </row>
    <row r="91" spans="1:9" x14ac:dyDescent="0.25">
      <c r="A91" s="490" t="s">
        <v>456</v>
      </c>
      <c r="D91" s="69"/>
      <c r="E91" s="43" t="s">
        <v>420</v>
      </c>
      <c r="F91" s="291">
        <f>'1461'!F90</f>
        <v>16167052</v>
      </c>
      <c r="G91" s="37" t="s">
        <v>6</v>
      </c>
      <c r="H91" s="424">
        <f>H84</f>
        <v>0.11965199999999999</v>
      </c>
      <c r="I91" s="101">
        <f>SUM('1461:4131'!I90)</f>
        <v>1934387.78</v>
      </c>
    </row>
    <row r="92" spans="1:9" x14ac:dyDescent="0.25">
      <c r="A92" s="401"/>
      <c r="D92" s="69"/>
      <c r="E92" s="43"/>
      <c r="F92" s="277"/>
      <c r="G92" s="37"/>
      <c r="H92" s="424"/>
      <c r="I92" s="101"/>
    </row>
    <row r="93" spans="1:9" x14ac:dyDescent="0.25">
      <c r="A93" s="490" t="s">
        <v>457</v>
      </c>
      <c r="D93" s="69"/>
      <c r="E93" s="43" t="s">
        <v>3</v>
      </c>
      <c r="F93" s="291">
        <f>'1461'!F92</f>
        <v>10040099</v>
      </c>
      <c r="G93" s="37" t="s">
        <v>6</v>
      </c>
      <c r="H93" s="424">
        <f>H78</f>
        <v>0.119508</v>
      </c>
      <c r="I93" s="101">
        <f>SUM('1461:4131'!I92)</f>
        <v>1199872.1499999997</v>
      </c>
    </row>
    <row r="94" spans="1:9" x14ac:dyDescent="0.25">
      <c r="A94" s="81"/>
      <c r="D94" s="69"/>
      <c r="E94" s="43"/>
      <c r="F94" s="116"/>
      <c r="G94" s="37"/>
      <c r="H94" s="420"/>
      <c r="I94" s="101"/>
    </row>
    <row r="95" spans="1:9" x14ac:dyDescent="0.25">
      <c r="A95" s="516" t="s">
        <v>421</v>
      </c>
      <c r="B95" s="517"/>
      <c r="C95" s="517"/>
      <c r="D95" s="69"/>
      <c r="E95" s="43" t="s">
        <v>4</v>
      </c>
      <c r="F95" s="291">
        <f>'1461'!F94</f>
        <v>238997674</v>
      </c>
      <c r="G95" s="37" t="s">
        <v>6</v>
      </c>
      <c r="H95" s="424">
        <f>H75</f>
        <v>0.113022</v>
      </c>
      <c r="I95" s="101">
        <f>SUM('1461:4131'!I94)</f>
        <v>27012473.099999994</v>
      </c>
    </row>
    <row r="96" spans="1:9" x14ac:dyDescent="0.25">
      <c r="A96" s="81"/>
      <c r="B96" s="69"/>
      <c r="C96" s="69"/>
      <c r="D96" s="69"/>
      <c r="E96" s="43"/>
      <c r="F96" s="277"/>
      <c r="G96" s="37"/>
      <c r="H96" s="424"/>
      <c r="I96" s="101"/>
    </row>
    <row r="97" spans="1:9" x14ac:dyDescent="0.25">
      <c r="A97" s="516" t="s">
        <v>422</v>
      </c>
      <c r="B97" s="517"/>
      <c r="C97" s="517"/>
      <c r="D97" s="69"/>
      <c r="E97" s="43" t="s">
        <v>4</v>
      </c>
      <c r="F97" s="291">
        <f>'1461'!F96</f>
        <v>-1600047</v>
      </c>
      <c r="G97" s="37" t="s">
        <v>6</v>
      </c>
      <c r="H97" s="424">
        <f>H75</f>
        <v>0.113022</v>
      </c>
      <c r="I97" s="101">
        <f>SUM('1461:4131'!I96)</f>
        <v>-180843.70999999996</v>
      </c>
    </row>
    <row r="98" spans="1:9" x14ac:dyDescent="0.25">
      <c r="A98" s="81"/>
      <c r="B98" s="69"/>
      <c r="C98" s="69"/>
      <c r="D98" s="69"/>
      <c r="E98" s="43"/>
      <c r="F98" s="277"/>
      <c r="G98" s="37"/>
      <c r="H98" s="424"/>
      <c r="I98" s="101"/>
    </row>
    <row r="99" spans="1:9" x14ac:dyDescent="0.25">
      <c r="A99" s="401" t="s">
        <v>423</v>
      </c>
    </row>
    <row r="100" spans="1:9" x14ac:dyDescent="0.25">
      <c r="B100" s="69"/>
      <c r="C100" s="526" t="s">
        <v>60</v>
      </c>
      <c r="D100" s="526"/>
      <c r="E100" s="69"/>
      <c r="F100" s="39" t="s">
        <v>28</v>
      </c>
      <c r="G100" s="69"/>
      <c r="H100" s="69"/>
      <c r="I100" s="69"/>
    </row>
    <row r="101" spans="1:9" x14ac:dyDescent="0.25">
      <c r="A101" s="3"/>
      <c r="B101" s="118"/>
      <c r="C101" s="527" t="s">
        <v>101</v>
      </c>
      <c r="D101" s="527"/>
      <c r="E101" s="119" t="s">
        <v>424</v>
      </c>
      <c r="F101" s="120" t="s">
        <v>106</v>
      </c>
      <c r="G101" s="121"/>
      <c r="H101" s="121"/>
      <c r="I101" s="121"/>
    </row>
    <row r="102" spans="1:9" x14ac:dyDescent="0.25">
      <c r="A102" s="26"/>
      <c r="B102" s="52" t="s">
        <v>105</v>
      </c>
      <c r="C102" s="515">
        <f>SUM('1461:4131'!C101)</f>
        <v>8011.7186000000011</v>
      </c>
      <c r="D102" s="515">
        <f>SUM('1461:4131'!D101)</f>
        <v>0</v>
      </c>
      <c r="E102" s="46">
        <f>'1461'!E101</f>
        <v>1.0442</v>
      </c>
      <c r="F102" s="292">
        <f>'1461'!F101</f>
        <v>947.59</v>
      </c>
      <c r="G102" s="39" t="s">
        <v>12</v>
      </c>
      <c r="H102" s="101">
        <f>SUM('1461:4131'!H101)</f>
        <v>7927383.0599999987</v>
      </c>
      <c r="I102" s="104"/>
    </row>
    <row r="103" spans="1:9" x14ac:dyDescent="0.25">
      <c r="A103" s="49"/>
      <c r="B103" s="49" t="s">
        <v>104</v>
      </c>
      <c r="C103" s="515">
        <f>SUM('1461:4131'!C102)</f>
        <v>10153.130099999998</v>
      </c>
      <c r="D103" s="515">
        <f>SUM('1461:4131'!D102)</f>
        <v>0</v>
      </c>
      <c r="E103" s="46">
        <f>'1461'!E102</f>
        <v>1.0442</v>
      </c>
      <c r="F103" s="292">
        <f>'1461'!F102</f>
        <v>904.74</v>
      </c>
      <c r="G103" s="39" t="s">
        <v>12</v>
      </c>
      <c r="H103" s="101">
        <f>SUM('1461:4131'!H102)</f>
        <v>9591961.6000000015</v>
      </c>
    </row>
    <row r="104" spans="1:9" x14ac:dyDescent="0.25">
      <c r="A104" s="52"/>
      <c r="B104" s="52" t="s">
        <v>103</v>
      </c>
      <c r="C104" s="515">
        <f>SUM('1461:4131'!C103)</f>
        <v>7552.1947000000018</v>
      </c>
      <c r="D104" s="515">
        <f>SUM('1461:4131'!D103)</f>
        <v>0</v>
      </c>
      <c r="E104" s="46">
        <f>'1461'!E103</f>
        <v>1.0442</v>
      </c>
      <c r="F104" s="292">
        <f>'1461'!F103</f>
        <v>906.93</v>
      </c>
      <c r="G104" s="39" t="s">
        <v>12</v>
      </c>
      <c r="H104" s="94">
        <f>SUM('1461:4131'!H103)</f>
        <v>7152051.5399999991</v>
      </c>
    </row>
    <row r="105" spans="1:9" ht="16.5" thickBot="1" x14ac:dyDescent="0.3">
      <c r="A105" s="55"/>
      <c r="B105" s="122" t="s">
        <v>102</v>
      </c>
      <c r="C105" s="528">
        <f>SUM(C102:C104)</f>
        <v>25717.043400000002</v>
      </c>
      <c r="D105" s="528"/>
      <c r="E105" s="123"/>
      <c r="F105" s="123"/>
      <c r="G105" s="123"/>
      <c r="H105" s="124" t="s">
        <v>100</v>
      </c>
      <c r="I105" s="101">
        <f>SUM('1461:4131'!I104)</f>
        <v>24671396.200000003</v>
      </c>
    </row>
    <row r="106" spans="1:9" ht="16.5" thickTop="1" x14ac:dyDescent="0.25">
      <c r="A106" s="553" t="s">
        <v>65</v>
      </c>
      <c r="B106" s="553"/>
      <c r="C106" s="553"/>
      <c r="D106" s="553"/>
      <c r="E106" s="553"/>
      <c r="F106" s="553"/>
      <c r="G106" s="553"/>
      <c r="H106" s="553"/>
      <c r="I106" s="553"/>
    </row>
    <row r="107" spans="1:9" x14ac:dyDescent="0.25">
      <c r="A107" s="434"/>
      <c r="B107" s="434"/>
      <c r="C107" s="434"/>
      <c r="D107" s="434"/>
      <c r="E107" s="434"/>
      <c r="F107" s="434"/>
      <c r="G107" s="434"/>
      <c r="H107" s="434"/>
      <c r="I107" s="434"/>
    </row>
    <row r="108" spans="1:9" x14ac:dyDescent="0.25">
      <c r="A108" s="81" t="s">
        <v>428</v>
      </c>
      <c r="C108" s="43"/>
      <c r="D108" s="69"/>
      <c r="E108" s="43" t="s">
        <v>32</v>
      </c>
      <c r="F108" s="554"/>
      <c r="G108" s="554"/>
      <c r="H108" s="554"/>
      <c r="I108" s="554"/>
    </row>
    <row r="109" spans="1:9" x14ac:dyDescent="0.25">
      <c r="B109" s="69"/>
      <c r="C109" s="88" t="s">
        <v>359</v>
      </c>
      <c r="D109" s="334" t="s">
        <v>360</v>
      </c>
      <c r="E109" s="89" t="s">
        <v>107</v>
      </c>
      <c r="F109" s="43"/>
      <c r="G109" s="43"/>
      <c r="H109" s="43"/>
      <c r="I109" s="43"/>
    </row>
    <row r="110" spans="1:9" x14ac:dyDescent="0.25">
      <c r="B110" s="69"/>
      <c r="C110" s="325" t="s">
        <v>2</v>
      </c>
      <c r="D110" s="325" t="s">
        <v>2</v>
      </c>
      <c r="E110" s="90" t="s">
        <v>2</v>
      </c>
      <c r="F110" s="43"/>
      <c r="G110" s="43"/>
      <c r="H110" s="43"/>
      <c r="I110" s="43"/>
    </row>
    <row r="111" spans="1:9" x14ac:dyDescent="0.25">
      <c r="A111" s="529" t="s">
        <v>379</v>
      </c>
      <c r="B111" s="550"/>
      <c r="C111" s="143">
        <f>SUM('1461:4131'!C110)</f>
        <v>3524</v>
      </c>
      <c r="D111" s="143">
        <f>SUM('1461:4131'!D110)</f>
        <v>3413</v>
      </c>
      <c r="E111" s="116">
        <f>SUM('1461:4131'!E110)</f>
        <v>3468.5</v>
      </c>
      <c r="F111" s="126" t="s">
        <v>30</v>
      </c>
      <c r="G111" s="293">
        <f>'1461'!G110</f>
        <v>565</v>
      </c>
      <c r="I111" s="101">
        <f>SUM('1461:4131'!I110)</f>
        <v>1959702.5</v>
      </c>
    </row>
    <row r="112" spans="1:9" x14ac:dyDescent="0.25">
      <c r="A112" s="529" t="s">
        <v>380</v>
      </c>
      <c r="B112" s="550"/>
      <c r="C112" s="143">
        <f>SUM('1461:4131'!C111)</f>
        <v>5</v>
      </c>
      <c r="D112" s="143">
        <f>SUM('1461:4131'!D111)</f>
        <v>1</v>
      </c>
      <c r="E112" s="116">
        <f>SUM('1461:4131'!E111)</f>
        <v>3</v>
      </c>
      <c r="F112" s="126" t="s">
        <v>30</v>
      </c>
      <c r="G112" s="293">
        <f>'1461'!G111</f>
        <v>1762</v>
      </c>
      <c r="I112" s="101">
        <f>SUM('1461:4131'!I111)</f>
        <v>5286</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16" t="s">
        <v>429</v>
      </c>
      <c r="B115" s="517"/>
      <c r="C115" s="517"/>
      <c r="D115" s="69"/>
      <c r="E115" s="39" t="s">
        <v>295</v>
      </c>
      <c r="F115" s="526"/>
      <c r="G115" s="526"/>
      <c r="H115" s="526"/>
      <c r="I115" s="526"/>
    </row>
    <row r="116" spans="1:10" hidden="1" x14ac:dyDescent="0.25">
      <c r="B116" s="69"/>
      <c r="C116" s="527" t="s">
        <v>66</v>
      </c>
      <c r="D116" s="527"/>
      <c r="E116" s="527"/>
      <c r="F116" s="37"/>
      <c r="G116" s="37"/>
      <c r="H116" s="39" t="s">
        <v>108</v>
      </c>
      <c r="I116" s="37"/>
    </row>
    <row r="117" spans="1:10" hidden="1" x14ac:dyDescent="0.25">
      <c r="B117" s="69"/>
      <c r="C117" s="88" t="str">
        <f>C109</f>
        <v>Oct 2022</v>
      </c>
      <c r="D117" s="88" t="str">
        <f>D109</f>
        <v>Feb 2023</v>
      </c>
      <c r="E117" s="137" t="s">
        <v>8</v>
      </c>
      <c r="F117" s="530" t="s">
        <v>109</v>
      </c>
      <c r="G117" s="526"/>
      <c r="H117" s="37" t="s">
        <v>29</v>
      </c>
      <c r="I117" s="37"/>
    </row>
    <row r="118" spans="1:10" ht="15.75" hidden="1" customHeight="1" x14ac:dyDescent="0.25">
      <c r="A118" s="527" t="s">
        <v>69</v>
      </c>
      <c r="B118" s="527"/>
      <c r="C118" s="90" t="s">
        <v>2</v>
      </c>
      <c r="D118" s="90" t="s">
        <v>2</v>
      </c>
      <c r="E118" s="59" t="s">
        <v>2</v>
      </c>
      <c r="F118" s="527" t="s">
        <v>28</v>
      </c>
      <c r="G118" s="527"/>
      <c r="H118" s="59" t="s">
        <v>28</v>
      </c>
      <c r="I118" s="59" t="s">
        <v>8</v>
      </c>
    </row>
    <row r="119" spans="1:10" ht="15.75" hidden="1" customHeight="1" x14ac:dyDescent="0.25">
      <c r="A119" s="551" t="s">
        <v>56</v>
      </c>
      <c r="B119" s="551"/>
      <c r="C119" s="141">
        <v>0</v>
      </c>
      <c r="D119" s="141">
        <v>0</v>
      </c>
      <c r="E119" s="187">
        <f>IF(D31=0,C119*2,C119+D119)</f>
        <v>0</v>
      </c>
      <c r="F119" s="552">
        <v>0</v>
      </c>
      <c r="G119" s="552"/>
      <c r="H119" s="224">
        <f>IF(C119=0,0,125)</f>
        <v>0</v>
      </c>
      <c r="I119" s="101">
        <f>ROUND((H119+F119)*E119,2)</f>
        <v>0</v>
      </c>
    </row>
    <row r="120" spans="1:10" ht="15.75" hidden="1" customHeight="1" x14ac:dyDescent="0.25">
      <c r="A120" s="521" t="s">
        <v>57</v>
      </c>
      <c r="B120" s="521"/>
      <c r="C120" s="143">
        <v>0</v>
      </c>
      <c r="D120" s="143">
        <v>0</v>
      </c>
      <c r="E120" s="116">
        <f>IF(D32=0,C120*2,C120+D120)</f>
        <v>0</v>
      </c>
      <c r="F120" s="522">
        <f>ROUND(F119/2,2)</f>
        <v>0</v>
      </c>
      <c r="G120" s="522"/>
      <c r="H120" s="224">
        <f>IF(C120=0,0,62.5)</f>
        <v>0</v>
      </c>
      <c r="I120" s="101">
        <f>ROUND((H120+F120)*E120,2)</f>
        <v>0</v>
      </c>
    </row>
    <row r="121" spans="1:10" ht="15.75" hidden="1" customHeight="1" x14ac:dyDescent="0.25">
      <c r="A121" s="521" t="s">
        <v>58</v>
      </c>
      <c r="B121" s="521"/>
      <c r="C121" s="143">
        <v>0</v>
      </c>
      <c r="D121" s="143">
        <v>0</v>
      </c>
      <c r="E121" s="116">
        <f>IF(D33=0,C121*2,C121+D121)</f>
        <v>0</v>
      </c>
      <c r="F121" s="523"/>
      <c r="G121" s="523"/>
      <c r="H121" s="225">
        <f>IF(H119&gt;0,436,0)</f>
        <v>0</v>
      </c>
      <c r="I121" s="101">
        <f>ROUND(H121*E121,2)</f>
        <v>0</v>
      </c>
    </row>
    <row r="122" spans="1:10" ht="16.5" hidden="1" customHeight="1" x14ac:dyDescent="0.25">
      <c r="A122" s="526" t="s">
        <v>8</v>
      </c>
      <c r="B122" s="526"/>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16" t="s">
        <v>431</v>
      </c>
      <c r="B124" s="517"/>
      <c r="C124" s="517"/>
      <c r="D124" s="69"/>
      <c r="E124" s="68" t="s">
        <v>34</v>
      </c>
      <c r="F124" s="519"/>
      <c r="G124" s="519"/>
      <c r="H124" s="519"/>
      <c r="I124" s="154">
        <f>SUM('1461:4131'!I123)</f>
        <v>0</v>
      </c>
    </row>
    <row r="125" spans="1:10" x14ac:dyDescent="0.25">
      <c r="B125" s="69"/>
      <c r="C125" s="69"/>
      <c r="D125" s="69"/>
      <c r="E125" s="68"/>
      <c r="F125" s="68"/>
      <c r="G125" s="68"/>
      <c r="H125" s="68"/>
      <c r="I125" s="116"/>
    </row>
    <row r="126" spans="1:10" x14ac:dyDescent="0.25">
      <c r="A126" s="520" t="s">
        <v>8</v>
      </c>
      <c r="B126" s="520"/>
      <c r="C126" s="520"/>
      <c r="D126" s="520"/>
      <c r="E126" s="520"/>
      <c r="F126" s="520"/>
      <c r="G126" s="520"/>
      <c r="H126" s="520"/>
      <c r="I126" s="94">
        <f>SUM('1461:4131'!I125)</f>
        <v>204725624.65999997</v>
      </c>
      <c r="J126" s="251"/>
    </row>
    <row r="127" spans="1:10" x14ac:dyDescent="0.25">
      <c r="A127" s="26"/>
      <c r="B127" s="26"/>
      <c r="C127" s="26"/>
      <c r="D127" s="26"/>
      <c r="E127" s="26"/>
      <c r="F127" s="26"/>
      <c r="G127" s="26"/>
      <c r="H127" s="26"/>
      <c r="I127" s="101"/>
      <c r="J127" s="251"/>
    </row>
    <row r="128" spans="1:10" x14ac:dyDescent="0.25">
      <c r="A128" s="81" t="s">
        <v>464</v>
      </c>
      <c r="B128" s="26"/>
      <c r="C128" s="26"/>
      <c r="D128" s="26"/>
      <c r="E128" s="26"/>
      <c r="F128" s="26"/>
      <c r="G128" s="26"/>
      <c r="H128" s="26"/>
      <c r="I128" s="101">
        <f>SUM('1461:4131'!I127)</f>
        <v>196540981.95999998</v>
      </c>
      <c r="J128" s="251"/>
    </row>
    <row r="129" spans="1:10" x14ac:dyDescent="0.25">
      <c r="A129" s="26"/>
      <c r="B129" s="26"/>
      <c r="C129" s="26"/>
      <c r="D129" s="26"/>
      <c r="E129" s="26"/>
      <c r="F129" s="26"/>
      <c r="G129" s="26"/>
      <c r="H129" s="26"/>
      <c r="I129" s="101"/>
      <c r="J129" s="251"/>
    </row>
    <row r="130" spans="1:10" x14ac:dyDescent="0.25">
      <c r="A130" s="516" t="s">
        <v>465</v>
      </c>
      <c r="B130" s="517"/>
      <c r="C130" s="517"/>
      <c r="D130" s="517"/>
      <c r="E130" s="517"/>
      <c r="F130" s="517"/>
      <c r="G130" s="517"/>
      <c r="H130" s="81" t="s">
        <v>326</v>
      </c>
      <c r="I130" s="134"/>
      <c r="J130" s="251"/>
    </row>
    <row r="131" spans="1:10" x14ac:dyDescent="0.25">
      <c r="A131" s="517" t="s">
        <v>70</v>
      </c>
      <c r="B131" s="517"/>
      <c r="C131" s="517"/>
      <c r="D131" s="517"/>
      <c r="E131" s="517"/>
      <c r="F131" s="517"/>
      <c r="G131" s="517"/>
      <c r="H131" s="70"/>
      <c r="I131" s="116">
        <f>SUM('1461:4131'!I130)</f>
        <v>7643924.8299999991</v>
      </c>
    </row>
    <row r="132" spans="1:10" x14ac:dyDescent="0.25">
      <c r="B132" s="69"/>
      <c r="C132" s="69"/>
      <c r="D132" s="69"/>
      <c r="E132" s="69"/>
      <c r="F132" s="69"/>
      <c r="G132" s="69"/>
      <c r="H132" s="65"/>
      <c r="I132" s="101"/>
    </row>
    <row r="133" spans="1:10" x14ac:dyDescent="0.25">
      <c r="A133" s="3" t="s">
        <v>73</v>
      </c>
      <c r="B133" s="69"/>
      <c r="C133" s="69"/>
      <c r="D133" s="69"/>
      <c r="E133" s="69"/>
      <c r="F133" s="69"/>
      <c r="G133" s="258"/>
      <c r="H133" s="139">
        <f>IF(H131=1,I131,I128)</f>
        <v>196540981.95999998</v>
      </c>
      <c r="I133" s="94">
        <f>SUM('1461:4131'!I132)</f>
        <v>-3219205.3600000003</v>
      </c>
    </row>
    <row r="134" spans="1:10" x14ac:dyDescent="0.25">
      <c r="B134" s="69"/>
      <c r="C134" s="69"/>
      <c r="D134" s="69"/>
      <c r="E134" s="69"/>
      <c r="F134" s="69"/>
      <c r="G134" s="69"/>
      <c r="H134" s="65"/>
      <c r="I134" s="101"/>
    </row>
    <row r="135" spans="1:10" x14ac:dyDescent="0.25">
      <c r="A135" s="310" t="s">
        <v>74</v>
      </c>
      <c r="B135" s="311"/>
      <c r="C135" s="311"/>
      <c r="D135" s="311"/>
      <c r="E135" s="311"/>
      <c r="F135" s="311"/>
      <c r="G135" s="311"/>
      <c r="H135" s="312"/>
      <c r="I135" s="313">
        <f>SUM('1461:4131'!I134)</f>
        <v>201506419.29999998</v>
      </c>
    </row>
    <row r="136" spans="1:10" x14ac:dyDescent="0.25">
      <c r="B136" s="69"/>
      <c r="C136" s="69"/>
      <c r="D136" s="69"/>
      <c r="E136" s="69"/>
      <c r="F136" s="69"/>
      <c r="G136" s="69"/>
      <c r="H136" s="65"/>
      <c r="I136" s="101"/>
    </row>
    <row r="137" spans="1:10" x14ac:dyDescent="0.25">
      <c r="A137" s="3" t="s">
        <v>75</v>
      </c>
      <c r="B137" s="69"/>
      <c r="C137" s="140"/>
      <c r="D137" s="69"/>
      <c r="F137" s="69"/>
      <c r="G137" s="69"/>
      <c r="H137" s="65"/>
      <c r="I137" s="272">
        <f>SUM('1461:4131'!I136)</f>
        <v>-17488157.619999994</v>
      </c>
    </row>
    <row r="138" spans="1:10" x14ac:dyDescent="0.25">
      <c r="B138" s="69"/>
      <c r="C138" s="69"/>
      <c r="D138" s="69"/>
      <c r="E138" s="69"/>
      <c r="F138" s="69"/>
      <c r="G138" s="69"/>
      <c r="H138" s="65"/>
      <c r="I138" s="101"/>
    </row>
    <row r="139" spans="1:10" x14ac:dyDescent="0.25">
      <c r="A139" s="3" t="s">
        <v>248</v>
      </c>
      <c r="B139" s="69"/>
      <c r="C139" s="69"/>
      <c r="D139" s="69"/>
      <c r="E139" s="69"/>
      <c r="F139" s="69"/>
      <c r="G139" s="69"/>
      <c r="H139" s="65"/>
      <c r="I139" s="101">
        <f>SUM('1461:4131'!I138)</f>
        <v>184018261.6800001</v>
      </c>
    </row>
    <row r="140" spans="1:10" x14ac:dyDescent="0.25">
      <c r="A140" s="3"/>
      <c r="B140" s="69"/>
      <c r="C140" s="69"/>
      <c r="D140" s="69"/>
      <c r="E140" s="69"/>
      <c r="F140" s="69"/>
      <c r="G140" s="69"/>
      <c r="H140" s="65"/>
      <c r="I140" s="101"/>
    </row>
    <row r="141" spans="1:10" x14ac:dyDescent="0.25">
      <c r="A141" s="3" t="s">
        <v>249</v>
      </c>
      <c r="B141" s="69"/>
      <c r="C141" s="69"/>
      <c r="D141" s="69"/>
      <c r="E141" s="69"/>
      <c r="F141" s="69"/>
      <c r="G141" s="69"/>
      <c r="H141" s="65"/>
      <c r="I141" s="273">
        <f>'1461'!I140</f>
        <v>11</v>
      </c>
    </row>
    <row r="142" spans="1:10" x14ac:dyDescent="0.25">
      <c r="B142" s="69"/>
      <c r="C142" s="69"/>
      <c r="D142" s="69"/>
      <c r="E142" s="69"/>
      <c r="F142" s="69"/>
      <c r="G142" s="69"/>
      <c r="H142" s="65"/>
      <c r="I142" s="101"/>
    </row>
    <row r="143" spans="1:10" ht="16.5" thickBot="1" x14ac:dyDescent="0.3">
      <c r="A143" s="3" t="s">
        <v>76</v>
      </c>
      <c r="B143" s="69"/>
      <c r="C143" s="69"/>
      <c r="D143" s="69"/>
      <c r="E143" s="69"/>
      <c r="F143" s="69"/>
      <c r="G143" s="69"/>
      <c r="H143" s="65"/>
      <c r="I143" s="155">
        <f>SUM('1461:4131'!I142)</f>
        <v>16728932.900000002</v>
      </c>
    </row>
    <row r="144" spans="1:10" s="135" customFormat="1" ht="16.5" thickTop="1" x14ac:dyDescent="0.25">
      <c r="A144" s="427"/>
      <c r="B144" s="427"/>
      <c r="C144" s="428"/>
      <c r="D144" s="429"/>
      <c r="E144" s="430"/>
      <c r="F144" s="223"/>
      <c r="G144" s="431"/>
      <c r="H144" s="432"/>
      <c r="I144" s="426"/>
    </row>
    <row r="145" spans="1:8" x14ac:dyDescent="0.25">
      <c r="A145" s="549" t="s">
        <v>7</v>
      </c>
      <c r="B145" s="549"/>
      <c r="C145" s="549"/>
      <c r="D145" s="549"/>
      <c r="E145" s="549"/>
      <c r="F145" s="549"/>
      <c r="G145" s="549"/>
      <c r="H145" s="549"/>
    </row>
    <row r="146" spans="1:8" ht="26.25" customHeight="1" x14ac:dyDescent="0.25">
      <c r="A146" s="518" t="s">
        <v>466</v>
      </c>
      <c r="B146" s="518"/>
      <c r="C146" s="518"/>
      <c r="D146" s="518"/>
      <c r="E146" s="518"/>
      <c r="F146" s="518"/>
      <c r="G146" s="518"/>
      <c r="H146" s="518"/>
    </row>
    <row r="147" spans="1:8" x14ac:dyDescent="0.25">
      <c r="A147" s="549" t="s">
        <v>371</v>
      </c>
      <c r="B147" s="549"/>
      <c r="C147" s="549"/>
      <c r="D147" s="549"/>
      <c r="E147" s="549"/>
      <c r="F147" s="549"/>
      <c r="G147" s="549"/>
      <c r="H147" s="549"/>
    </row>
    <row r="148" spans="1:8" x14ac:dyDescent="0.25">
      <c r="A148" s="549" t="s">
        <v>372</v>
      </c>
      <c r="B148" s="549"/>
      <c r="C148" s="549"/>
      <c r="D148" s="549"/>
      <c r="E148" s="549"/>
      <c r="F148" s="549"/>
      <c r="G148" s="549"/>
      <c r="H148" s="549"/>
    </row>
    <row r="149" spans="1:8" x14ac:dyDescent="0.25">
      <c r="A149" s="549" t="s">
        <v>373</v>
      </c>
      <c r="B149" s="549"/>
      <c r="C149" s="549"/>
      <c r="D149" s="549"/>
      <c r="E149" s="549"/>
      <c r="F149" s="549"/>
      <c r="G149" s="549"/>
      <c r="H149" s="549"/>
    </row>
    <row r="150" spans="1:8" x14ac:dyDescent="0.25">
      <c r="A150" s="549" t="s">
        <v>374</v>
      </c>
      <c r="B150" s="549"/>
      <c r="C150" s="549"/>
      <c r="D150" s="549"/>
      <c r="E150" s="549"/>
      <c r="F150" s="549"/>
      <c r="G150" s="549"/>
      <c r="H150" s="549"/>
    </row>
    <row r="151" spans="1:8" x14ac:dyDescent="0.25">
      <c r="A151" s="549" t="s">
        <v>375</v>
      </c>
      <c r="B151" s="549"/>
      <c r="C151" s="549"/>
      <c r="D151" s="549"/>
      <c r="E151" s="549"/>
      <c r="F151" s="549"/>
      <c r="G151" s="549"/>
      <c r="H151" s="549"/>
    </row>
    <row r="152" spans="1:8" ht="26.25" customHeight="1" x14ac:dyDescent="0.25">
      <c r="A152" s="511" t="s">
        <v>467</v>
      </c>
      <c r="B152" s="511"/>
      <c r="C152" s="511"/>
      <c r="D152" s="511"/>
      <c r="E152" s="511"/>
      <c r="F152" s="511"/>
      <c r="G152" s="511"/>
      <c r="H152" s="511"/>
    </row>
    <row r="153" spans="1:8" ht="26.25" customHeight="1" x14ac:dyDescent="0.25">
      <c r="A153" s="518" t="s">
        <v>468</v>
      </c>
      <c r="B153" s="518"/>
      <c r="C153" s="518"/>
      <c r="D153" s="518"/>
      <c r="E153" s="518"/>
      <c r="F153" s="518"/>
      <c r="G153" s="518"/>
      <c r="H153" s="518"/>
    </row>
    <row r="154" spans="1:8" ht="26.25" customHeight="1" x14ac:dyDescent="0.25">
      <c r="A154" s="518" t="s">
        <v>381</v>
      </c>
      <c r="B154" s="518"/>
      <c r="C154" s="518"/>
      <c r="D154" s="518"/>
      <c r="E154" s="518"/>
      <c r="F154" s="518"/>
      <c r="G154" s="518"/>
      <c r="H154" s="518"/>
    </row>
    <row r="155" spans="1:8" ht="16.5" customHeight="1" x14ac:dyDescent="0.25">
      <c r="A155" s="494" t="s">
        <v>289</v>
      </c>
      <c r="B155" s="494"/>
      <c r="C155" s="494"/>
      <c r="D155" s="494"/>
      <c r="E155" s="494"/>
      <c r="F155" s="494"/>
      <c r="G155" s="494"/>
      <c r="H155" s="494"/>
    </row>
    <row r="156" spans="1:8" ht="26.25" customHeight="1" x14ac:dyDescent="0.25">
      <c r="A156" s="511" t="s">
        <v>469</v>
      </c>
      <c r="B156" s="511"/>
      <c r="C156" s="511"/>
      <c r="D156" s="511"/>
      <c r="E156" s="511"/>
      <c r="F156" s="511"/>
      <c r="G156" s="511"/>
      <c r="H156" s="511"/>
    </row>
    <row r="157" spans="1:8" ht="26.25" customHeight="1" x14ac:dyDescent="0.25">
      <c r="A157" s="511" t="s">
        <v>470</v>
      </c>
      <c r="B157" s="511"/>
      <c r="C157" s="511"/>
      <c r="D157" s="511"/>
      <c r="E157" s="511"/>
      <c r="F157" s="511"/>
      <c r="G157" s="511"/>
      <c r="H157" s="511"/>
    </row>
    <row r="158" spans="1:8" x14ac:dyDescent="0.25">
      <c r="A158" s="510" t="s">
        <v>67</v>
      </c>
      <c r="B158" s="511"/>
      <c r="C158" s="511"/>
      <c r="D158" s="511"/>
      <c r="E158" s="511"/>
      <c r="F158" s="511"/>
      <c r="G158" s="511"/>
      <c r="H158" s="511"/>
    </row>
    <row r="159" spans="1:8" ht="54.75" customHeight="1" x14ac:dyDescent="0.25">
      <c r="A159" s="512" t="s">
        <v>471</v>
      </c>
      <c r="B159" s="512"/>
      <c r="C159" s="512"/>
      <c r="D159" s="512"/>
      <c r="E159" s="512"/>
      <c r="F159" s="512"/>
      <c r="G159" s="512"/>
      <c r="H159" s="512"/>
    </row>
    <row r="160" spans="1:8" ht="42.75" customHeight="1" x14ac:dyDescent="0.25">
      <c r="A160" s="512" t="s">
        <v>472</v>
      </c>
      <c r="B160" s="512"/>
      <c r="C160" s="512"/>
      <c r="D160" s="512"/>
      <c r="E160" s="512"/>
      <c r="F160" s="512"/>
      <c r="G160" s="512"/>
      <c r="H160" s="512"/>
    </row>
    <row r="161" spans="1:8" x14ac:dyDescent="0.25">
      <c r="A161" s="495"/>
      <c r="B161" s="495"/>
      <c r="C161" s="495"/>
      <c r="D161" s="495"/>
      <c r="E161" s="495"/>
      <c r="F161" s="495"/>
      <c r="G161" s="495"/>
      <c r="H161" s="495"/>
    </row>
    <row r="162" spans="1:8" x14ac:dyDescent="0.25">
      <c r="A162" s="513" t="s">
        <v>68</v>
      </c>
      <c r="B162" s="513"/>
      <c r="C162" s="513"/>
      <c r="D162" s="513"/>
      <c r="E162" s="513"/>
      <c r="F162" s="513"/>
      <c r="G162" s="513"/>
      <c r="H162" s="513"/>
    </row>
    <row r="163" spans="1:8" ht="26.25" customHeight="1" x14ac:dyDescent="0.25">
      <c r="A163" s="512" t="s">
        <v>473</v>
      </c>
      <c r="B163" s="512"/>
      <c r="C163" s="512"/>
      <c r="D163" s="512"/>
      <c r="E163" s="512"/>
      <c r="F163" s="512"/>
      <c r="G163" s="512"/>
      <c r="H163" s="512"/>
    </row>
    <row r="164" spans="1:8" x14ac:dyDescent="0.25">
      <c r="A164" s="514" t="s">
        <v>11</v>
      </c>
      <c r="B164" s="514"/>
      <c r="C164" s="514"/>
      <c r="D164" s="514"/>
      <c r="E164" s="514"/>
      <c r="F164" s="514"/>
      <c r="G164" s="514"/>
      <c r="H164" s="514"/>
    </row>
  </sheetData>
  <mergeCells count="114">
    <mergeCell ref="A106:I106"/>
    <mergeCell ref="F108:I108"/>
    <mergeCell ref="A111:B111"/>
    <mergeCell ref="A145:H145"/>
    <mergeCell ref="A146:H146"/>
    <mergeCell ref="A147:H147"/>
    <mergeCell ref="A148:H148"/>
    <mergeCell ref="A149:H149"/>
    <mergeCell ref="A150:H150"/>
    <mergeCell ref="A151:H151"/>
    <mergeCell ref="A112:B112"/>
    <mergeCell ref="A119:B119"/>
    <mergeCell ref="F119:G119"/>
    <mergeCell ref="A122:B122"/>
    <mergeCell ref="F115:I115"/>
    <mergeCell ref="C116:E116"/>
    <mergeCell ref="F117:G117"/>
    <mergeCell ref="A118:B118"/>
    <mergeCell ref="F118:G118"/>
    <mergeCell ref="B1:I1"/>
    <mergeCell ref="A4:B4"/>
    <mergeCell ref="C4:E4"/>
    <mergeCell ref="A7:I7"/>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F31:G31"/>
    <mergeCell ref="A32:B32"/>
    <mergeCell ref="A38:B38"/>
    <mergeCell ref="A39:B39"/>
    <mergeCell ref="A40:B40"/>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CCC"/>
  </sheetPr>
  <dimension ref="A1:V218"/>
  <sheetViews>
    <sheetView showGridLines="0" zoomScaleNormal="100" workbookViewId="0">
      <pane ySplit="1" topLeftCell="A123"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318</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207.31</v>
      </c>
      <c r="D18" s="143">
        <v>228.38</v>
      </c>
      <c r="E18" s="116">
        <f t="shared" si="1"/>
        <v>435.69</v>
      </c>
      <c r="F18" s="555">
        <f>'1461'!F18:G18</f>
        <v>0.98799999999999999</v>
      </c>
      <c r="G18" s="555"/>
      <c r="H18" s="80">
        <f t="shared" si="2"/>
        <v>430.46170000000001</v>
      </c>
      <c r="I18" s="101">
        <f t="shared" si="3"/>
        <v>2310247.5099999998</v>
      </c>
      <c r="N18" s="568" t="s">
        <v>24</v>
      </c>
      <c r="O18" s="568"/>
      <c r="P18" s="569">
        <f t="shared" si="0"/>
        <v>0</v>
      </c>
      <c r="Q18" s="569"/>
      <c r="R18" s="570">
        <v>1</v>
      </c>
      <c r="S18" s="570"/>
      <c r="T18" s="95">
        <f t="shared" si="4"/>
        <v>0</v>
      </c>
      <c r="U18" s="475">
        <f t="shared" si="5"/>
        <v>0</v>
      </c>
    </row>
    <row r="19" spans="1:21" x14ac:dyDescent="0.25">
      <c r="A19" s="517" t="s">
        <v>25</v>
      </c>
      <c r="B19" s="517"/>
      <c r="C19" s="143">
        <v>51</v>
      </c>
      <c r="D19" s="143">
        <v>60.07</v>
      </c>
      <c r="E19" s="116">
        <f t="shared" si="1"/>
        <v>111.07</v>
      </c>
      <c r="F19" s="555">
        <f>'1461'!F19:G19</f>
        <v>0.98799999999999999</v>
      </c>
      <c r="G19" s="555"/>
      <c r="H19" s="80">
        <f t="shared" si="2"/>
        <v>109.7372</v>
      </c>
      <c r="I19" s="101">
        <f t="shared" si="3"/>
        <v>588949.24</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16</v>
      </c>
      <c r="D28" s="143">
        <v>20.21</v>
      </c>
      <c r="E28" s="116">
        <f t="shared" si="1"/>
        <v>36.21</v>
      </c>
      <c r="F28" s="555">
        <f>'1461'!F28:G28</f>
        <v>1.208</v>
      </c>
      <c r="G28" s="555"/>
      <c r="H28" s="80">
        <f t="shared" si="2"/>
        <v>43.741700000000002</v>
      </c>
      <c r="I28" s="101">
        <f t="shared" si="3"/>
        <v>234757.6</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274.31</v>
      </c>
      <c r="D30" s="94">
        <f>SUM(D14:D29)</f>
        <v>308.65999999999997</v>
      </c>
      <c r="E30" s="94">
        <f>SUM(E14:E29)</f>
        <v>582.97</v>
      </c>
      <c r="F30" s="536"/>
      <c r="G30" s="536"/>
      <c r="H30" s="99">
        <f>SUM(H14:H29)</f>
        <v>583.94060000000002</v>
      </c>
      <c r="I30" s="94">
        <f>SUM(I14:I29)</f>
        <v>3133954.35</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583.94060000000002</v>
      </c>
      <c r="F46" s="34"/>
      <c r="G46" s="106"/>
      <c r="H46" s="107" t="s">
        <v>98</v>
      </c>
      <c r="I46" s="94">
        <f>SUM(I44,I30)</f>
        <v>3133954.35</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3133954.35</v>
      </c>
      <c r="G51" s="109" t="s">
        <v>6</v>
      </c>
      <c r="H51" s="403">
        <v>4.5199999999999997E-2</v>
      </c>
      <c r="I51" s="101">
        <f>ROUND(F51*H51,2)</f>
        <v>141654.74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3133954.35</v>
      </c>
      <c r="G52" s="109" t="s">
        <v>6</v>
      </c>
      <c r="H52" s="403">
        <v>1.41E-2</v>
      </c>
      <c r="I52" s="101">
        <f>ROUND(F52*H52,2)</f>
        <v>44188.76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185843.5</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51</v>
      </c>
      <c r="D63" s="143">
        <v>58.77</v>
      </c>
      <c r="E63" s="116">
        <f t="shared" si="10"/>
        <v>109.77000000000001</v>
      </c>
      <c r="F63" s="446" t="s">
        <v>14</v>
      </c>
      <c r="G63" s="445">
        <v>251</v>
      </c>
      <c r="H63" s="459">
        <f>'1461'!H63</f>
        <v>835</v>
      </c>
      <c r="I63" s="101">
        <f t="shared" si="11"/>
        <v>91657.95</v>
      </c>
      <c r="N63" s="619"/>
      <c r="O63" s="619"/>
      <c r="P63" s="622"/>
      <c r="Q63" s="622"/>
      <c r="R63" s="40" t="s">
        <v>14</v>
      </c>
      <c r="S63" s="451">
        <v>251</v>
      </c>
      <c r="T63" s="462">
        <f t="shared" si="12"/>
        <v>835</v>
      </c>
      <c r="U63" s="476">
        <f t="shared" si="13"/>
        <v>0</v>
      </c>
      <c r="V63" s="426"/>
    </row>
    <row r="64" spans="1:22" x14ac:dyDescent="0.25">
      <c r="A64" s="533"/>
      <c r="B64" s="533"/>
      <c r="C64" s="143">
        <v>0</v>
      </c>
      <c r="D64" s="143">
        <v>1.3</v>
      </c>
      <c r="E64" s="116">
        <f t="shared" si="10"/>
        <v>1.3</v>
      </c>
      <c r="F64" s="446" t="s">
        <v>14</v>
      </c>
      <c r="G64" s="445">
        <v>252</v>
      </c>
      <c r="H64" s="459">
        <f>'1461'!H64</f>
        <v>3168</v>
      </c>
      <c r="I64" s="101">
        <f t="shared" si="11"/>
        <v>4118.3999999999996</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51</v>
      </c>
      <c r="D66" s="97">
        <f>SUM(D57:D65)</f>
        <v>60.07</v>
      </c>
      <c r="E66" s="97">
        <f>SUM(E57:E65)</f>
        <v>111.07000000000001</v>
      </c>
      <c r="F66" s="520" t="s">
        <v>448</v>
      </c>
      <c r="G66" s="520"/>
      <c r="H66" s="520"/>
      <c r="I66" s="97">
        <f>SUM(I57:I65)</f>
        <v>95776.349999999991</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582.97</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2.8670000000000002E-3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583.94060000000002</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2.5660000000000001E-3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582.97</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3.1189999999999998E-3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582.97</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2.8709999999999999E-3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582.97</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3.1229999999999999E-3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2.8709999999999999E-3</v>
      </c>
      <c r="I85" s="101">
        <f>ROUND(F85*H85,2)</f>
        <v>128234.75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2.8670000000000002E-3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3.1229999999999999E-3</v>
      </c>
      <c r="I90" s="101">
        <f>ROUND(F90*H90,2)</f>
        <v>50489.7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3.1189999999999998E-3</v>
      </c>
      <c r="I92" s="101">
        <f t="shared" ref="I92:I96" si="14">ROUND(F92*H92,2)</f>
        <v>31315.07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2.5660000000000001E-3</v>
      </c>
      <c r="I94" s="101">
        <f t="shared" si="14"/>
        <v>613268.03</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2.5660000000000001E-3</v>
      </c>
      <c r="I96" s="101">
        <f t="shared" si="14"/>
        <v>-4105.72</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583.94060000000002</v>
      </c>
      <c r="D103" s="515"/>
      <c r="E103" s="46">
        <f>H8</f>
        <v>1.0442</v>
      </c>
      <c r="F103" s="304">
        <f>'1461'!F103</f>
        <v>906.93</v>
      </c>
      <c r="G103" s="39" t="s">
        <v>12</v>
      </c>
      <c r="H103" s="94">
        <f>ROUND(C103*E103*F103,2)</f>
        <v>553001.27</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583.94060000000002</v>
      </c>
      <c r="D104" s="528"/>
      <c r="E104" s="123"/>
      <c r="F104" s="123"/>
      <c r="G104" s="123"/>
      <c r="H104" s="124" t="s">
        <v>100</v>
      </c>
      <c r="I104" s="101">
        <f>IF(A1=75,0,H103+H102+H101)</f>
        <v>553001.27</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83</v>
      </c>
      <c r="D110" s="143">
        <v>76</v>
      </c>
      <c r="E110" s="116">
        <f>(C110+D110)/2</f>
        <v>79.5</v>
      </c>
      <c r="F110" s="126" t="s">
        <v>30</v>
      </c>
      <c r="G110" s="305">
        <f>'1461'!G110</f>
        <v>565</v>
      </c>
      <c r="I110" s="101">
        <f>ROUND(G110*E110,2)</f>
        <v>44917.5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4646851.3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4461007.8</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4461007.8</v>
      </c>
      <c r="I132" s="94">
        <f>ROUND(IF(E30=0,0,IF(E30&gt;250,-(((250/E30)*H132)*IF(G132="H",0.02,0.05)),IF(G132="H",-0.02*H132,-0.05*H132))),2)</f>
        <v>-95652.6</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4551198.7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-403654.84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4147543.8600000003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377049.44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127397.79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129</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112.01</v>
      </c>
      <c r="D14" s="141">
        <v>107.48</v>
      </c>
      <c r="E14" s="187">
        <f>IF(D$30=0,C14*2,C14+D14)</f>
        <v>219.49</v>
      </c>
      <c r="F14" s="558">
        <f>'1461'!F14:G14</f>
        <v>1.1220000000000001</v>
      </c>
      <c r="G14" s="558"/>
      <c r="H14" s="145">
        <f>ROUND(E14*F14,4)</f>
        <v>246.26779999999999</v>
      </c>
      <c r="I14" s="111">
        <f>ROUND(ROUND(ROUND(H14*$C$8,4)*($H$8),2)*(MAX($H$9,1)),2)</f>
        <v>1321696.1499999999</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9.5</v>
      </c>
      <c r="D15" s="143">
        <v>10.54</v>
      </c>
      <c r="E15" s="116">
        <f t="shared" ref="E15:E29" si="1">IF(D$30=0,C15*2,C15+D15)</f>
        <v>20.04</v>
      </c>
      <c r="F15" s="555">
        <f>'1461'!F15:G15</f>
        <v>1.1220000000000001</v>
      </c>
      <c r="G15" s="555"/>
      <c r="H15" s="80">
        <f t="shared" ref="H15:H29" si="2">ROUND(E15*F15,4)</f>
        <v>22.4849</v>
      </c>
      <c r="I15" s="101">
        <f t="shared" ref="I15:I29" si="3">ROUND(ROUND(ROUND(H15*$C$8,4)*($H$8),2)*(MAX($H$9,1)),2)</f>
        <v>120674.35</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171.44</v>
      </c>
      <c r="D16" s="143">
        <v>175.71</v>
      </c>
      <c r="E16" s="116">
        <f t="shared" si="1"/>
        <v>347.15</v>
      </c>
      <c r="F16" s="555">
        <f>'1461'!F16:G16</f>
        <v>1</v>
      </c>
      <c r="G16" s="555"/>
      <c r="H16" s="80">
        <f t="shared" si="2"/>
        <v>347.15</v>
      </c>
      <c r="I16" s="101">
        <f t="shared" si="3"/>
        <v>1863121.44</v>
      </c>
      <c r="N16" s="568" t="s">
        <v>22</v>
      </c>
      <c r="O16" s="568"/>
      <c r="P16" s="569">
        <f t="shared" si="0"/>
        <v>0</v>
      </c>
      <c r="Q16" s="569"/>
      <c r="R16" s="570">
        <v>1</v>
      </c>
      <c r="S16" s="570"/>
      <c r="T16" s="95">
        <f t="shared" si="4"/>
        <v>0</v>
      </c>
      <c r="U16" s="475">
        <f t="shared" si="5"/>
        <v>0</v>
      </c>
    </row>
    <row r="17" spans="1:21" x14ac:dyDescent="0.25">
      <c r="A17" s="517" t="s">
        <v>23</v>
      </c>
      <c r="B17" s="517"/>
      <c r="C17" s="143">
        <v>23</v>
      </c>
      <c r="D17" s="143">
        <v>19</v>
      </c>
      <c r="E17" s="116">
        <f t="shared" si="1"/>
        <v>42</v>
      </c>
      <c r="F17" s="555">
        <f>'1461'!F17:G17</f>
        <v>1</v>
      </c>
      <c r="G17" s="555"/>
      <c r="H17" s="80">
        <f t="shared" si="2"/>
        <v>42</v>
      </c>
      <c r="I17" s="101">
        <f t="shared" si="3"/>
        <v>225410.05</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22.25</v>
      </c>
      <c r="D26" s="143">
        <v>23.49</v>
      </c>
      <c r="E26" s="116">
        <f t="shared" si="1"/>
        <v>45.739999999999995</v>
      </c>
      <c r="F26" s="555">
        <f>'1461'!F26:G26</f>
        <v>1.208</v>
      </c>
      <c r="G26" s="555"/>
      <c r="H26" s="80">
        <f t="shared" si="2"/>
        <v>55.253900000000002</v>
      </c>
      <c r="I26" s="101">
        <f t="shared" si="3"/>
        <v>296542.49</v>
      </c>
      <c r="N26" s="568" t="s">
        <v>85</v>
      </c>
      <c r="O26" s="568"/>
      <c r="P26" s="569">
        <f t="shared" si="0"/>
        <v>0</v>
      </c>
      <c r="Q26" s="569"/>
      <c r="R26" s="570">
        <v>1</v>
      </c>
      <c r="S26" s="570"/>
      <c r="T26" s="95">
        <f t="shared" si="4"/>
        <v>0</v>
      </c>
      <c r="U26" s="475">
        <f t="shared" si="5"/>
        <v>0</v>
      </c>
    </row>
    <row r="27" spans="1:21" x14ac:dyDescent="0.25">
      <c r="A27" s="517" t="s">
        <v>86</v>
      </c>
      <c r="B27" s="517"/>
      <c r="C27" s="143">
        <v>18.32</v>
      </c>
      <c r="D27" s="143">
        <v>19.510000000000002</v>
      </c>
      <c r="E27" s="116">
        <f t="shared" si="1"/>
        <v>37.83</v>
      </c>
      <c r="F27" s="555">
        <f>'1461'!F27:G27</f>
        <v>1.208</v>
      </c>
      <c r="G27" s="555"/>
      <c r="H27" s="80">
        <f t="shared" si="2"/>
        <v>45.698599999999999</v>
      </c>
      <c r="I27" s="101">
        <f t="shared" si="3"/>
        <v>245260.09</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356.52</v>
      </c>
      <c r="D30" s="94">
        <f>SUM(D14:D29)</f>
        <v>355.73</v>
      </c>
      <c r="E30" s="94">
        <f>SUM(E14:E29)</f>
        <v>712.25</v>
      </c>
      <c r="F30" s="536"/>
      <c r="G30" s="536"/>
      <c r="H30" s="99">
        <f>SUM(H14:H29)</f>
        <v>758.85519999999997</v>
      </c>
      <c r="I30" s="94">
        <f>SUM(I14:I29)</f>
        <v>4072704.5699999994</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758.85519999999997</v>
      </c>
      <c r="F46" s="34"/>
      <c r="G46" s="106"/>
      <c r="H46" s="107" t="s">
        <v>98</v>
      </c>
      <c r="I46" s="94">
        <f>SUM(I44,I30)</f>
        <v>4072704.5699999994</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4072704.5699999994</v>
      </c>
      <c r="G51" s="109" t="s">
        <v>6</v>
      </c>
      <c r="H51" s="403">
        <v>4.5199999999999997E-2</v>
      </c>
      <c r="I51" s="101">
        <f>ROUND(F51*H51,2)</f>
        <v>184086.25</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4072704.5699999994</v>
      </c>
      <c r="G52" s="109" t="s">
        <v>6</v>
      </c>
      <c r="H52" s="403">
        <v>1.41E-2</v>
      </c>
      <c r="I52" s="101">
        <f>ROUND(F52*H52,2)</f>
        <v>57425.13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241511.38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9</v>
      </c>
      <c r="D57" s="143">
        <v>10.039999999999999</v>
      </c>
      <c r="E57" s="116">
        <f t="shared" ref="E57:E65" si="10">IF(D$72=0,C57*2,C57+D57)</f>
        <v>19.04</v>
      </c>
      <c r="F57" s="445" t="s">
        <v>439</v>
      </c>
      <c r="G57" s="445">
        <v>251</v>
      </c>
      <c r="H57" s="459">
        <f>'1461'!H57</f>
        <v>1047</v>
      </c>
      <c r="I57" s="101">
        <f>ROUND(E57*H57,2)</f>
        <v>19934.88</v>
      </c>
      <c r="N57" s="618" t="s">
        <v>447</v>
      </c>
      <c r="O57" s="618"/>
      <c r="P57" s="621"/>
      <c r="Q57" s="621"/>
      <c r="R57" s="451" t="s">
        <v>439</v>
      </c>
      <c r="S57" s="451">
        <v>251</v>
      </c>
      <c r="T57" s="462">
        <f>H57</f>
        <v>1047</v>
      </c>
      <c r="U57" s="476">
        <f>ROUND(P57*T57,2)</f>
        <v>0</v>
      </c>
      <c r="V57" s="426"/>
    </row>
    <row r="58" spans="1:22" x14ac:dyDescent="0.25">
      <c r="A58" s="533"/>
      <c r="B58" s="533"/>
      <c r="C58" s="143">
        <v>0.5</v>
      </c>
      <c r="D58" s="143">
        <v>0</v>
      </c>
      <c r="E58" s="116">
        <f t="shared" si="10"/>
        <v>0.5</v>
      </c>
      <c r="F58" s="445" t="s">
        <v>439</v>
      </c>
      <c r="G58" s="445">
        <v>252</v>
      </c>
      <c r="H58" s="459">
        <f>'1461'!H58</f>
        <v>3380</v>
      </c>
      <c r="I58" s="101">
        <f t="shared" ref="I58:I65" si="11">ROUND(E58*H58,2)</f>
        <v>1690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0.5</v>
      </c>
      <c r="E59" s="116">
        <f t="shared" si="10"/>
        <v>0.5</v>
      </c>
      <c r="F59" s="445" t="s">
        <v>439</v>
      </c>
      <c r="G59" s="445">
        <v>253</v>
      </c>
      <c r="H59" s="459">
        <f>'1461'!H59</f>
        <v>6896</v>
      </c>
      <c r="I59" s="101">
        <f t="shared" si="11"/>
        <v>3448</v>
      </c>
      <c r="N59" s="619"/>
      <c r="O59" s="619"/>
      <c r="P59" s="622"/>
      <c r="Q59" s="622"/>
      <c r="R59" s="451" t="s">
        <v>439</v>
      </c>
      <c r="S59" s="451">
        <v>253</v>
      </c>
      <c r="T59" s="462">
        <f t="shared" si="12"/>
        <v>6896</v>
      </c>
      <c r="U59" s="476">
        <f t="shared" si="13"/>
        <v>0</v>
      </c>
      <c r="V59" s="426"/>
    </row>
    <row r="60" spans="1:22" x14ac:dyDescent="0.25">
      <c r="A60" s="533"/>
      <c r="B60" s="533"/>
      <c r="C60" s="143">
        <v>23</v>
      </c>
      <c r="D60" s="143">
        <v>18.5</v>
      </c>
      <c r="E60" s="116">
        <f t="shared" si="10"/>
        <v>41.5</v>
      </c>
      <c r="F60" s="446" t="s">
        <v>13</v>
      </c>
      <c r="G60" s="445">
        <v>251</v>
      </c>
      <c r="H60" s="459">
        <f>'1461'!H60</f>
        <v>1173</v>
      </c>
      <c r="I60" s="101">
        <f t="shared" si="11"/>
        <v>48679.5</v>
      </c>
      <c r="N60" s="619"/>
      <c r="O60" s="619"/>
      <c r="P60" s="622"/>
      <c r="Q60" s="622"/>
      <c r="R60" s="40" t="s">
        <v>13</v>
      </c>
      <c r="S60" s="451">
        <v>251</v>
      </c>
      <c r="T60" s="462">
        <f t="shared" si="12"/>
        <v>1173</v>
      </c>
      <c r="U60" s="476">
        <f t="shared" si="13"/>
        <v>0</v>
      </c>
      <c r="V60" s="426"/>
    </row>
    <row r="61" spans="1:22" x14ac:dyDescent="0.25">
      <c r="A61" s="533"/>
      <c r="B61" s="533"/>
      <c r="C61" s="143">
        <v>0</v>
      </c>
      <c r="D61" s="143">
        <v>0.5</v>
      </c>
      <c r="E61" s="116">
        <f t="shared" si="10"/>
        <v>0.5</v>
      </c>
      <c r="F61" s="446" t="s">
        <v>13</v>
      </c>
      <c r="G61" s="445">
        <v>252</v>
      </c>
      <c r="H61" s="459">
        <f>'1461'!H61</f>
        <v>3506</v>
      </c>
      <c r="I61" s="101">
        <f t="shared" si="11"/>
        <v>1753</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32.5</v>
      </c>
      <c r="D66" s="97">
        <f>SUM(D57:D65)</f>
        <v>29.54</v>
      </c>
      <c r="E66" s="97">
        <f>SUM(E57:E65)</f>
        <v>62.04</v>
      </c>
      <c r="F66" s="520" t="s">
        <v>448</v>
      </c>
      <c r="G66" s="520"/>
      <c r="H66" s="520"/>
      <c r="I66" s="97">
        <f>SUM(I57:I65)</f>
        <v>75505.38</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712.25</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3.503E-3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758.85519999999997</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3.3349999999999999E-3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712.25</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3.8110000000000002E-3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712.25</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3.5070000000000001E-3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712.25</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3.8149999999999998E-3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3.5070000000000001E-3</v>
      </c>
      <c r="I85" s="101">
        <f>ROUND(F85*H85,2)</f>
        <v>156642.03</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3.503E-3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3.8149999999999998E-3</v>
      </c>
      <c r="I90" s="101">
        <f>ROUND(F90*H90,2)</f>
        <v>61677.3</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3.8110000000000002E-3</v>
      </c>
      <c r="I92" s="101">
        <f t="shared" ref="I92:I96" si="14">ROUND(F92*H92,2)</f>
        <v>38262.82</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3.3349999999999999E-3</v>
      </c>
      <c r="I94" s="101">
        <f t="shared" si="14"/>
        <v>797057.24</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3.3349999999999999E-3</v>
      </c>
      <c r="I96" s="101">
        <f t="shared" si="14"/>
        <v>-5336.16</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324.00659999999999</v>
      </c>
      <c r="D101" s="515"/>
      <c r="E101" s="46">
        <f>H8</f>
        <v>1.0442</v>
      </c>
      <c r="F101" s="304">
        <f>'1461'!F101</f>
        <v>947.59</v>
      </c>
      <c r="G101" s="39" t="s">
        <v>12</v>
      </c>
      <c r="H101" s="101">
        <f>ROUND(C101*E101*F101,2)</f>
        <v>320595.94</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434.84859999999998</v>
      </c>
      <c r="D102" s="515"/>
      <c r="E102" s="46">
        <f>H8</f>
        <v>1.0442</v>
      </c>
      <c r="F102" s="304">
        <f>'1461'!F102</f>
        <v>904.74</v>
      </c>
      <c r="G102" s="39" t="s">
        <v>12</v>
      </c>
      <c r="H102" s="101">
        <f>ROUND(C102*E102*F102,2)</f>
        <v>410814.3</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758.85519999999997</v>
      </c>
      <c r="D104" s="528"/>
      <c r="E104" s="123"/>
      <c r="F104" s="123"/>
      <c r="G104" s="123"/>
      <c r="H104" s="124" t="s">
        <v>100</v>
      </c>
      <c r="I104" s="101">
        <f>IF(A1=75,0,H103+H102+H101)</f>
        <v>731410.24</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54</v>
      </c>
      <c r="D110" s="143">
        <v>54</v>
      </c>
      <c r="E110" s="116">
        <f>(C110+D110)/2</f>
        <v>54</v>
      </c>
      <c r="F110" s="126" t="s">
        <v>30</v>
      </c>
      <c r="G110" s="305">
        <f>'1461'!G110</f>
        <v>565</v>
      </c>
      <c r="I110" s="101">
        <f>ROUND(G110*E110,2)</f>
        <v>30510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5958433.4199999999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5716922.04</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5716922.04</v>
      </c>
      <c r="I132" s="94">
        <f>ROUND(IF(E30=0,0,IF(E30&gt;250,-(((250/E30)*H132)*IF(G132="H",0.02,0.05)),IF(G132="H",-0.02*H132,-0.05*H132))),2)</f>
        <v>-100332.08</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5858101.3399999999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-510855.5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5347245.84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486113.26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185514.02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130</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174.71</v>
      </c>
      <c r="D14" s="141">
        <v>171.48</v>
      </c>
      <c r="E14" s="187">
        <f>IF(D$30=0,C14*2,C14+D14)</f>
        <v>346.19</v>
      </c>
      <c r="F14" s="558">
        <f>'1461'!F14:G14</f>
        <v>1.1220000000000001</v>
      </c>
      <c r="G14" s="558"/>
      <c r="H14" s="145">
        <f>ROUND(E14*F14,4)</f>
        <v>388.42520000000002</v>
      </c>
      <c r="I14" s="111">
        <f>ROUND(ROUND(ROUND(H14*$C$8,4)*($H$8),2)*(MAX($H$9,1)),2)</f>
        <v>2084641.56</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21</v>
      </c>
      <c r="D15" s="143">
        <v>21.54</v>
      </c>
      <c r="E15" s="116">
        <f t="shared" ref="E15:E29" si="1">IF(D$30=0,C15*2,C15+D15)</f>
        <v>42.54</v>
      </c>
      <c r="F15" s="555">
        <f>'1461'!F15:G15</f>
        <v>1.1220000000000001</v>
      </c>
      <c r="G15" s="555"/>
      <c r="H15" s="80">
        <f t="shared" ref="H15:H29" si="2">ROUND(E15*F15,4)</f>
        <v>47.729900000000001</v>
      </c>
      <c r="I15" s="101">
        <f t="shared" ref="I15:I29" si="3">ROUND(ROUND(ROUND(H15*$C$8,4)*($H$8),2)*(MAX($H$9,1)),2)</f>
        <v>256161.89</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229.15</v>
      </c>
      <c r="D16" s="143">
        <v>236.4</v>
      </c>
      <c r="E16" s="116">
        <f t="shared" si="1"/>
        <v>465.55</v>
      </c>
      <c r="F16" s="555">
        <f>'1461'!F16:G16</f>
        <v>1</v>
      </c>
      <c r="G16" s="555"/>
      <c r="H16" s="80">
        <f t="shared" si="2"/>
        <v>465.55</v>
      </c>
      <c r="I16" s="101">
        <f t="shared" si="3"/>
        <v>2498563.12</v>
      </c>
      <c r="N16" s="568" t="s">
        <v>22</v>
      </c>
      <c r="O16" s="568"/>
      <c r="P16" s="569">
        <f t="shared" si="0"/>
        <v>0</v>
      </c>
      <c r="Q16" s="569"/>
      <c r="R16" s="570">
        <v>1</v>
      </c>
      <c r="S16" s="570"/>
      <c r="T16" s="95">
        <f t="shared" si="4"/>
        <v>0</v>
      </c>
      <c r="U16" s="475">
        <f t="shared" si="5"/>
        <v>0</v>
      </c>
    </row>
    <row r="17" spans="1:21" x14ac:dyDescent="0.25">
      <c r="A17" s="517" t="s">
        <v>23</v>
      </c>
      <c r="B17" s="517"/>
      <c r="C17" s="143">
        <v>31.86</v>
      </c>
      <c r="D17" s="143">
        <v>32.29</v>
      </c>
      <c r="E17" s="116">
        <f t="shared" si="1"/>
        <v>64.150000000000006</v>
      </c>
      <c r="F17" s="555">
        <f>'1461'!F17:G17</f>
        <v>1</v>
      </c>
      <c r="G17" s="555"/>
      <c r="H17" s="80">
        <f t="shared" si="2"/>
        <v>64.150000000000006</v>
      </c>
      <c r="I17" s="101">
        <f t="shared" si="3"/>
        <v>344287.02</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68.239999999999995</v>
      </c>
      <c r="D26" s="143">
        <v>70.02</v>
      </c>
      <c r="E26" s="116">
        <f t="shared" si="1"/>
        <v>138.26</v>
      </c>
      <c r="F26" s="555">
        <f>'1461'!F26:G26</f>
        <v>1.208</v>
      </c>
      <c r="G26" s="555"/>
      <c r="H26" s="80">
        <f t="shared" si="2"/>
        <v>167.0181</v>
      </c>
      <c r="I26" s="101">
        <f t="shared" si="3"/>
        <v>896370.45</v>
      </c>
      <c r="N26" s="568" t="s">
        <v>85</v>
      </c>
      <c r="O26" s="568"/>
      <c r="P26" s="569">
        <f t="shared" si="0"/>
        <v>0</v>
      </c>
      <c r="Q26" s="569"/>
      <c r="R26" s="570">
        <v>1</v>
      </c>
      <c r="S26" s="570"/>
      <c r="T26" s="95">
        <f t="shared" si="4"/>
        <v>0</v>
      </c>
      <c r="U26" s="475">
        <f t="shared" si="5"/>
        <v>0</v>
      </c>
    </row>
    <row r="27" spans="1:21" x14ac:dyDescent="0.25">
      <c r="A27" s="517" t="s">
        <v>86</v>
      </c>
      <c r="B27" s="517"/>
      <c r="C27" s="143">
        <v>44.19</v>
      </c>
      <c r="D27" s="143">
        <v>42.67</v>
      </c>
      <c r="E27" s="116">
        <f t="shared" si="1"/>
        <v>86.86</v>
      </c>
      <c r="F27" s="555">
        <f>'1461'!F27:G27</f>
        <v>1.208</v>
      </c>
      <c r="G27" s="555"/>
      <c r="H27" s="80">
        <f t="shared" si="2"/>
        <v>104.9269</v>
      </c>
      <c r="I27" s="101">
        <f t="shared" si="3"/>
        <v>563132.81999999995</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569.15000000000009</v>
      </c>
      <c r="D30" s="94">
        <f>SUM(D14:D29)</f>
        <v>574.4</v>
      </c>
      <c r="E30" s="94">
        <f>SUM(E14:E29)</f>
        <v>1143.55</v>
      </c>
      <c r="F30" s="536"/>
      <c r="G30" s="536"/>
      <c r="H30" s="99">
        <f>SUM(H14:H29)</f>
        <v>1237.8000999999999</v>
      </c>
      <c r="I30" s="94">
        <f>SUM(I14:I29)</f>
        <v>6643156.8600000003</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1237.8000999999999</v>
      </c>
      <c r="F46" s="34"/>
      <c r="G46" s="106"/>
      <c r="H46" s="107" t="s">
        <v>98</v>
      </c>
      <c r="I46" s="94">
        <f>SUM(I44,I30)</f>
        <v>6643156.8600000003</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6643156.8600000003</v>
      </c>
      <c r="G51" s="109" t="s">
        <v>6</v>
      </c>
      <c r="H51" s="403">
        <v>4.5199999999999997E-2</v>
      </c>
      <c r="I51" s="101">
        <f>ROUND(F51*H51,2)</f>
        <v>300270.69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6643156.8600000003</v>
      </c>
      <c r="G52" s="109" t="s">
        <v>6</v>
      </c>
      <c r="H52" s="403">
        <v>1.41E-2</v>
      </c>
      <c r="I52" s="101">
        <f>ROUND(F52*H52,2)</f>
        <v>93668.51</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393939.20000000001</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16.5</v>
      </c>
      <c r="D57" s="143">
        <v>16.53</v>
      </c>
      <c r="E57" s="116">
        <f t="shared" ref="E57:E65" si="10">IF(D$72=0,C57*2,C57+D57)</f>
        <v>33.03</v>
      </c>
      <c r="F57" s="445" t="s">
        <v>439</v>
      </c>
      <c r="G57" s="445">
        <v>251</v>
      </c>
      <c r="H57" s="459">
        <f>'1461'!H57</f>
        <v>1047</v>
      </c>
      <c r="I57" s="101">
        <f>ROUND(E57*H57,2)</f>
        <v>34582.410000000003</v>
      </c>
      <c r="N57" s="618" t="s">
        <v>447</v>
      </c>
      <c r="O57" s="618"/>
      <c r="P57" s="621"/>
      <c r="Q57" s="621"/>
      <c r="R57" s="451" t="s">
        <v>439</v>
      </c>
      <c r="S57" s="451">
        <v>251</v>
      </c>
      <c r="T57" s="462">
        <f>H57</f>
        <v>1047</v>
      </c>
      <c r="U57" s="476">
        <f>ROUND(P57*T57,2)</f>
        <v>0</v>
      </c>
      <c r="V57" s="426"/>
    </row>
    <row r="58" spans="1:22" x14ac:dyDescent="0.25">
      <c r="A58" s="533"/>
      <c r="B58" s="533"/>
      <c r="C58" s="143">
        <v>4.5</v>
      </c>
      <c r="D58" s="143">
        <v>4.51</v>
      </c>
      <c r="E58" s="116">
        <f t="shared" si="10"/>
        <v>9.01</v>
      </c>
      <c r="F58" s="445" t="s">
        <v>439</v>
      </c>
      <c r="G58" s="445">
        <v>252</v>
      </c>
      <c r="H58" s="459">
        <f>'1461'!H58</f>
        <v>3380</v>
      </c>
      <c r="I58" s="101">
        <f t="shared" ref="I58:I65" si="11">ROUND(E58*H58,2)</f>
        <v>30453.8</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0.5</v>
      </c>
      <c r="E59" s="116">
        <f t="shared" si="10"/>
        <v>0.5</v>
      </c>
      <c r="F59" s="445" t="s">
        <v>439</v>
      </c>
      <c r="G59" s="445">
        <v>253</v>
      </c>
      <c r="H59" s="459">
        <f>'1461'!H59</f>
        <v>6896</v>
      </c>
      <c r="I59" s="101">
        <f t="shared" si="11"/>
        <v>3448</v>
      </c>
      <c r="N59" s="619"/>
      <c r="O59" s="619"/>
      <c r="P59" s="622"/>
      <c r="Q59" s="622"/>
      <c r="R59" s="451" t="s">
        <v>439</v>
      </c>
      <c r="S59" s="451">
        <v>253</v>
      </c>
      <c r="T59" s="462">
        <f t="shared" si="12"/>
        <v>6896</v>
      </c>
      <c r="U59" s="476">
        <f t="shared" si="13"/>
        <v>0</v>
      </c>
      <c r="V59" s="426"/>
    </row>
    <row r="60" spans="1:22" x14ac:dyDescent="0.25">
      <c r="A60" s="533"/>
      <c r="B60" s="533"/>
      <c r="C60" s="143">
        <v>27.85</v>
      </c>
      <c r="D60" s="143">
        <v>27.76</v>
      </c>
      <c r="E60" s="116">
        <f t="shared" si="10"/>
        <v>55.61</v>
      </c>
      <c r="F60" s="446" t="s">
        <v>13</v>
      </c>
      <c r="G60" s="445">
        <v>251</v>
      </c>
      <c r="H60" s="459">
        <f>'1461'!H60</f>
        <v>1173</v>
      </c>
      <c r="I60" s="101">
        <f t="shared" si="11"/>
        <v>65230.53</v>
      </c>
      <c r="N60" s="619"/>
      <c r="O60" s="619"/>
      <c r="P60" s="622"/>
      <c r="Q60" s="622"/>
      <c r="R60" s="40" t="s">
        <v>13</v>
      </c>
      <c r="S60" s="451">
        <v>251</v>
      </c>
      <c r="T60" s="462">
        <f t="shared" si="12"/>
        <v>1173</v>
      </c>
      <c r="U60" s="476">
        <f t="shared" si="13"/>
        <v>0</v>
      </c>
      <c r="V60" s="426"/>
    </row>
    <row r="61" spans="1:22" x14ac:dyDescent="0.25">
      <c r="A61" s="533"/>
      <c r="B61" s="533"/>
      <c r="C61" s="143">
        <v>4.01</v>
      </c>
      <c r="D61" s="143">
        <v>4.53</v>
      </c>
      <c r="E61" s="116">
        <f t="shared" si="10"/>
        <v>8.5399999999999991</v>
      </c>
      <c r="F61" s="446" t="s">
        <v>13</v>
      </c>
      <c r="G61" s="445">
        <v>252</v>
      </c>
      <c r="H61" s="459">
        <f>'1461'!H61</f>
        <v>3506</v>
      </c>
      <c r="I61" s="101">
        <f t="shared" si="11"/>
        <v>29941.24</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52.86</v>
      </c>
      <c r="D66" s="97">
        <f>SUM(D57:D65)</f>
        <v>53.83</v>
      </c>
      <c r="E66" s="97">
        <f>SUM(E57:E65)</f>
        <v>106.69</v>
      </c>
      <c r="F66" s="520" t="s">
        <v>448</v>
      </c>
      <c r="G66" s="520"/>
      <c r="H66" s="520"/>
      <c r="I66" s="97">
        <f>SUM(I57:I65)</f>
        <v>163655.97999999998</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1143.55</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5.6249999999999998E-3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1237.8000999999999</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5.4400000000000004E-3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1143.55</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6.1180000000000002E-3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1143.55</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5.6309999999999997E-3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1143.55</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6.1260000000000004E-3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5.6309999999999997E-3</v>
      </c>
      <c r="I85" s="101">
        <f>ROUND(F85*H85,2)</f>
        <v>251511.63</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5.6249999999999998E-3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6.1260000000000004E-3</v>
      </c>
      <c r="I90" s="101">
        <f>ROUND(F90*H90,2)</f>
        <v>99039.360000000001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6.1180000000000002E-3</v>
      </c>
      <c r="I92" s="101">
        <f t="shared" ref="I92:I96" si="14">ROUND(F92*H92,2)</f>
        <v>61425.33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5.4400000000000004E-3</v>
      </c>
      <c r="I94" s="101">
        <f t="shared" si="14"/>
        <v>1300147.3500000001</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5.4400000000000004E-3</v>
      </c>
      <c r="I96" s="101">
        <f t="shared" si="14"/>
        <v>-8704.26</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603.17319999999995</v>
      </c>
      <c r="D101" s="515"/>
      <c r="E101" s="46">
        <f>H8</f>
        <v>1.0442</v>
      </c>
      <c r="F101" s="304">
        <f>'1461'!F101</f>
        <v>947.59</v>
      </c>
      <c r="G101" s="39" t="s">
        <v>12</v>
      </c>
      <c r="H101" s="101">
        <f>ROUND(C101*E101*F101,2)</f>
        <v>596823.88</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634.62690000000009</v>
      </c>
      <c r="D102" s="515"/>
      <c r="E102" s="46">
        <f>H8</f>
        <v>1.0442</v>
      </c>
      <c r="F102" s="304">
        <f>'1461'!F102</f>
        <v>904.74</v>
      </c>
      <c r="G102" s="39" t="s">
        <v>12</v>
      </c>
      <c r="H102" s="101">
        <f>ROUND(C102*E102*F102,2)</f>
        <v>599550.76</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1237.8000999999999</v>
      </c>
      <c r="D104" s="528"/>
      <c r="E104" s="123"/>
      <c r="F104" s="123"/>
      <c r="G104" s="123"/>
      <c r="H104" s="124" t="s">
        <v>100</v>
      </c>
      <c r="I104" s="101">
        <f>IF(A1=75,0,H103+H102+H101)</f>
        <v>1196374.6400000001</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5</v>
      </c>
      <c r="D110" s="143">
        <v>2</v>
      </c>
      <c r="E110" s="116">
        <f>(C110+D110)/2</f>
        <v>3.5</v>
      </c>
      <c r="F110" s="126" t="s">
        <v>30</v>
      </c>
      <c r="G110" s="305">
        <f>'1461'!G110</f>
        <v>565</v>
      </c>
      <c r="I110" s="101">
        <f>ROUND(G110*E110,2)</f>
        <v>1977.5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9708584.3900000006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9314645.1900000013</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9314645.1900000013</v>
      </c>
      <c r="I132" s="94">
        <f>ROUND(IF(E30=0,0,IF(E30&gt;250,-(((250/E30)*H132)*IF(G132="H",0.02,0.05)),IF(G132="H",-0.02*H132,-0.05*H132))),2)</f>
        <v>-101817.21</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9606767.1799999997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-835353.87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8771413.3100000005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797401.21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363915.05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131</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273.76</v>
      </c>
      <c r="D16" s="143">
        <v>270.77</v>
      </c>
      <c r="E16" s="116">
        <f t="shared" si="1"/>
        <v>544.53</v>
      </c>
      <c r="F16" s="555">
        <f>'1461'!F16:G16</f>
        <v>1</v>
      </c>
      <c r="G16" s="555"/>
      <c r="H16" s="80">
        <f t="shared" si="2"/>
        <v>544.53</v>
      </c>
      <c r="I16" s="101">
        <f t="shared" si="3"/>
        <v>2922441.36</v>
      </c>
      <c r="N16" s="568" t="s">
        <v>22</v>
      </c>
      <c r="O16" s="568"/>
      <c r="P16" s="569">
        <f t="shared" si="0"/>
        <v>0</v>
      </c>
      <c r="Q16" s="569"/>
      <c r="R16" s="570">
        <v>1</v>
      </c>
      <c r="S16" s="570"/>
      <c r="T16" s="95">
        <f t="shared" si="4"/>
        <v>0</v>
      </c>
      <c r="U16" s="475">
        <f t="shared" si="5"/>
        <v>0</v>
      </c>
    </row>
    <row r="17" spans="1:21" x14ac:dyDescent="0.25">
      <c r="A17" s="517" t="s">
        <v>23</v>
      </c>
      <c r="B17" s="517"/>
      <c r="C17" s="143">
        <v>65</v>
      </c>
      <c r="D17" s="143">
        <v>61.51</v>
      </c>
      <c r="E17" s="116">
        <f t="shared" si="1"/>
        <v>126.50999999999999</v>
      </c>
      <c r="F17" s="555">
        <f>'1461'!F17:G17</f>
        <v>1</v>
      </c>
      <c r="G17" s="555"/>
      <c r="H17" s="80">
        <f t="shared" si="2"/>
        <v>126.51</v>
      </c>
      <c r="I17" s="101">
        <f t="shared" si="3"/>
        <v>678967.29</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6.49</v>
      </c>
      <c r="D27" s="143">
        <v>7.15</v>
      </c>
      <c r="E27" s="116">
        <f t="shared" si="1"/>
        <v>13.64</v>
      </c>
      <c r="F27" s="555">
        <f>'1461'!F27:G27</f>
        <v>1.208</v>
      </c>
      <c r="G27" s="555"/>
      <c r="H27" s="80">
        <f t="shared" si="2"/>
        <v>16.4771</v>
      </c>
      <c r="I27" s="101">
        <f t="shared" si="3"/>
        <v>88431.05</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345.25</v>
      </c>
      <c r="D30" s="94">
        <f>SUM(D14:D29)</f>
        <v>339.42999999999995</v>
      </c>
      <c r="E30" s="94">
        <f>SUM(E14:E29)</f>
        <v>684.68</v>
      </c>
      <c r="F30" s="536"/>
      <c r="G30" s="536"/>
      <c r="H30" s="99">
        <f>SUM(H14:H29)</f>
        <v>687.51709999999991</v>
      </c>
      <c r="I30" s="94">
        <f>SUM(I14:I29)</f>
        <v>3689839.6999999997</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687.51709999999991</v>
      </c>
      <c r="F46" s="34"/>
      <c r="G46" s="106"/>
      <c r="H46" s="107" t="s">
        <v>98</v>
      </c>
      <c r="I46" s="94">
        <f>SUM(I44,I30)</f>
        <v>3689839.6999999997</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3689839.6999999997</v>
      </c>
      <c r="G51" s="109" t="s">
        <v>6</v>
      </c>
      <c r="H51" s="403">
        <v>4.5199999999999997E-2</v>
      </c>
      <c r="I51" s="101">
        <f>ROUND(F51*H51,2)</f>
        <v>166780.75</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3689839.6999999997</v>
      </c>
      <c r="G52" s="109" t="s">
        <v>6</v>
      </c>
      <c r="H52" s="403">
        <v>1.41E-2</v>
      </c>
      <c r="I52" s="101">
        <f>ROUND(F52*H52,2)</f>
        <v>52026.74</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218807.49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63</v>
      </c>
      <c r="D60" s="143">
        <v>59.51</v>
      </c>
      <c r="E60" s="116">
        <f t="shared" si="10"/>
        <v>122.50999999999999</v>
      </c>
      <c r="F60" s="446" t="s">
        <v>13</v>
      </c>
      <c r="G60" s="445">
        <v>251</v>
      </c>
      <c r="H60" s="459">
        <f>'1461'!H60</f>
        <v>1173</v>
      </c>
      <c r="I60" s="101">
        <f t="shared" si="11"/>
        <v>143704.23000000001</v>
      </c>
      <c r="N60" s="619"/>
      <c r="O60" s="619"/>
      <c r="P60" s="622"/>
      <c r="Q60" s="622"/>
      <c r="R60" s="40" t="s">
        <v>13</v>
      </c>
      <c r="S60" s="451">
        <v>251</v>
      </c>
      <c r="T60" s="462">
        <f t="shared" si="12"/>
        <v>1173</v>
      </c>
      <c r="U60" s="476">
        <f t="shared" si="13"/>
        <v>0</v>
      </c>
      <c r="V60" s="426"/>
    </row>
    <row r="61" spans="1:22" x14ac:dyDescent="0.25">
      <c r="A61" s="533"/>
      <c r="B61" s="533"/>
      <c r="C61" s="143">
        <v>2</v>
      </c>
      <c r="D61" s="143">
        <v>2</v>
      </c>
      <c r="E61" s="116">
        <f t="shared" si="10"/>
        <v>4</v>
      </c>
      <c r="F61" s="446" t="s">
        <v>13</v>
      </c>
      <c r="G61" s="445">
        <v>252</v>
      </c>
      <c r="H61" s="459">
        <f>'1461'!H61</f>
        <v>3506</v>
      </c>
      <c r="I61" s="101">
        <f t="shared" si="11"/>
        <v>14024</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65</v>
      </c>
      <c r="D66" s="97">
        <f>SUM(D57:D65)</f>
        <v>61.51</v>
      </c>
      <c r="E66" s="97">
        <f>SUM(E57:E65)</f>
        <v>126.50999999999999</v>
      </c>
      <c r="F66" s="520" t="s">
        <v>448</v>
      </c>
      <c r="G66" s="520"/>
      <c r="H66" s="520"/>
      <c r="I66" s="97">
        <f>SUM(I57:I65)</f>
        <v>157728.23000000001</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684.68</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3.3679999999999999E-3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687.51709999999991</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3.0219999999999999E-3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684.68</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3.663E-3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684.68</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3.3709999999999999E-3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684.68</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3.6679999999999998E-3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3.3709999999999999E-3</v>
      </c>
      <c r="I85" s="101">
        <f>ROUND(F85*H85,2)</f>
        <v>150567.51999999999</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3.3679999999999999E-3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3.6679999999999998E-3</v>
      </c>
      <c r="I90" s="101">
        <f>ROUND(F90*H90,2)</f>
        <v>59300.75</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3.663E-3</v>
      </c>
      <c r="I92" s="101">
        <f t="shared" ref="I92:I96" si="14">ROUND(F92*H92,2)</f>
        <v>36776.879999999997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3.0219999999999999E-3</v>
      </c>
      <c r="I94" s="101">
        <f t="shared" si="14"/>
        <v>722250.97</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3.0219999999999999E-3</v>
      </c>
      <c r="I96" s="101">
        <f t="shared" si="14"/>
        <v>-4835.34</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687.51709999999991</v>
      </c>
      <c r="D102" s="515"/>
      <c r="E102" s="46">
        <f>H8</f>
        <v>1.0442</v>
      </c>
      <c r="F102" s="304">
        <f>'1461'!F102</f>
        <v>904.74</v>
      </c>
      <c r="G102" s="39" t="s">
        <v>12</v>
      </c>
      <c r="H102" s="101">
        <f>ROUND(C102*E102*F102,2)</f>
        <v>649517.68999999994</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687.51709999999991</v>
      </c>
      <c r="D104" s="528"/>
      <c r="E104" s="123"/>
      <c r="F104" s="123"/>
      <c r="G104" s="123"/>
      <c r="H104" s="124" t="s">
        <v>100</v>
      </c>
      <c r="I104" s="101">
        <f>IF(A1=75,0,H103+H102+H101)</f>
        <v>649517.68999999994</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0</v>
      </c>
      <c r="E110" s="116">
        <f>(C110+D110)/2</f>
        <v>0</v>
      </c>
      <c r="F110" s="126" t="s">
        <v>30</v>
      </c>
      <c r="G110" s="305">
        <f>'1461'!G110</f>
        <v>565</v>
      </c>
      <c r="I110" s="101">
        <f>ROUND(G110*E110,2)</f>
        <v>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5461146.4000000004</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5242338.91</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5242338.91</v>
      </c>
      <c r="I132" s="94">
        <f>ROUND(IF(E30=0,0,IF(E30&gt;250,-(((250/E30)*H132)*IF(G132="H",0.02,0.05)),IF(G132="H",-0.02*H132,-0.05*H132))),2)</f>
        <v>-38283.129999999997</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5422863.2700000005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-476626.69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4946236.58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449657.87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66563.649999999994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CCC"/>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132</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452.59</v>
      </c>
      <c r="D18" s="143">
        <v>446.86</v>
      </c>
      <c r="E18" s="116">
        <f t="shared" si="1"/>
        <v>899.45</v>
      </c>
      <c r="F18" s="555">
        <f>'1461'!F18:G18</f>
        <v>0.98799999999999999</v>
      </c>
      <c r="G18" s="555"/>
      <c r="H18" s="80">
        <f t="shared" si="2"/>
        <v>888.65660000000003</v>
      </c>
      <c r="I18" s="101">
        <f t="shared" si="3"/>
        <v>4769336.5</v>
      </c>
      <c r="N18" s="568" t="s">
        <v>24</v>
      </c>
      <c r="O18" s="568"/>
      <c r="P18" s="569">
        <f t="shared" si="0"/>
        <v>0</v>
      </c>
      <c r="Q18" s="569"/>
      <c r="R18" s="570">
        <v>1</v>
      </c>
      <c r="S18" s="570"/>
      <c r="T18" s="95">
        <f t="shared" si="4"/>
        <v>0</v>
      </c>
      <c r="U18" s="475">
        <f t="shared" si="5"/>
        <v>0</v>
      </c>
    </row>
    <row r="19" spans="1:21" x14ac:dyDescent="0.25">
      <c r="A19" s="517" t="s">
        <v>25</v>
      </c>
      <c r="B19" s="517"/>
      <c r="C19" s="143">
        <v>41.68</v>
      </c>
      <c r="D19" s="143">
        <v>38.9</v>
      </c>
      <c r="E19" s="116">
        <f t="shared" si="1"/>
        <v>80.58</v>
      </c>
      <c r="F19" s="555">
        <f>'1461'!F19:G19</f>
        <v>0.98799999999999999</v>
      </c>
      <c r="G19" s="555"/>
      <c r="H19" s="80">
        <f t="shared" si="2"/>
        <v>79.613</v>
      </c>
      <c r="I19" s="101">
        <f t="shared" si="3"/>
        <v>427275.49</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12.13</v>
      </c>
      <c r="D28" s="143">
        <v>11.07</v>
      </c>
      <c r="E28" s="116">
        <f t="shared" si="1"/>
        <v>23.200000000000003</v>
      </c>
      <c r="F28" s="555">
        <f>'1461'!F28:G28</f>
        <v>1.208</v>
      </c>
      <c r="G28" s="555"/>
      <c r="H28" s="80">
        <f t="shared" si="2"/>
        <v>28.025600000000001</v>
      </c>
      <c r="I28" s="101">
        <f t="shared" si="3"/>
        <v>150410.76</v>
      </c>
      <c r="N28" s="568" t="s">
        <v>87</v>
      </c>
      <c r="O28" s="568"/>
      <c r="P28" s="569">
        <f t="shared" si="0"/>
        <v>0</v>
      </c>
      <c r="Q28" s="569"/>
      <c r="R28" s="570">
        <v>1</v>
      </c>
      <c r="S28" s="570"/>
      <c r="T28" s="95">
        <f t="shared" si="4"/>
        <v>0</v>
      </c>
      <c r="U28" s="475">
        <f t="shared" si="5"/>
        <v>0</v>
      </c>
    </row>
    <row r="29" spans="1:21" x14ac:dyDescent="0.25">
      <c r="A29" s="517" t="s">
        <v>88</v>
      </c>
      <c r="B29" s="517"/>
      <c r="C29" s="110">
        <v>28.41</v>
      </c>
      <c r="D29" s="110">
        <v>28.7</v>
      </c>
      <c r="E29" s="154">
        <f t="shared" si="1"/>
        <v>57.11</v>
      </c>
      <c r="F29" s="555">
        <f>'1461'!F29:G29</f>
        <v>1.0720000000000001</v>
      </c>
      <c r="G29" s="555"/>
      <c r="H29" s="93">
        <f t="shared" si="2"/>
        <v>61.221899999999998</v>
      </c>
      <c r="I29" s="94">
        <f t="shared" si="3"/>
        <v>328572.19</v>
      </c>
      <c r="N29" s="585" t="s">
        <v>88</v>
      </c>
      <c r="O29" s="585"/>
      <c r="P29" s="569">
        <f t="shared" si="0"/>
        <v>0</v>
      </c>
      <c r="Q29" s="569"/>
      <c r="R29" s="586">
        <v>1</v>
      </c>
      <c r="S29" s="586"/>
      <c r="T29" s="95">
        <f t="shared" si="4"/>
        <v>0</v>
      </c>
      <c r="U29" s="475">
        <f t="shared" si="5"/>
        <v>0</v>
      </c>
    </row>
    <row r="30" spans="1:21" x14ac:dyDescent="0.25">
      <c r="A30" s="520" t="s">
        <v>5</v>
      </c>
      <c r="B30" s="520"/>
      <c r="C30" s="94">
        <f>SUM(C14:C29)</f>
        <v>534.80999999999995</v>
      </c>
      <c r="D30" s="94">
        <f>SUM(D14:D29)</f>
        <v>525.53</v>
      </c>
      <c r="E30" s="94">
        <f>SUM(E14:E29)</f>
        <v>1060.3400000000001</v>
      </c>
      <c r="F30" s="536"/>
      <c r="G30" s="536"/>
      <c r="H30" s="99">
        <f>SUM(H14:H29)</f>
        <v>1057.5171</v>
      </c>
      <c r="I30" s="94">
        <f>SUM(I14:I29)</f>
        <v>5675594.9400000004</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1057.5171</v>
      </c>
      <c r="F46" s="34"/>
      <c r="G46" s="106"/>
      <c r="H46" s="107" t="s">
        <v>98</v>
      </c>
      <c r="I46" s="94">
        <f>SUM(I44,I30)</f>
        <v>5675594.9400000004</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5675594.9400000004</v>
      </c>
      <c r="G51" s="109" t="s">
        <v>6</v>
      </c>
      <c r="H51" s="403">
        <v>4.5199999999999997E-2</v>
      </c>
      <c r="I51" s="101">
        <f>ROUND(F51*H51,2)</f>
        <v>256536.89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5675594.9400000004</v>
      </c>
      <c r="G52" s="109" t="s">
        <v>6</v>
      </c>
      <c r="H52" s="403">
        <v>1.41E-2</v>
      </c>
      <c r="I52" s="101">
        <f>ROUND(F52*H52,2)</f>
        <v>80025.89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336562.78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41.18</v>
      </c>
      <c r="D63" s="143">
        <v>38.5</v>
      </c>
      <c r="E63" s="116">
        <f t="shared" si="10"/>
        <v>79.680000000000007</v>
      </c>
      <c r="F63" s="446" t="s">
        <v>14</v>
      </c>
      <c r="G63" s="445">
        <v>251</v>
      </c>
      <c r="H63" s="459">
        <f>'1461'!H63</f>
        <v>835</v>
      </c>
      <c r="I63" s="101">
        <f t="shared" si="11"/>
        <v>66532.800000000003</v>
      </c>
      <c r="N63" s="619"/>
      <c r="O63" s="619"/>
      <c r="P63" s="622"/>
      <c r="Q63" s="622"/>
      <c r="R63" s="40" t="s">
        <v>14</v>
      </c>
      <c r="S63" s="451">
        <v>251</v>
      </c>
      <c r="T63" s="462">
        <f t="shared" si="12"/>
        <v>835</v>
      </c>
      <c r="U63" s="476">
        <f t="shared" si="13"/>
        <v>0</v>
      </c>
      <c r="V63" s="426"/>
    </row>
    <row r="64" spans="1:22" x14ac:dyDescent="0.25">
      <c r="A64" s="533"/>
      <c r="B64" s="533"/>
      <c r="C64" s="143">
        <v>0.5</v>
      </c>
      <c r="D64" s="143">
        <v>0.4</v>
      </c>
      <c r="E64" s="116">
        <f t="shared" si="10"/>
        <v>0.9</v>
      </c>
      <c r="F64" s="446" t="s">
        <v>14</v>
      </c>
      <c r="G64" s="445">
        <v>252</v>
      </c>
      <c r="H64" s="459">
        <f>'1461'!H64</f>
        <v>3168</v>
      </c>
      <c r="I64" s="101">
        <f t="shared" si="11"/>
        <v>2851.2</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41.68</v>
      </c>
      <c r="D66" s="97">
        <f>SUM(D57:D65)</f>
        <v>38.9</v>
      </c>
      <c r="E66" s="97">
        <f>SUM(E57:E65)</f>
        <v>80.580000000000013</v>
      </c>
      <c r="F66" s="520" t="s">
        <v>448</v>
      </c>
      <c r="G66" s="520"/>
      <c r="H66" s="520"/>
      <c r="I66" s="97">
        <f>SUM(I57:I65)</f>
        <v>69384</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1060.3400000000001</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5.215E-3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1057.5171</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4.6480000000000002E-3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1060.3400000000001</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5.6730000000000001E-3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1060.3400000000001</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5.2209999999999999E-3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1060.3400000000001</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5.6800000000000002E-3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5.2209999999999999E-3</v>
      </c>
      <c r="I85" s="101">
        <f>ROUND(F85*H85,2)</f>
        <v>233198.76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5.215E-3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5.6800000000000002E-3</v>
      </c>
      <c r="I90" s="101">
        <f>ROUND(F90*H90,2)</f>
        <v>91828.86</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5.6730000000000001E-3</v>
      </c>
      <c r="I92" s="101">
        <f t="shared" ref="I92:I96" si="14">ROUND(F92*H92,2)</f>
        <v>56957.48</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4.6480000000000002E-3</v>
      </c>
      <c r="I94" s="101">
        <f t="shared" si="14"/>
        <v>1110861.19</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4.6480000000000002E-3</v>
      </c>
      <c r="I96" s="101">
        <f t="shared" si="14"/>
        <v>-7437.02</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1057.5171</v>
      </c>
      <c r="D103" s="515"/>
      <c r="E103" s="46">
        <f>H8</f>
        <v>1.0442</v>
      </c>
      <c r="F103" s="304">
        <f>'1461'!F103</f>
        <v>906.93</v>
      </c>
      <c r="G103" s="39" t="s">
        <v>12</v>
      </c>
      <c r="H103" s="94">
        <f>ROUND(C103*E103*F103,2)</f>
        <v>1001485.94</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1057.5171</v>
      </c>
      <c r="D104" s="528"/>
      <c r="E104" s="123"/>
      <c r="F104" s="123"/>
      <c r="G104" s="123"/>
      <c r="H104" s="124" t="s">
        <v>100</v>
      </c>
      <c r="I104" s="101">
        <f>IF(A1=75,0,H103+H102+H101)</f>
        <v>1001485.94</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v>
      </c>
      <c r="D110" s="143">
        <v>0</v>
      </c>
      <c r="E110" s="116">
        <f>(C110+D110)/2</f>
        <v>0.5</v>
      </c>
      <c r="F110" s="126" t="s">
        <v>30</v>
      </c>
      <c r="G110" s="305">
        <f>'1461'!G110</f>
        <v>565</v>
      </c>
      <c r="I110" s="101">
        <f>ROUND(G110*E110,2)</f>
        <v>282.5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8232156.6500000004</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7895593.8700000001</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80" t="s">
        <v>241</v>
      </c>
      <c r="H132" s="139">
        <f>IF(H130=1,I130,I127)</f>
        <v>7895593.8700000001</v>
      </c>
      <c r="I132" s="94">
        <f>ROUND(IF(E30=0,0,IF(E30&gt;250,-(((250/E30)*H132)*IF(G132="H",0.02,0.05)),IF(G132="H",-0.02*H132,-0.05*H132))),2)</f>
        <v>-37231.43</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8194925.2200000007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-716951.2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7477974.0200000005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679815.82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120680.45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323</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249.92</v>
      </c>
      <c r="D14" s="141">
        <v>249.2</v>
      </c>
      <c r="E14" s="187">
        <f>IF(D$30=0,C14*2,C14+D14)</f>
        <v>499.12</v>
      </c>
      <c r="F14" s="558">
        <f>'1461'!F14:G14</f>
        <v>1.1220000000000001</v>
      </c>
      <c r="G14" s="558"/>
      <c r="H14" s="145">
        <f>ROUND(E14*F14,4)</f>
        <v>560.01260000000002</v>
      </c>
      <c r="I14" s="111">
        <f>ROUND(ROUND(ROUND(H14*$C$8,4)*($H$8),2)*(MAX($H$9,1)),2)</f>
        <v>3005535.02</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21.5</v>
      </c>
      <c r="D15" s="143">
        <v>23.54</v>
      </c>
      <c r="E15" s="116">
        <f t="shared" ref="E15:E29" si="1">IF(D$30=0,C15*2,C15+D15)</f>
        <v>45.04</v>
      </c>
      <c r="F15" s="555">
        <f>'1461'!F15:G15</f>
        <v>1.1220000000000001</v>
      </c>
      <c r="G15" s="555"/>
      <c r="H15" s="80">
        <f t="shared" ref="H15:H29" si="2">ROUND(E15*F15,4)</f>
        <v>50.5349</v>
      </c>
      <c r="I15" s="101">
        <f t="shared" ref="I15:I29" si="3">ROUND(ROUND(ROUND(H15*$C$8,4)*($H$8),2)*(MAX($H$9,1)),2)</f>
        <v>271216.06</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303.26</v>
      </c>
      <c r="D16" s="143">
        <v>295.35000000000002</v>
      </c>
      <c r="E16" s="116">
        <f t="shared" si="1"/>
        <v>598.61</v>
      </c>
      <c r="F16" s="555">
        <f>'1461'!F16:G16</f>
        <v>1</v>
      </c>
      <c r="G16" s="555"/>
      <c r="H16" s="80">
        <f t="shared" si="2"/>
        <v>598.61</v>
      </c>
      <c r="I16" s="101">
        <f t="shared" si="3"/>
        <v>3212683.64</v>
      </c>
      <c r="N16" s="568" t="s">
        <v>22</v>
      </c>
      <c r="O16" s="568"/>
      <c r="P16" s="569">
        <f t="shared" si="0"/>
        <v>0</v>
      </c>
      <c r="Q16" s="569"/>
      <c r="R16" s="570">
        <v>1</v>
      </c>
      <c r="S16" s="570"/>
      <c r="T16" s="95">
        <f t="shared" si="4"/>
        <v>0</v>
      </c>
      <c r="U16" s="475">
        <f t="shared" si="5"/>
        <v>0</v>
      </c>
    </row>
    <row r="17" spans="1:21" x14ac:dyDescent="0.25">
      <c r="A17" s="517" t="s">
        <v>23</v>
      </c>
      <c r="B17" s="517"/>
      <c r="C17" s="143">
        <v>39</v>
      </c>
      <c r="D17" s="143">
        <v>35.409999999999997</v>
      </c>
      <c r="E17" s="116">
        <f t="shared" si="1"/>
        <v>74.41</v>
      </c>
      <c r="F17" s="555">
        <f>'1461'!F17:G17</f>
        <v>1</v>
      </c>
      <c r="G17" s="555"/>
      <c r="H17" s="80">
        <f t="shared" si="2"/>
        <v>74.41</v>
      </c>
      <c r="I17" s="101">
        <f t="shared" si="3"/>
        <v>399351.48</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c r="D18" s="143"/>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c r="D19" s="143"/>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21.58</v>
      </c>
      <c r="D26" s="143">
        <v>22.53</v>
      </c>
      <c r="E26" s="116">
        <f t="shared" si="1"/>
        <v>44.11</v>
      </c>
      <c r="F26" s="555">
        <f>'1461'!F26:G26</f>
        <v>1.208</v>
      </c>
      <c r="G26" s="555"/>
      <c r="H26" s="80">
        <f t="shared" si="2"/>
        <v>53.2849</v>
      </c>
      <c r="I26" s="101">
        <f t="shared" si="3"/>
        <v>285975.05</v>
      </c>
      <c r="N26" s="568" t="s">
        <v>85</v>
      </c>
      <c r="O26" s="568"/>
      <c r="P26" s="569">
        <f t="shared" si="0"/>
        <v>0</v>
      </c>
      <c r="Q26" s="569"/>
      <c r="R26" s="570">
        <v>1</v>
      </c>
      <c r="S26" s="570"/>
      <c r="T26" s="95">
        <f t="shared" si="4"/>
        <v>0</v>
      </c>
      <c r="U26" s="475">
        <f t="shared" si="5"/>
        <v>0</v>
      </c>
    </row>
    <row r="27" spans="1:21" x14ac:dyDescent="0.25">
      <c r="A27" s="517" t="s">
        <v>86</v>
      </c>
      <c r="B27" s="517"/>
      <c r="C27" s="143">
        <v>17.850000000000001</v>
      </c>
      <c r="D27" s="143">
        <v>17.600000000000001</v>
      </c>
      <c r="E27" s="116">
        <f t="shared" si="1"/>
        <v>35.450000000000003</v>
      </c>
      <c r="F27" s="555">
        <f>'1461'!F27:G27</f>
        <v>1.208</v>
      </c>
      <c r="G27" s="555"/>
      <c r="H27" s="80">
        <f t="shared" si="2"/>
        <v>42.823599999999999</v>
      </c>
      <c r="I27" s="101">
        <f t="shared" si="3"/>
        <v>229830.24</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653.11</v>
      </c>
      <c r="D30" s="94">
        <f>SUM(D14:D29)</f>
        <v>643.63</v>
      </c>
      <c r="E30" s="94">
        <f>SUM(E14:E29)</f>
        <v>1296.74</v>
      </c>
      <c r="F30" s="536"/>
      <c r="G30" s="536"/>
      <c r="H30" s="99">
        <f>SUM(H14:H29)</f>
        <v>1379.6760000000002</v>
      </c>
      <c r="I30" s="94">
        <f>SUM(I14:I29)</f>
        <v>7404591.4900000012</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1379.6760000000002</v>
      </c>
      <c r="F46" s="34"/>
      <c r="G46" s="106"/>
      <c r="H46" s="107" t="s">
        <v>98</v>
      </c>
      <c r="I46" s="94">
        <f>SUM(I44,I30)</f>
        <v>7404591.4900000012</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7404591.4900000012</v>
      </c>
      <c r="G51" s="109" t="s">
        <v>6</v>
      </c>
      <c r="H51" s="403">
        <v>4.5199999999999997E-2</v>
      </c>
      <c r="I51" s="101">
        <f>ROUND(F51*H51,2)</f>
        <v>334687.53999999998</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7404591.4900000012</v>
      </c>
      <c r="G52" s="109" t="s">
        <v>6</v>
      </c>
      <c r="H52" s="403">
        <v>1.41E-2</v>
      </c>
      <c r="I52" s="101">
        <f>ROUND(F52*H52,2)</f>
        <v>104404.74</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439092.27999999997</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20</v>
      </c>
      <c r="D57" s="143">
        <v>21.04</v>
      </c>
      <c r="E57" s="116">
        <f t="shared" ref="E57:E65" si="10">IF(D$72=0,C57*2,C57+D57)</f>
        <v>41.04</v>
      </c>
      <c r="F57" s="445" t="s">
        <v>439</v>
      </c>
      <c r="G57" s="445">
        <v>251</v>
      </c>
      <c r="H57" s="459">
        <f>'1461'!H57</f>
        <v>1047</v>
      </c>
      <c r="I57" s="101">
        <f>ROUND(E57*H57,2)</f>
        <v>42968.88</v>
      </c>
      <c r="N57" s="618" t="s">
        <v>447</v>
      </c>
      <c r="O57" s="618"/>
      <c r="P57" s="621"/>
      <c r="Q57" s="621"/>
      <c r="R57" s="451" t="s">
        <v>439</v>
      </c>
      <c r="S57" s="451">
        <v>251</v>
      </c>
      <c r="T57" s="462">
        <f>H57</f>
        <v>1047</v>
      </c>
      <c r="U57" s="476">
        <f>ROUND(P57*T57,2)</f>
        <v>0</v>
      </c>
      <c r="V57" s="426"/>
    </row>
    <row r="58" spans="1:22" x14ac:dyDescent="0.25">
      <c r="A58" s="533"/>
      <c r="B58" s="533"/>
      <c r="C58" s="143">
        <v>1.5</v>
      </c>
      <c r="D58" s="143">
        <v>2.5</v>
      </c>
      <c r="E58" s="116">
        <f t="shared" si="10"/>
        <v>4</v>
      </c>
      <c r="F58" s="445" t="s">
        <v>439</v>
      </c>
      <c r="G58" s="445">
        <v>252</v>
      </c>
      <c r="H58" s="459">
        <f>'1461'!H58</f>
        <v>3380</v>
      </c>
      <c r="I58" s="101">
        <f t="shared" ref="I58:I65" si="11">ROUND(E58*H58,2)</f>
        <v>13520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34.5</v>
      </c>
      <c r="D60" s="143">
        <v>30.41</v>
      </c>
      <c r="E60" s="116">
        <f t="shared" si="10"/>
        <v>64.91</v>
      </c>
      <c r="F60" s="446" t="s">
        <v>13</v>
      </c>
      <c r="G60" s="445">
        <v>251</v>
      </c>
      <c r="H60" s="459">
        <f>'1461'!H60</f>
        <v>1173</v>
      </c>
      <c r="I60" s="101">
        <f t="shared" si="11"/>
        <v>76139.429999999993</v>
      </c>
      <c r="N60" s="619"/>
      <c r="O60" s="619"/>
      <c r="P60" s="622"/>
      <c r="Q60" s="622"/>
      <c r="R60" s="40" t="s">
        <v>13</v>
      </c>
      <c r="S60" s="451">
        <v>251</v>
      </c>
      <c r="T60" s="462">
        <f t="shared" si="12"/>
        <v>1173</v>
      </c>
      <c r="U60" s="476">
        <f t="shared" si="13"/>
        <v>0</v>
      </c>
      <c r="V60" s="426"/>
    </row>
    <row r="61" spans="1:22" x14ac:dyDescent="0.25">
      <c r="A61" s="533"/>
      <c r="B61" s="533"/>
      <c r="C61" s="143">
        <v>4.5</v>
      </c>
      <c r="D61" s="143">
        <v>5</v>
      </c>
      <c r="E61" s="116">
        <f t="shared" si="10"/>
        <v>9.5</v>
      </c>
      <c r="F61" s="446" t="s">
        <v>13</v>
      </c>
      <c r="G61" s="445">
        <v>252</v>
      </c>
      <c r="H61" s="459">
        <f>'1461'!H61</f>
        <v>3506</v>
      </c>
      <c r="I61" s="101">
        <f t="shared" si="11"/>
        <v>33307</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60.5</v>
      </c>
      <c r="D66" s="97">
        <f>SUM(D57:D65)</f>
        <v>58.95</v>
      </c>
      <c r="E66" s="97">
        <f>SUM(E57:E65)</f>
        <v>119.44999999999999</v>
      </c>
      <c r="F66" s="520" t="s">
        <v>448</v>
      </c>
      <c r="G66" s="520"/>
      <c r="H66" s="520"/>
      <c r="I66" s="97">
        <f>SUM(I57:I65)</f>
        <v>165935.31</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1296.74</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6.378E-3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1379.6760000000002</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6.0629999999999998E-3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1296.74</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6.9379999999999997E-3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1296.74</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6.3850000000000001E-3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1296.74</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6.9459999999999999E-3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6.3850000000000001E-3</v>
      </c>
      <c r="I85" s="101">
        <f>ROUND(F85*H85,2)</f>
        <v>285189.45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6.378E-3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6.9459999999999999E-3</v>
      </c>
      <c r="I90" s="101">
        <f>ROUND(F90*H90,2)</f>
        <v>112296.34</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6.9379999999999997E-3</v>
      </c>
      <c r="I92" s="101">
        <f t="shared" ref="I92:I96" si="14">ROUND(F92*H92,2)</f>
        <v>69658.210000000006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6.0629999999999998E-3</v>
      </c>
      <c r="I94" s="101">
        <f t="shared" si="14"/>
        <v>1449042.9</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6.0629999999999998E-3</v>
      </c>
      <c r="I96" s="101">
        <f t="shared" si="14"/>
        <v>-9701.08</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663.83240000000001</v>
      </c>
      <c r="D101" s="515"/>
      <c r="E101" s="46">
        <f>H8</f>
        <v>1.0442</v>
      </c>
      <c r="F101" s="304">
        <f>'1461'!F101</f>
        <v>947.59</v>
      </c>
      <c r="G101" s="39" t="s">
        <v>12</v>
      </c>
      <c r="H101" s="101">
        <f>ROUND(C101*E101*F101,2)</f>
        <v>656844.55000000005</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715.84359999999992</v>
      </c>
      <c r="D102" s="515"/>
      <c r="E102" s="46">
        <f>H8</f>
        <v>1.0442</v>
      </c>
      <c r="F102" s="304">
        <f>'1461'!F102</f>
        <v>904.74</v>
      </c>
      <c r="G102" s="39" t="s">
        <v>12</v>
      </c>
      <c r="H102" s="101">
        <f>ROUND(C102*E102*F102,2)</f>
        <v>676278.57</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1379.6759999999999</v>
      </c>
      <c r="D104" s="528"/>
      <c r="E104" s="123"/>
      <c r="F104" s="123"/>
      <c r="G104" s="123"/>
      <c r="H104" s="124" t="s">
        <v>100</v>
      </c>
      <c r="I104" s="101">
        <f>IF(A1=75,0,H103+H102+H101)</f>
        <v>1333123.1200000001</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196</v>
      </c>
      <c r="D110" s="143">
        <v>200</v>
      </c>
      <c r="E110" s="116">
        <f>(C110+D110)/2</f>
        <v>198</v>
      </c>
      <c r="F110" s="126" t="s">
        <v>30</v>
      </c>
      <c r="G110" s="305">
        <f>'1461'!G110</f>
        <v>565</v>
      </c>
      <c r="I110" s="101">
        <f>ROUND(G110*E110,2)</f>
        <v>111870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10922005.740000002</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10482913.460000003</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10482913.460000003</v>
      </c>
      <c r="I132" s="94">
        <f>ROUND(IF(E30=0,0,IF(E30&gt;250,-(((250/E30)*H132)*IF(G132="H",0.02,0.05)),IF(G132="H",-0.02*H132,-0.05*H132))),2)</f>
        <v>-101050.65</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10820955.090000002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-942020.11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9878934.9800000023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898085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423095.02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308</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J11" s="256"/>
      <c r="K11" s="255"/>
      <c r="L11" s="255"/>
      <c r="N11" s="12"/>
      <c r="O11" s="12"/>
      <c r="P11" s="13"/>
      <c r="Q11" s="13"/>
      <c r="R11" s="579" t="s">
        <v>1</v>
      </c>
      <c r="S11" s="579"/>
      <c r="T11" s="15" t="s">
        <v>60</v>
      </c>
      <c r="U11" s="16" t="s">
        <v>27</v>
      </c>
    </row>
    <row r="12" spans="1:21" ht="15.75" customHeight="1" x14ac:dyDescent="0.25">
      <c r="A12" s="537" t="s">
        <v>1</v>
      </c>
      <c r="B12" s="537"/>
      <c r="C12" s="327" t="str">
        <f>'1461'!C12</f>
        <v>FTE</v>
      </c>
      <c r="D12" s="325" t="str">
        <f>'1461'!D12</f>
        <v>FTE</v>
      </c>
      <c r="E12" s="325" t="s">
        <v>2</v>
      </c>
      <c r="F12" s="546" t="s">
        <v>63</v>
      </c>
      <c r="G12" s="546"/>
      <c r="H12" s="17" t="s">
        <v>59</v>
      </c>
      <c r="I12" s="390" t="s">
        <v>394</v>
      </c>
      <c r="J12" s="254"/>
      <c r="K12" s="255"/>
      <c r="L12" s="255"/>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K13" s="255"/>
      <c r="L13" s="255"/>
      <c r="N13" s="571" t="s">
        <v>36</v>
      </c>
      <c r="O13" s="571"/>
      <c r="P13" s="572" t="s">
        <v>37</v>
      </c>
      <c r="Q13" s="572"/>
      <c r="R13" s="573" t="s">
        <v>38</v>
      </c>
      <c r="S13" s="573"/>
      <c r="T13" s="22" t="s">
        <v>39</v>
      </c>
      <c r="U13" s="23" t="s">
        <v>40</v>
      </c>
    </row>
    <row r="14" spans="1:21" x14ac:dyDescent="0.25">
      <c r="A14" s="538" t="s">
        <v>20</v>
      </c>
      <c r="B14" s="538"/>
      <c r="C14" s="143">
        <v>46.8</v>
      </c>
      <c r="D14" s="141">
        <v>46.52</v>
      </c>
      <c r="E14" s="187">
        <f>IF(D$30=0,C14*2,C14+D14)</f>
        <v>93.32</v>
      </c>
      <c r="F14" s="558">
        <f>'1461'!F14:G14</f>
        <v>1.1220000000000001</v>
      </c>
      <c r="G14" s="558"/>
      <c r="H14" s="145">
        <f>ROUND(E14*F14,4)</f>
        <v>104.705</v>
      </c>
      <c r="I14" s="111">
        <f>ROUND(ROUND(ROUND(H14*$C$8,4)*($H$8),2)*(MAX($H$9,1)),2)</f>
        <v>561941.9</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3.5</v>
      </c>
      <c r="D15" s="143">
        <v>3.41</v>
      </c>
      <c r="E15" s="116">
        <f t="shared" ref="E15:E29" si="1">IF(D$30=0,C15*2,C15+D15)</f>
        <v>6.91</v>
      </c>
      <c r="F15" s="555">
        <f>'1461'!F15:G15</f>
        <v>1.1220000000000001</v>
      </c>
      <c r="G15" s="555"/>
      <c r="H15" s="80">
        <f t="shared" ref="H15:H29" si="2">ROUND(E15*F15,4)</f>
        <v>7.7530000000000001</v>
      </c>
      <c r="I15" s="101">
        <f t="shared" ref="I15:I29" si="3">ROUND(ROUND(ROUND(H15*$C$8,4)*($H$8),2)*(MAX($H$9,1)),2)</f>
        <v>41609.620000000003</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26.41</v>
      </c>
      <c r="D16" s="143">
        <v>26.78</v>
      </c>
      <c r="E16" s="116">
        <f t="shared" si="1"/>
        <v>53.19</v>
      </c>
      <c r="F16" s="555">
        <f>'1461'!F16:G16</f>
        <v>1</v>
      </c>
      <c r="G16" s="555"/>
      <c r="H16" s="80">
        <f t="shared" si="2"/>
        <v>53.19</v>
      </c>
      <c r="I16" s="101">
        <f t="shared" si="3"/>
        <v>285465.73</v>
      </c>
      <c r="N16" s="568" t="s">
        <v>22</v>
      </c>
      <c r="O16" s="568"/>
      <c r="P16" s="569">
        <f t="shared" si="0"/>
        <v>0</v>
      </c>
      <c r="Q16" s="569"/>
      <c r="R16" s="570">
        <v>1</v>
      </c>
      <c r="S16" s="570"/>
      <c r="T16" s="95">
        <f t="shared" si="4"/>
        <v>0</v>
      </c>
      <c r="U16" s="475">
        <f t="shared" si="5"/>
        <v>0</v>
      </c>
    </row>
    <row r="17" spans="1:21" x14ac:dyDescent="0.25">
      <c r="A17" s="517" t="s">
        <v>23</v>
      </c>
      <c r="B17" s="517"/>
      <c r="C17" s="143">
        <v>1.5</v>
      </c>
      <c r="D17" s="143">
        <v>1.5</v>
      </c>
      <c r="E17" s="116">
        <f t="shared" si="1"/>
        <v>3</v>
      </c>
      <c r="F17" s="555">
        <f>'1461'!F17:G17</f>
        <v>1</v>
      </c>
      <c r="G17" s="555"/>
      <c r="H17" s="80">
        <f t="shared" si="2"/>
        <v>3</v>
      </c>
      <c r="I17" s="101">
        <f t="shared" si="3"/>
        <v>16100.72</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65.2</v>
      </c>
      <c r="D26" s="143">
        <v>62.35</v>
      </c>
      <c r="E26" s="116">
        <f t="shared" si="1"/>
        <v>127.55000000000001</v>
      </c>
      <c r="F26" s="555">
        <f>'1461'!F26:G26</f>
        <v>1.208</v>
      </c>
      <c r="G26" s="555"/>
      <c r="H26" s="80">
        <f t="shared" si="2"/>
        <v>154.0804</v>
      </c>
      <c r="I26" s="101">
        <f t="shared" si="3"/>
        <v>826935.03</v>
      </c>
      <c r="N26" s="568" t="s">
        <v>85</v>
      </c>
      <c r="O26" s="568"/>
      <c r="P26" s="569">
        <f t="shared" si="0"/>
        <v>0</v>
      </c>
      <c r="Q26" s="569"/>
      <c r="R26" s="570">
        <v>1</v>
      </c>
      <c r="S26" s="570"/>
      <c r="T26" s="95">
        <f t="shared" si="4"/>
        <v>0</v>
      </c>
      <c r="U26" s="475">
        <f t="shared" si="5"/>
        <v>0</v>
      </c>
    </row>
    <row r="27" spans="1:21" x14ac:dyDescent="0.25">
      <c r="A27" s="517" t="s">
        <v>86</v>
      </c>
      <c r="B27" s="517"/>
      <c r="C27" s="143">
        <v>29.1</v>
      </c>
      <c r="D27" s="143">
        <v>25.83</v>
      </c>
      <c r="E27" s="116">
        <f t="shared" si="1"/>
        <v>54.93</v>
      </c>
      <c r="F27" s="555">
        <f>'1461'!F27:G27</f>
        <v>1.208</v>
      </c>
      <c r="G27" s="555"/>
      <c r="H27" s="80">
        <f t="shared" si="2"/>
        <v>66.355400000000003</v>
      </c>
      <c r="I27" s="101">
        <f t="shared" si="3"/>
        <v>356123.2</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172.51</v>
      </c>
      <c r="D30" s="94">
        <f>SUM(D14:D29)+0</f>
        <v>166.39</v>
      </c>
      <c r="E30" s="94">
        <f>SUM(E14:E29)</f>
        <v>338.90000000000003</v>
      </c>
      <c r="F30" s="536"/>
      <c r="G30" s="536"/>
      <c r="H30" s="99">
        <f>SUM(H14:H29)</f>
        <v>389.0838</v>
      </c>
      <c r="I30" s="94">
        <f>SUM(I14:I29)</f>
        <v>2088176.2</v>
      </c>
      <c r="K30" s="237">
        <f>I30-J30</f>
        <v>2088176.2</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389.0838</v>
      </c>
      <c r="F46" s="34"/>
      <c r="G46" s="106"/>
      <c r="H46" s="107" t="s">
        <v>98</v>
      </c>
      <c r="I46" s="94">
        <f>SUM(I44,I30)</f>
        <v>2088176.2</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2088176.2</v>
      </c>
      <c r="G51" s="109" t="s">
        <v>6</v>
      </c>
      <c r="H51" s="403">
        <v>4.5199999999999997E-2</v>
      </c>
      <c r="I51" s="101">
        <f>ROUND(F51*H51,2)</f>
        <v>94385.56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2088176.2</v>
      </c>
      <c r="G52" s="109" t="s">
        <v>6</v>
      </c>
      <c r="H52" s="403">
        <v>1.41E-2</v>
      </c>
      <c r="I52" s="101">
        <f>ROUND(F52*H52,2)</f>
        <v>29443.279999999999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123828.84</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3</v>
      </c>
      <c r="D57" s="143">
        <v>2.91</v>
      </c>
      <c r="E57" s="116">
        <f t="shared" ref="E57:E65" si="10">IF(D$72=0,C57*2,C57+D57)</f>
        <v>5.91</v>
      </c>
      <c r="F57" s="445" t="s">
        <v>439</v>
      </c>
      <c r="G57" s="445">
        <v>251</v>
      </c>
      <c r="H57" s="459">
        <f>'1461'!H57</f>
        <v>1047</v>
      </c>
      <c r="I57" s="101">
        <f>ROUND(E57*H57,2)</f>
        <v>6187.77</v>
      </c>
      <c r="N57" s="618" t="s">
        <v>447</v>
      </c>
      <c r="O57" s="618"/>
      <c r="P57" s="621"/>
      <c r="Q57" s="621"/>
      <c r="R57" s="451" t="s">
        <v>439</v>
      </c>
      <c r="S57" s="451">
        <v>251</v>
      </c>
      <c r="T57" s="462">
        <f>H57</f>
        <v>1047</v>
      </c>
      <c r="U57" s="476">
        <f>ROUND(P57*T57,2)</f>
        <v>0</v>
      </c>
      <c r="V57" s="426"/>
    </row>
    <row r="58" spans="1:22" x14ac:dyDescent="0.25">
      <c r="A58" s="533"/>
      <c r="B58" s="533"/>
      <c r="C58" s="143">
        <v>0.5</v>
      </c>
      <c r="D58" s="143">
        <v>0.5</v>
      </c>
      <c r="E58" s="116">
        <f t="shared" si="10"/>
        <v>1</v>
      </c>
      <c r="F58" s="445" t="s">
        <v>439</v>
      </c>
      <c r="G58" s="445">
        <v>252</v>
      </c>
      <c r="H58" s="459">
        <f>'1461'!H58</f>
        <v>3380</v>
      </c>
      <c r="I58" s="101">
        <f t="shared" ref="I58:I65" si="11">ROUND(E58*H58,2)</f>
        <v>3380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1.5</v>
      </c>
      <c r="D60" s="143">
        <v>1.5</v>
      </c>
      <c r="E60" s="116">
        <f t="shared" si="10"/>
        <v>3</v>
      </c>
      <c r="F60" s="446" t="s">
        <v>13</v>
      </c>
      <c r="G60" s="445">
        <v>251</v>
      </c>
      <c r="H60" s="459">
        <f>'1461'!H60</f>
        <v>1173</v>
      </c>
      <c r="I60" s="101">
        <f t="shared" si="11"/>
        <v>3519</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5</v>
      </c>
      <c r="D66" s="97">
        <f>SUM(D57:D65)</f>
        <v>4.91</v>
      </c>
      <c r="E66" s="97">
        <f>SUM(E57:E65)</f>
        <v>9.91</v>
      </c>
      <c r="F66" s="520" t="s">
        <v>448</v>
      </c>
      <c r="G66" s="520"/>
      <c r="H66" s="520"/>
      <c r="I66" s="97">
        <f>SUM(I57:I65)</f>
        <v>13086.77</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338.90000000000003</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1.6670000000000001E-3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389.0838</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1.7099999999999999E-3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338.90000000000003</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1.8129999999999999E-3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338.90000000000003</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1.6689999999999999E-3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338.90000000000003</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1.815E-3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1.6689999999999999E-3</v>
      </c>
      <c r="I85" s="101">
        <f>ROUND(F85*H85,2)</f>
        <v>74546.78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1.6670000000000001E-3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1.815E-3</v>
      </c>
      <c r="I90" s="101">
        <f>ROUND(F90*H90,2)</f>
        <v>29343.200000000001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1.8129999999999999E-3</v>
      </c>
      <c r="I92" s="101">
        <f t="shared" ref="I92:I96" si="14">ROUND(F92*H92,2)</f>
        <v>18202.7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1.7099999999999999E-3</v>
      </c>
      <c r="I94" s="101">
        <f t="shared" si="14"/>
        <v>408686.02</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1.7099999999999999E-3</v>
      </c>
      <c r="I96" s="101">
        <f t="shared" si="14"/>
        <v>-2736.08</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266.53840000000002</v>
      </c>
      <c r="D101" s="515"/>
      <c r="E101" s="46">
        <f>H8</f>
        <v>1.0442</v>
      </c>
      <c r="F101" s="304">
        <f>'1461'!F101</f>
        <v>947.59</v>
      </c>
      <c r="G101" s="39" t="s">
        <v>12</v>
      </c>
      <c r="H101" s="101">
        <f>ROUND(C101*E101*F101,2)</f>
        <v>263732.68</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122.5454</v>
      </c>
      <c r="D102" s="515"/>
      <c r="E102" s="46">
        <f>H8</f>
        <v>1.0442</v>
      </c>
      <c r="F102" s="304">
        <f>'1461'!F102</f>
        <v>904.74</v>
      </c>
      <c r="G102" s="39" t="s">
        <v>12</v>
      </c>
      <c r="H102" s="101">
        <f>ROUND(C102*E102*F102,2)</f>
        <v>115772.26</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389.0838</v>
      </c>
      <c r="D104" s="528"/>
      <c r="E104" s="123"/>
      <c r="F104" s="123"/>
      <c r="G104" s="123"/>
      <c r="H104" s="124" t="s">
        <v>100</v>
      </c>
      <c r="I104" s="101">
        <f>IF(A1=75,0,H103+H102+H101)</f>
        <v>379504.94</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v>
      </c>
      <c r="D110" s="143">
        <v>0</v>
      </c>
      <c r="E110" s="116">
        <f>(C110+D110)/2</f>
        <v>0.5</v>
      </c>
      <c r="F110" s="126" t="s">
        <v>30</v>
      </c>
      <c r="G110" s="305">
        <f>'1461'!G110</f>
        <v>565</v>
      </c>
      <c r="I110" s="101">
        <f>ROUND(G110*E110,2)</f>
        <v>282.5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3009093.03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2885264.19</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2885264.19</v>
      </c>
      <c r="I132" s="94">
        <f>ROUND(IF(E30=0,0,IF(E30&gt;250,-(((250/E30)*H132)*IF(G132="H",0.02,0.05)),IF(G132="H",-0.02*H132,-0.05*H132))),2)</f>
        <v>-106420.19</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2902672.84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v>-251916.51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2650756.33</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240977.85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37843.019999999997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K203" s="251"/>
    </row>
    <row r="204" spans="1:14" x14ac:dyDescent="0.25">
      <c r="A204" s="74"/>
      <c r="K204" s="251"/>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CCCC"/>
  </sheetPr>
  <dimension ref="A1:V218"/>
  <sheetViews>
    <sheetView showGridLines="0" zoomScaleNormal="100" workbookViewId="0">
      <pane ySplit="1" topLeftCell="A111"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328</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J11" s="256"/>
      <c r="K11" s="255"/>
      <c r="L11" s="255"/>
      <c r="N11" s="12"/>
      <c r="O11" s="12"/>
      <c r="P11" s="13"/>
      <c r="Q11" s="13"/>
      <c r="R11" s="579" t="s">
        <v>1</v>
      </c>
      <c r="S11" s="579"/>
      <c r="T11" s="15" t="s">
        <v>60</v>
      </c>
      <c r="U11" s="16" t="s">
        <v>27</v>
      </c>
    </row>
    <row r="12" spans="1:21" ht="15.75" customHeight="1" x14ac:dyDescent="0.25">
      <c r="A12" s="537" t="s">
        <v>1</v>
      </c>
      <c r="B12" s="537"/>
      <c r="C12" s="327" t="str">
        <f>'1461'!C12</f>
        <v>FTE</v>
      </c>
      <c r="D12" s="325" t="str">
        <f>'1461'!D12</f>
        <v>FTE</v>
      </c>
      <c r="E12" s="325" t="s">
        <v>2</v>
      </c>
      <c r="F12" s="546" t="s">
        <v>63</v>
      </c>
      <c r="G12" s="546"/>
      <c r="H12" s="17" t="s">
        <v>59</v>
      </c>
      <c r="I12" s="390" t="s">
        <v>394</v>
      </c>
      <c r="J12" s="254"/>
      <c r="K12" s="255"/>
      <c r="L12" s="255"/>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K13" s="255"/>
      <c r="L13" s="255"/>
      <c r="N13" s="571" t="s">
        <v>36</v>
      </c>
      <c r="O13" s="571"/>
      <c r="P13" s="572" t="s">
        <v>37</v>
      </c>
      <c r="Q13" s="572"/>
      <c r="R13" s="573" t="s">
        <v>38</v>
      </c>
      <c r="S13" s="573"/>
      <c r="T13" s="22" t="s">
        <v>39</v>
      </c>
      <c r="U13" s="23" t="s">
        <v>40</v>
      </c>
    </row>
    <row r="14" spans="1:21" x14ac:dyDescent="0.25">
      <c r="A14" s="538" t="s">
        <v>20</v>
      </c>
      <c r="B14" s="538"/>
      <c r="C14" s="143">
        <v>81.58</v>
      </c>
      <c r="D14" s="141">
        <v>81.75</v>
      </c>
      <c r="E14" s="187">
        <f>IF(D$30=0,C14*2,C14+D14)</f>
        <v>163.32999999999998</v>
      </c>
      <c r="F14" s="558">
        <f>'1461'!F14:G14</f>
        <v>1.1220000000000001</v>
      </c>
      <c r="G14" s="558"/>
      <c r="H14" s="145">
        <f>ROUND(E14*F14,4)</f>
        <v>183.25630000000001</v>
      </c>
      <c r="I14" s="111">
        <f>ROUND(ROUND(ROUND(H14*$C$8,4)*($H$8),2)*(MAX($H$9,1)),2)</f>
        <v>983519.35</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5.5</v>
      </c>
      <c r="D15" s="143">
        <v>5.5</v>
      </c>
      <c r="E15" s="116">
        <f t="shared" ref="E15:E29" si="1">IF(D$30=0,C15*2,C15+D15)</f>
        <v>11</v>
      </c>
      <c r="F15" s="555">
        <f>'1461'!F15:G15</f>
        <v>1.1220000000000001</v>
      </c>
      <c r="G15" s="555"/>
      <c r="H15" s="80">
        <f t="shared" ref="H15:H29" si="2">ROUND(E15*F15,4)</f>
        <v>12.342000000000001</v>
      </c>
      <c r="I15" s="101">
        <f t="shared" ref="I15:I29" si="3">ROUND(ROUND(ROUND(H15*$C$8,4)*($H$8),2)*(MAX($H$9,1)),2)</f>
        <v>66238.350000000006</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96.88</v>
      </c>
      <c r="D16" s="143">
        <v>101.5</v>
      </c>
      <c r="E16" s="116">
        <f t="shared" si="1"/>
        <v>198.38</v>
      </c>
      <c r="F16" s="555">
        <f>'1461'!F16:G16</f>
        <v>1</v>
      </c>
      <c r="G16" s="555"/>
      <c r="H16" s="80">
        <f t="shared" si="2"/>
        <v>198.38</v>
      </c>
      <c r="I16" s="101">
        <f t="shared" si="3"/>
        <v>1064686.83</v>
      </c>
      <c r="N16" s="568" t="s">
        <v>22</v>
      </c>
      <c r="O16" s="568"/>
      <c r="P16" s="569">
        <f t="shared" si="0"/>
        <v>0</v>
      </c>
      <c r="Q16" s="569"/>
      <c r="R16" s="570">
        <v>1</v>
      </c>
      <c r="S16" s="570"/>
      <c r="T16" s="95">
        <f t="shared" si="4"/>
        <v>0</v>
      </c>
      <c r="U16" s="475">
        <f t="shared" si="5"/>
        <v>0</v>
      </c>
    </row>
    <row r="17" spans="1:21" x14ac:dyDescent="0.25">
      <c r="A17" s="517" t="s">
        <v>23</v>
      </c>
      <c r="B17" s="517"/>
      <c r="C17" s="143">
        <v>19.78</v>
      </c>
      <c r="D17" s="143">
        <v>18.059999999999999</v>
      </c>
      <c r="E17" s="116">
        <f t="shared" si="1"/>
        <v>37.840000000000003</v>
      </c>
      <c r="F17" s="555">
        <f>'1461'!F17:G17</f>
        <v>1</v>
      </c>
      <c r="G17" s="555"/>
      <c r="H17" s="80">
        <f t="shared" si="2"/>
        <v>37.840000000000003</v>
      </c>
      <c r="I17" s="101">
        <f t="shared" si="3"/>
        <v>203083.73</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14.92</v>
      </c>
      <c r="D26" s="143">
        <v>17.09</v>
      </c>
      <c r="E26" s="116">
        <f t="shared" si="1"/>
        <v>32.01</v>
      </c>
      <c r="F26" s="555">
        <f>'1461'!F26:G26</f>
        <v>1.208</v>
      </c>
      <c r="G26" s="555"/>
      <c r="H26" s="80">
        <f t="shared" si="2"/>
        <v>38.668100000000003</v>
      </c>
      <c r="I26" s="101">
        <f t="shared" si="3"/>
        <v>207528.06</v>
      </c>
      <c r="N26" s="568" t="s">
        <v>85</v>
      </c>
      <c r="O26" s="568"/>
      <c r="P26" s="569">
        <f t="shared" si="0"/>
        <v>0</v>
      </c>
      <c r="Q26" s="569"/>
      <c r="R26" s="570">
        <v>1</v>
      </c>
      <c r="S26" s="570"/>
      <c r="T26" s="95">
        <f t="shared" si="4"/>
        <v>0</v>
      </c>
      <c r="U26" s="475">
        <f t="shared" si="5"/>
        <v>0</v>
      </c>
    </row>
    <row r="27" spans="1:21" x14ac:dyDescent="0.25">
      <c r="A27" s="517" t="s">
        <v>86</v>
      </c>
      <c r="B27" s="517"/>
      <c r="C27" s="143">
        <v>12.66</v>
      </c>
      <c r="D27" s="143">
        <v>12.98</v>
      </c>
      <c r="E27" s="116">
        <f t="shared" si="1"/>
        <v>25.64</v>
      </c>
      <c r="F27" s="555">
        <f>'1461'!F27:G27</f>
        <v>1.208</v>
      </c>
      <c r="G27" s="555"/>
      <c r="H27" s="80">
        <f t="shared" si="2"/>
        <v>30.973099999999999</v>
      </c>
      <c r="I27" s="101">
        <f t="shared" si="3"/>
        <v>166229.72</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231.31999999999996</v>
      </c>
      <c r="D30" s="94">
        <f>SUM(D14:D29)</f>
        <v>236.88</v>
      </c>
      <c r="E30" s="94">
        <f>SUM(E14:E29)</f>
        <v>468.19999999999993</v>
      </c>
      <c r="F30" s="536"/>
      <c r="G30" s="536"/>
      <c r="H30" s="99">
        <f>SUM(H14:H29)</f>
        <v>501.45949999999999</v>
      </c>
      <c r="I30" s="94">
        <f>SUM(I14:I29)</f>
        <v>2691286.0400000005</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501.45949999999999</v>
      </c>
      <c r="F46" s="34"/>
      <c r="G46" s="106"/>
      <c r="H46" s="107" t="s">
        <v>98</v>
      </c>
      <c r="I46" s="94">
        <f>SUM(I44,I30)</f>
        <v>2691286.0400000005</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2691286.0400000005</v>
      </c>
      <c r="G51" s="109" t="s">
        <v>6</v>
      </c>
      <c r="H51" s="403">
        <v>4.5199999999999997E-2</v>
      </c>
      <c r="I51" s="101">
        <f>ROUND(F51*H51,2)</f>
        <v>121646.13</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2691286.0400000005</v>
      </c>
      <c r="G52" s="109" t="s">
        <v>6</v>
      </c>
      <c r="H52" s="403">
        <v>1.41E-2</v>
      </c>
      <c r="I52" s="101">
        <f>ROUND(F52*H52,2)</f>
        <v>37947.129999999997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159593.26</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4</v>
      </c>
      <c r="D57" s="143">
        <v>4.4800000000000004</v>
      </c>
      <c r="E57" s="116">
        <f t="shared" ref="E57:E65" si="10">IF(D$72=0,C57*2,C57+D57)</f>
        <v>8.48</v>
      </c>
      <c r="F57" s="445" t="s">
        <v>439</v>
      </c>
      <c r="G57" s="445">
        <v>251</v>
      </c>
      <c r="H57" s="459">
        <f>'1461'!H57</f>
        <v>1047</v>
      </c>
      <c r="I57" s="101">
        <f>ROUND(E57*H57,2)</f>
        <v>8878.56</v>
      </c>
      <c r="N57" s="618" t="s">
        <v>447</v>
      </c>
      <c r="O57" s="618"/>
      <c r="P57" s="621"/>
      <c r="Q57" s="621"/>
      <c r="R57" s="451" t="s">
        <v>439</v>
      </c>
      <c r="S57" s="451">
        <v>251</v>
      </c>
      <c r="T57" s="462">
        <f>H57</f>
        <v>1047</v>
      </c>
      <c r="U57" s="476">
        <f>ROUND(P57*T57,2)</f>
        <v>0</v>
      </c>
      <c r="V57" s="426"/>
    </row>
    <row r="58" spans="1:22" x14ac:dyDescent="0.25">
      <c r="A58" s="533"/>
      <c r="B58" s="533"/>
      <c r="C58" s="143">
        <v>1</v>
      </c>
      <c r="D58" s="143">
        <v>0.51</v>
      </c>
      <c r="E58" s="116">
        <f t="shared" si="10"/>
        <v>1.51</v>
      </c>
      <c r="F58" s="445" t="s">
        <v>439</v>
      </c>
      <c r="G58" s="445">
        <v>252</v>
      </c>
      <c r="H58" s="459">
        <f>'1461'!H58</f>
        <v>3380</v>
      </c>
      <c r="I58" s="101">
        <f t="shared" ref="I58:I65" si="11">ROUND(E58*H58,2)</f>
        <v>5103.8</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0.5</v>
      </c>
      <c r="D59" s="143">
        <v>0.51</v>
      </c>
      <c r="E59" s="116">
        <f t="shared" si="10"/>
        <v>1.01</v>
      </c>
      <c r="F59" s="445" t="s">
        <v>439</v>
      </c>
      <c r="G59" s="445">
        <v>253</v>
      </c>
      <c r="H59" s="459">
        <f>'1461'!H59</f>
        <v>6896</v>
      </c>
      <c r="I59" s="101">
        <f t="shared" si="11"/>
        <v>6964.96</v>
      </c>
      <c r="N59" s="619"/>
      <c r="O59" s="619"/>
      <c r="P59" s="622"/>
      <c r="Q59" s="622"/>
      <c r="R59" s="451" t="s">
        <v>439</v>
      </c>
      <c r="S59" s="451">
        <v>253</v>
      </c>
      <c r="T59" s="462">
        <f t="shared" si="12"/>
        <v>6896</v>
      </c>
      <c r="U59" s="476">
        <f t="shared" si="13"/>
        <v>0</v>
      </c>
      <c r="V59" s="426"/>
    </row>
    <row r="60" spans="1:22" x14ac:dyDescent="0.25">
      <c r="A60" s="533"/>
      <c r="B60" s="533"/>
      <c r="C60" s="143">
        <v>17.77</v>
      </c>
      <c r="D60" s="143">
        <v>16.14</v>
      </c>
      <c r="E60" s="116">
        <f t="shared" si="10"/>
        <v>33.909999999999997</v>
      </c>
      <c r="F60" s="446" t="s">
        <v>13</v>
      </c>
      <c r="G60" s="445">
        <v>251</v>
      </c>
      <c r="H60" s="459">
        <f>'1461'!H60</f>
        <v>1173</v>
      </c>
      <c r="I60" s="101">
        <f t="shared" si="11"/>
        <v>39776.43</v>
      </c>
      <c r="N60" s="619"/>
      <c r="O60" s="619"/>
      <c r="P60" s="622"/>
      <c r="Q60" s="622"/>
      <c r="R60" s="40" t="s">
        <v>13</v>
      </c>
      <c r="S60" s="451">
        <v>251</v>
      </c>
      <c r="T60" s="462">
        <f t="shared" si="12"/>
        <v>1173</v>
      </c>
      <c r="U60" s="476">
        <f t="shared" si="13"/>
        <v>0</v>
      </c>
      <c r="V60" s="426"/>
    </row>
    <row r="61" spans="1:22" x14ac:dyDescent="0.25">
      <c r="A61" s="533"/>
      <c r="B61" s="533"/>
      <c r="C61" s="143">
        <v>2.0099999999999998</v>
      </c>
      <c r="D61" s="143">
        <v>1.92</v>
      </c>
      <c r="E61" s="116">
        <f t="shared" si="10"/>
        <v>3.9299999999999997</v>
      </c>
      <c r="F61" s="446" t="s">
        <v>13</v>
      </c>
      <c r="G61" s="445">
        <v>252</v>
      </c>
      <c r="H61" s="459">
        <f>'1461'!H61</f>
        <v>3506</v>
      </c>
      <c r="I61" s="101">
        <f t="shared" si="11"/>
        <v>13778.58</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25.28</v>
      </c>
      <c r="D66" s="97">
        <f>SUM(D57:D65)</f>
        <v>23.560000000000002</v>
      </c>
      <c r="E66" s="97">
        <f>SUM(E57:E65)</f>
        <v>48.839999999999996</v>
      </c>
      <c r="F66" s="520" t="s">
        <v>448</v>
      </c>
      <c r="G66" s="520"/>
      <c r="H66" s="520"/>
      <c r="I66" s="97">
        <f>SUM(I57:I65)</f>
        <v>74502.33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468.19999999999993</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2.3029999999999999E-3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501.45949999999999</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2.2039999999999998E-3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468.19999999999993</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2.5049999999999998E-3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468.19999999999993</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2.3050000000000002E-3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468.19999999999993</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2.5079999999999998E-3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2.3050000000000002E-3</v>
      </c>
      <c r="I85" s="101">
        <f>ROUND(F85*H85,2)</f>
        <v>102954.06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2.3029999999999999E-3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2.5079999999999998E-3</v>
      </c>
      <c r="I90" s="101">
        <f>ROUND(F90*H90,2)</f>
        <v>40546.97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2.5049999999999998E-3</v>
      </c>
      <c r="I92" s="101">
        <f t="shared" ref="I92:I96" si="14">ROUND(F92*H92,2)</f>
        <v>25150.45</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2.2039999999999998E-3</v>
      </c>
      <c r="I94" s="101">
        <f t="shared" si="14"/>
        <v>526750.87</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2.2039999999999998E-3</v>
      </c>
      <c r="I96" s="101">
        <f t="shared" si="14"/>
        <v>-3526.5</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234.26640000000003</v>
      </c>
      <c r="D101" s="515"/>
      <c r="E101" s="46">
        <f>H8</f>
        <v>1.0442</v>
      </c>
      <c r="F101" s="304">
        <f>'1461'!F101</f>
        <v>947.59</v>
      </c>
      <c r="G101" s="39" t="s">
        <v>12</v>
      </c>
      <c r="H101" s="101">
        <f>ROUND(C101*E101*F101,2)</f>
        <v>231800.39</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267.19310000000002</v>
      </c>
      <c r="D102" s="515"/>
      <c r="E102" s="46">
        <f>H8</f>
        <v>1.0442</v>
      </c>
      <c r="F102" s="304">
        <f>'1461'!F102</f>
        <v>904.74</v>
      </c>
      <c r="G102" s="39" t="s">
        <v>12</v>
      </c>
      <c r="H102" s="101">
        <f>ROUND(C102*E102*F102,2)</f>
        <v>252425.21</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501.45950000000005</v>
      </c>
      <c r="D104" s="528"/>
      <c r="E104" s="123"/>
      <c r="F104" s="123"/>
      <c r="G104" s="123"/>
      <c r="H104" s="124" t="s">
        <v>100</v>
      </c>
      <c r="I104" s="101">
        <f>IF(A1=75,0,H103+H102+H101)</f>
        <v>484225.6</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0</v>
      </c>
      <c r="E110" s="116">
        <f>(C110+D110)/2</f>
        <v>0</v>
      </c>
      <c r="F110" s="126" t="s">
        <v>30</v>
      </c>
      <c r="G110" s="305">
        <f>'1461'!G110</f>
        <v>565</v>
      </c>
      <c r="I110" s="101">
        <f>ROUND(G110*E110,2)</f>
        <v>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3941889.8200000012</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3782296.5600000015</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3782296.5600000015</v>
      </c>
      <c r="I132" s="94">
        <f>ROUND(IF(E30=0,0,IF(E30&gt;250,-(((250/E30)*H132)*IF(G132="H",0.02,0.05)),IF(G132="H",-0.02*H132,-0.05*H132))),2)</f>
        <v>-100979.72</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3840910.100000001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v>-334169.11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3506740.9900000012</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318794.64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88135.11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CCC"/>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133</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34.5</v>
      </c>
      <c r="D16" s="143">
        <v>32.43</v>
      </c>
      <c r="E16" s="116">
        <f t="shared" si="1"/>
        <v>66.930000000000007</v>
      </c>
      <c r="F16" s="555">
        <f>'1461'!F16:G16</f>
        <v>1</v>
      </c>
      <c r="G16" s="555"/>
      <c r="H16" s="80">
        <f t="shared" si="2"/>
        <v>66.930000000000007</v>
      </c>
      <c r="I16" s="101">
        <f t="shared" si="3"/>
        <v>359207.02</v>
      </c>
      <c r="N16" s="568" t="s">
        <v>22</v>
      </c>
      <c r="O16" s="568"/>
      <c r="P16" s="569">
        <f t="shared" si="0"/>
        <v>0</v>
      </c>
      <c r="Q16" s="569"/>
      <c r="R16" s="570">
        <v>1</v>
      </c>
      <c r="S16" s="570"/>
      <c r="T16" s="95">
        <f t="shared" si="4"/>
        <v>0</v>
      </c>
      <c r="U16" s="475">
        <f t="shared" si="5"/>
        <v>0</v>
      </c>
    </row>
    <row r="17" spans="1:21" x14ac:dyDescent="0.25">
      <c r="A17" s="517" t="s">
        <v>23</v>
      </c>
      <c r="B17" s="517"/>
      <c r="C17" s="143">
        <v>6.94</v>
      </c>
      <c r="D17" s="143">
        <v>7.28</v>
      </c>
      <c r="E17" s="116">
        <f t="shared" si="1"/>
        <v>14.22</v>
      </c>
      <c r="F17" s="555">
        <f>'1461'!F17:G17</f>
        <v>1</v>
      </c>
      <c r="G17" s="555"/>
      <c r="H17" s="80">
        <f t="shared" si="2"/>
        <v>14.22</v>
      </c>
      <c r="I17" s="101">
        <f t="shared" si="3"/>
        <v>76317.399999999994</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41.44</v>
      </c>
      <c r="D30" s="94">
        <f>SUM(D14:D29)</f>
        <v>39.71</v>
      </c>
      <c r="E30" s="94">
        <f>SUM(E14:E29)</f>
        <v>81.150000000000006</v>
      </c>
      <c r="F30" s="536"/>
      <c r="G30" s="536"/>
      <c r="H30" s="99">
        <f>SUM(H14:H29)</f>
        <v>81.150000000000006</v>
      </c>
      <c r="I30" s="94">
        <f>SUM(I14:I29)</f>
        <v>435524.42000000004</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81.150000000000006</v>
      </c>
      <c r="F46" s="34"/>
      <c r="G46" s="106"/>
      <c r="H46" s="107" t="s">
        <v>98</v>
      </c>
      <c r="I46" s="94">
        <f>SUM(I44,I30)</f>
        <v>435524.42000000004</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435524.42000000004</v>
      </c>
      <c r="G51" s="109" t="s">
        <v>6</v>
      </c>
      <c r="H51" s="403">
        <v>4.5199999999999997E-2</v>
      </c>
      <c r="I51" s="101">
        <f>ROUND(F51*H51,2)</f>
        <v>19685.7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435524.42000000004</v>
      </c>
      <c r="G52" s="109" t="s">
        <v>6</v>
      </c>
      <c r="H52" s="403">
        <v>1.41E-2</v>
      </c>
      <c r="I52" s="101">
        <f>ROUND(F52*H52,2)</f>
        <v>6140.89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25826.59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5.93</v>
      </c>
      <c r="D60" s="143">
        <v>6.27</v>
      </c>
      <c r="E60" s="116">
        <f t="shared" si="10"/>
        <v>12.2</v>
      </c>
      <c r="F60" s="446" t="s">
        <v>13</v>
      </c>
      <c r="G60" s="445">
        <v>251</v>
      </c>
      <c r="H60" s="459">
        <f>'1461'!H60</f>
        <v>1173</v>
      </c>
      <c r="I60" s="101">
        <f t="shared" si="11"/>
        <v>14310.6</v>
      </c>
      <c r="N60" s="619"/>
      <c r="O60" s="619"/>
      <c r="P60" s="622"/>
      <c r="Q60" s="622"/>
      <c r="R60" s="40" t="s">
        <v>13</v>
      </c>
      <c r="S60" s="451">
        <v>251</v>
      </c>
      <c r="T60" s="462">
        <f t="shared" si="12"/>
        <v>1173</v>
      </c>
      <c r="U60" s="476">
        <f t="shared" si="13"/>
        <v>0</v>
      </c>
      <c r="V60" s="426"/>
    </row>
    <row r="61" spans="1:22" x14ac:dyDescent="0.25">
      <c r="A61" s="533"/>
      <c r="B61" s="533"/>
      <c r="C61" s="143">
        <v>1.01</v>
      </c>
      <c r="D61" s="143">
        <v>1.01</v>
      </c>
      <c r="E61" s="116">
        <f t="shared" si="10"/>
        <v>2.02</v>
      </c>
      <c r="F61" s="446" t="s">
        <v>13</v>
      </c>
      <c r="G61" s="445">
        <v>252</v>
      </c>
      <c r="H61" s="459">
        <f>'1461'!H61</f>
        <v>3506</v>
      </c>
      <c r="I61" s="101">
        <f t="shared" si="11"/>
        <v>7082.12</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6.9399999999999995</v>
      </c>
      <c r="D66" s="97">
        <f>SUM(D57:D65)</f>
        <v>7.2799999999999994</v>
      </c>
      <c r="E66" s="97">
        <f>SUM(E57:E65)</f>
        <v>14.219999999999999</v>
      </c>
      <c r="F66" s="520" t="s">
        <v>448</v>
      </c>
      <c r="G66" s="520"/>
      <c r="H66" s="520"/>
      <c r="I66" s="97">
        <f>SUM(I57:I65)</f>
        <v>21392.720000000001</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81.150000000000006</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3.9899999999999999E-4</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81.150000000000006</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3.57E-4</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81.150000000000006</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4.3399999999999998E-4</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81.150000000000006</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4.0000000000000002E-4</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81.150000000000006</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4.35E-4</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4.0000000000000002E-4</v>
      </c>
      <c r="I85" s="101">
        <f>ROUND(F85*H85,2)</f>
        <v>17866.21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3.9899999999999999E-4</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4.35E-4</v>
      </c>
      <c r="I90" s="101">
        <f>ROUND(F90*H90,2)</f>
        <v>7032.67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4.3399999999999998E-4</v>
      </c>
      <c r="I92" s="101">
        <f t="shared" ref="I92:I96" si="14">ROUND(F92*H92,2)</f>
        <v>4357.3999999999996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3.57E-4</v>
      </c>
      <c r="I94" s="101">
        <f t="shared" si="14"/>
        <v>85322.17</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3.57E-4</v>
      </c>
      <c r="I96" s="101">
        <f t="shared" si="14"/>
        <v>-571.22</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81.150000000000006</v>
      </c>
      <c r="D102" s="515"/>
      <c r="E102" s="46">
        <f>H8</f>
        <v>1.0442</v>
      </c>
      <c r="F102" s="304">
        <f>'1461'!F102</f>
        <v>904.74</v>
      </c>
      <c r="G102" s="39" t="s">
        <v>12</v>
      </c>
      <c r="H102" s="101">
        <f>ROUND(C102*E102*F102,2)</f>
        <v>76664.800000000003</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81.150000000000006</v>
      </c>
      <c r="D104" s="528"/>
      <c r="E104" s="123"/>
      <c r="F104" s="123"/>
      <c r="G104" s="123"/>
      <c r="H104" s="124" t="s">
        <v>100</v>
      </c>
      <c r="I104" s="101">
        <f>IF(A1=75,0,H103+H102+H101)</f>
        <v>76664.800000000003</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0</v>
      </c>
      <c r="E110" s="116">
        <f>(C110+D110)/2</f>
        <v>0</v>
      </c>
      <c r="F110" s="126" t="s">
        <v>30</v>
      </c>
      <c r="G110" s="305">
        <f>'1461'!G110</f>
        <v>565</v>
      </c>
      <c r="I110" s="101">
        <f>ROUND(G110*E110,2)</f>
        <v>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647589.17000000016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621762.58000000019</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621762.58000000019</v>
      </c>
      <c r="I132" s="94">
        <f>ROUND(IF(E30=0,0,IF(E30&gt;250,-(((250/E30)*H132)*IF(G132="H",0.02,0.05)),IF(G132="H",-0.02*H132,-0.05*H132))),2)</f>
        <v>-12435.25</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635153.92000000016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-55469.86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579684.06000000017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52698.55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CCC"/>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134</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150.74</v>
      </c>
      <c r="D14" s="141">
        <v>146.88999999999999</v>
      </c>
      <c r="E14" s="187">
        <f>IF(D$30=0,C14*2,C14+D14)</f>
        <v>297.63</v>
      </c>
      <c r="F14" s="558">
        <f>'1461'!F14:G14</f>
        <v>1.1220000000000001</v>
      </c>
      <c r="G14" s="558"/>
      <c r="H14" s="145">
        <f>ROUND(E14*F14,4)</f>
        <v>333.9409</v>
      </c>
      <c r="I14" s="111">
        <f>ROUND(ROUND(ROUND(H14*$C$8,4)*($H$8),2)*(MAX($H$9,1)),2)</f>
        <v>1792229.44</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8</v>
      </c>
      <c r="D15" s="143">
        <v>7.97</v>
      </c>
      <c r="E15" s="116">
        <f t="shared" ref="E15:E29" si="1">IF(D$30=0,C15*2,C15+D15)</f>
        <v>15.969999999999999</v>
      </c>
      <c r="F15" s="555">
        <f>'1461'!F15:G15</f>
        <v>1.1220000000000001</v>
      </c>
      <c r="G15" s="555"/>
      <c r="H15" s="80">
        <f t="shared" ref="H15:H29" si="2">ROUND(E15*F15,4)</f>
        <v>17.918299999999999</v>
      </c>
      <c r="I15" s="101">
        <f t="shared" ref="I15:I29" si="3">ROUND(ROUND(ROUND(H15*$C$8,4)*($H$8),2)*(MAX($H$9,1)),2)</f>
        <v>96165.83</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193.55</v>
      </c>
      <c r="D16" s="143">
        <v>189.08</v>
      </c>
      <c r="E16" s="116">
        <f t="shared" si="1"/>
        <v>382.63</v>
      </c>
      <c r="F16" s="555">
        <f>'1461'!F16:G16</f>
        <v>1</v>
      </c>
      <c r="G16" s="555"/>
      <c r="H16" s="80">
        <f t="shared" si="2"/>
        <v>382.63</v>
      </c>
      <c r="I16" s="101">
        <f t="shared" si="3"/>
        <v>2053539.27</v>
      </c>
      <c r="N16" s="568" t="s">
        <v>22</v>
      </c>
      <c r="O16" s="568"/>
      <c r="P16" s="569">
        <f t="shared" si="0"/>
        <v>0</v>
      </c>
      <c r="Q16" s="569"/>
      <c r="R16" s="570">
        <v>1</v>
      </c>
      <c r="S16" s="570"/>
      <c r="T16" s="95">
        <f t="shared" si="4"/>
        <v>0</v>
      </c>
      <c r="U16" s="475">
        <f t="shared" si="5"/>
        <v>0</v>
      </c>
    </row>
    <row r="17" spans="1:21" x14ac:dyDescent="0.25">
      <c r="A17" s="517" t="s">
        <v>23</v>
      </c>
      <c r="B17" s="517"/>
      <c r="C17" s="143">
        <v>23.5</v>
      </c>
      <c r="D17" s="143">
        <v>20.94</v>
      </c>
      <c r="E17" s="116">
        <f t="shared" si="1"/>
        <v>44.44</v>
      </c>
      <c r="F17" s="555">
        <f>'1461'!F17:G17</f>
        <v>1</v>
      </c>
      <c r="G17" s="555"/>
      <c r="H17" s="80">
        <f t="shared" si="2"/>
        <v>44.44</v>
      </c>
      <c r="I17" s="101">
        <f t="shared" si="3"/>
        <v>238505.31</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21.28</v>
      </c>
      <c r="D26" s="143">
        <v>19.68</v>
      </c>
      <c r="E26" s="116">
        <f t="shared" si="1"/>
        <v>40.96</v>
      </c>
      <c r="F26" s="555">
        <f>'1461'!F26:G26</f>
        <v>1.208</v>
      </c>
      <c r="G26" s="555"/>
      <c r="H26" s="80">
        <f t="shared" si="2"/>
        <v>49.479700000000001</v>
      </c>
      <c r="I26" s="101">
        <f t="shared" si="3"/>
        <v>265552.90000000002</v>
      </c>
      <c r="N26" s="568" t="s">
        <v>85</v>
      </c>
      <c r="O26" s="568"/>
      <c r="P26" s="569">
        <f t="shared" si="0"/>
        <v>0</v>
      </c>
      <c r="Q26" s="569"/>
      <c r="R26" s="570">
        <v>1</v>
      </c>
      <c r="S26" s="570"/>
      <c r="T26" s="95">
        <f t="shared" si="4"/>
        <v>0</v>
      </c>
      <c r="U26" s="475">
        <f t="shared" si="5"/>
        <v>0</v>
      </c>
    </row>
    <row r="27" spans="1:21" x14ac:dyDescent="0.25">
      <c r="A27" s="517" t="s">
        <v>86</v>
      </c>
      <c r="B27" s="517"/>
      <c r="C27" s="143">
        <v>10.56</v>
      </c>
      <c r="D27" s="143">
        <v>13.52</v>
      </c>
      <c r="E27" s="116">
        <f t="shared" si="1"/>
        <v>24.08</v>
      </c>
      <c r="F27" s="555">
        <f>'1461'!F27:G27</f>
        <v>1.208</v>
      </c>
      <c r="G27" s="555"/>
      <c r="H27" s="80">
        <f t="shared" si="2"/>
        <v>29.0886</v>
      </c>
      <c r="I27" s="101">
        <f t="shared" si="3"/>
        <v>156115.78</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407.63000000000005</v>
      </c>
      <c r="D30" s="94">
        <f>SUM(D14:D29)</f>
        <v>398.08</v>
      </c>
      <c r="E30" s="94">
        <f>SUM(E14:E29)</f>
        <v>805.71000000000015</v>
      </c>
      <c r="F30" s="536"/>
      <c r="G30" s="536"/>
      <c r="H30" s="99">
        <f>SUM(H14:H29)</f>
        <v>857.49750000000006</v>
      </c>
      <c r="I30" s="94">
        <f>SUM(I14:I29)</f>
        <v>4602108.53</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857.49750000000006</v>
      </c>
      <c r="F46" s="34"/>
      <c r="G46" s="106"/>
      <c r="H46" s="107" t="s">
        <v>98</v>
      </c>
      <c r="I46" s="94">
        <f>SUM(I44,I30)</f>
        <v>4602108.53</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4602108.53</v>
      </c>
      <c r="G51" s="109" t="s">
        <v>6</v>
      </c>
      <c r="H51" s="403">
        <v>4.5199999999999997E-2</v>
      </c>
      <c r="I51" s="101">
        <f>ROUND(F51*H51,2)</f>
        <v>208015.31</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4602108.53</v>
      </c>
      <c r="G52" s="109" t="s">
        <v>6</v>
      </c>
      <c r="H52" s="403">
        <v>1.41E-2</v>
      </c>
      <c r="I52" s="101">
        <f>ROUND(F52*H52,2)</f>
        <v>64889.73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272905.03999999998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6</v>
      </c>
      <c r="D57" s="143">
        <v>7.56</v>
      </c>
      <c r="E57" s="116">
        <f t="shared" ref="E57:E65" si="10">IF(D$72=0,C57*2,C57+D57)</f>
        <v>13.559999999999999</v>
      </c>
      <c r="F57" s="445" t="s">
        <v>439</v>
      </c>
      <c r="G57" s="445">
        <v>251</v>
      </c>
      <c r="H57" s="459">
        <f>'1461'!H57</f>
        <v>1047</v>
      </c>
      <c r="I57" s="101">
        <f>ROUND(E57*H57,2)</f>
        <v>14197.32</v>
      </c>
      <c r="N57" s="618" t="s">
        <v>447</v>
      </c>
      <c r="O57" s="618"/>
      <c r="P57" s="621"/>
      <c r="Q57" s="621"/>
      <c r="R57" s="451" t="s">
        <v>439</v>
      </c>
      <c r="S57" s="451">
        <v>251</v>
      </c>
      <c r="T57" s="462">
        <f>H57</f>
        <v>1047</v>
      </c>
      <c r="U57" s="476">
        <f>ROUND(P57*T57,2)</f>
        <v>0</v>
      </c>
      <c r="V57" s="426"/>
    </row>
    <row r="58" spans="1:22" x14ac:dyDescent="0.25">
      <c r="A58" s="533"/>
      <c r="B58" s="533"/>
      <c r="C58" s="143">
        <v>1</v>
      </c>
      <c r="D58" s="143">
        <v>0</v>
      </c>
      <c r="E58" s="116">
        <f t="shared" si="10"/>
        <v>1</v>
      </c>
      <c r="F58" s="445" t="s">
        <v>439</v>
      </c>
      <c r="G58" s="445">
        <v>252</v>
      </c>
      <c r="H58" s="459">
        <f>'1461'!H58</f>
        <v>3380</v>
      </c>
      <c r="I58" s="101">
        <f t="shared" ref="I58:I65" si="11">ROUND(E58*H58,2)</f>
        <v>3380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1</v>
      </c>
      <c r="D59" s="143">
        <v>0.41</v>
      </c>
      <c r="E59" s="116">
        <f t="shared" si="10"/>
        <v>1.41</v>
      </c>
      <c r="F59" s="445" t="s">
        <v>439</v>
      </c>
      <c r="G59" s="445">
        <v>253</v>
      </c>
      <c r="H59" s="459">
        <f>'1461'!H59</f>
        <v>6896</v>
      </c>
      <c r="I59" s="101">
        <f t="shared" si="11"/>
        <v>9723.36</v>
      </c>
      <c r="N59" s="619"/>
      <c r="O59" s="619"/>
      <c r="P59" s="622"/>
      <c r="Q59" s="622"/>
      <c r="R59" s="451" t="s">
        <v>439</v>
      </c>
      <c r="S59" s="451">
        <v>253</v>
      </c>
      <c r="T59" s="462">
        <f t="shared" si="12"/>
        <v>6896</v>
      </c>
      <c r="U59" s="476">
        <f t="shared" si="13"/>
        <v>0</v>
      </c>
      <c r="V59" s="426"/>
    </row>
    <row r="60" spans="1:22" x14ac:dyDescent="0.25">
      <c r="A60" s="533"/>
      <c r="B60" s="533"/>
      <c r="C60" s="143">
        <v>23.5</v>
      </c>
      <c r="D60" s="143">
        <v>20.54</v>
      </c>
      <c r="E60" s="116">
        <f t="shared" si="10"/>
        <v>44.04</v>
      </c>
      <c r="F60" s="446" t="s">
        <v>13</v>
      </c>
      <c r="G60" s="445">
        <v>251</v>
      </c>
      <c r="H60" s="459">
        <f>'1461'!H60</f>
        <v>1173</v>
      </c>
      <c r="I60" s="101">
        <f t="shared" si="11"/>
        <v>51658.92</v>
      </c>
      <c r="N60" s="619"/>
      <c r="O60" s="619"/>
      <c r="P60" s="622"/>
      <c r="Q60" s="622"/>
      <c r="R60" s="40" t="s">
        <v>13</v>
      </c>
      <c r="S60" s="451">
        <v>251</v>
      </c>
      <c r="T60" s="462">
        <f t="shared" si="12"/>
        <v>1173</v>
      </c>
      <c r="U60" s="476">
        <f t="shared" si="13"/>
        <v>0</v>
      </c>
      <c r="V60" s="426"/>
    </row>
    <row r="61" spans="1:22" x14ac:dyDescent="0.25">
      <c r="A61" s="533"/>
      <c r="B61" s="533"/>
      <c r="C61" s="143">
        <v>0</v>
      </c>
      <c r="D61" s="143">
        <v>0.4</v>
      </c>
      <c r="E61" s="116">
        <f t="shared" si="10"/>
        <v>0.4</v>
      </c>
      <c r="F61" s="446" t="s">
        <v>13</v>
      </c>
      <c r="G61" s="445">
        <v>252</v>
      </c>
      <c r="H61" s="459">
        <f>'1461'!H61</f>
        <v>3506</v>
      </c>
      <c r="I61" s="101">
        <f t="shared" si="11"/>
        <v>1402.4</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31.5</v>
      </c>
      <c r="D66" s="97">
        <f>SUM(D57:D65)</f>
        <v>28.909999999999997</v>
      </c>
      <c r="E66" s="97">
        <f>SUM(E57:E65)</f>
        <v>60.41</v>
      </c>
      <c r="F66" s="520" t="s">
        <v>448</v>
      </c>
      <c r="G66" s="520"/>
      <c r="H66" s="520"/>
      <c r="I66" s="97">
        <f>SUM(I57:I65)</f>
        <v>80362</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805.71000000000015</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3.9630000000000004E-3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857.49750000000006</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3.7690000000000002E-3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805.71000000000015</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4.3109999999999997E-3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805.71000000000015</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3.967E-3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805.71000000000015</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4.3160000000000004E-3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3.967E-3</v>
      </c>
      <c r="I85" s="101">
        <f>ROUND(F85*H85,2)</f>
        <v>177188.18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3.9630000000000004E-3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4.3160000000000004E-3</v>
      </c>
      <c r="I90" s="101">
        <f>ROUND(F90*H90,2)</f>
        <v>69777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4.3109999999999997E-3</v>
      </c>
      <c r="I92" s="101">
        <f t="shared" ref="I92:I96" si="14">ROUND(F92*H92,2)</f>
        <v>43282.87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3.7690000000000002E-3</v>
      </c>
      <c r="I94" s="101">
        <f t="shared" si="14"/>
        <v>900782.23</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3.7690000000000002E-3</v>
      </c>
      <c r="I96" s="101">
        <f t="shared" si="14"/>
        <v>-6030.58</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401.33889999999997</v>
      </c>
      <c r="D101" s="515"/>
      <c r="E101" s="46">
        <f>H8</f>
        <v>1.0442</v>
      </c>
      <c r="F101" s="304">
        <f>'1461'!F101</f>
        <v>947.59</v>
      </c>
      <c r="G101" s="39" t="s">
        <v>12</v>
      </c>
      <c r="H101" s="101">
        <f>ROUND(C101*E101*F101,2)</f>
        <v>397114.2</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456.15859999999998</v>
      </c>
      <c r="D102" s="515"/>
      <c r="E102" s="46">
        <f>H8</f>
        <v>1.0442</v>
      </c>
      <c r="F102" s="304">
        <f>'1461'!F102</f>
        <v>904.74</v>
      </c>
      <c r="G102" s="39" t="s">
        <v>12</v>
      </c>
      <c r="H102" s="101">
        <f>ROUND(C102*E102*F102,2)</f>
        <v>430946.49</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857.49749999999995</v>
      </c>
      <c r="D104" s="528"/>
      <c r="E104" s="123"/>
      <c r="F104" s="123"/>
      <c r="G104" s="123"/>
      <c r="H104" s="124" t="s">
        <v>100</v>
      </c>
      <c r="I104" s="101">
        <f>IF(A1=75,0,H103+H102+H101)</f>
        <v>828060.69</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5</v>
      </c>
      <c r="D110" s="143">
        <v>0</v>
      </c>
      <c r="E110" s="116">
        <f>(C110+D110)/2</f>
        <v>2.5</v>
      </c>
      <c r="F110" s="126" t="s">
        <v>30</v>
      </c>
      <c r="G110" s="305">
        <f>'1461'!G110</f>
        <v>565</v>
      </c>
      <c r="I110" s="101">
        <f>ROUND(G110*E110,2)</f>
        <v>1412.5</v>
      </c>
      <c r="N110" s="617" t="s">
        <v>52</v>
      </c>
      <c r="O110" s="617"/>
      <c r="P110" s="605">
        <f>IF(H130=1,E110,0)</f>
        <v>0</v>
      </c>
      <c r="Q110" s="605"/>
      <c r="R110" s="605"/>
      <c r="S110" s="83" t="s">
        <v>30</v>
      </c>
      <c r="T110" s="58">
        <f>G110</f>
        <v>565</v>
      </c>
      <c r="U110" s="475">
        <f>ROUND(T110*P110,2)</f>
        <v>0</v>
      </c>
    </row>
    <row r="111" spans="1:21" x14ac:dyDescent="0.25">
      <c r="A111" s="529" t="s">
        <v>380</v>
      </c>
      <c r="B111" s="550"/>
      <c r="C111" s="143">
        <v>1</v>
      </c>
      <c r="D111" s="143">
        <v>0</v>
      </c>
      <c r="E111" s="116">
        <f>(C111+D111)/2</f>
        <v>0.5</v>
      </c>
      <c r="F111" s="126" t="s">
        <v>30</v>
      </c>
      <c r="G111" s="305">
        <f>'1461'!G111</f>
        <v>1762</v>
      </c>
      <c r="I111" s="101">
        <f>ROUND(G111*E111,2)</f>
        <v>881</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6697824.4199999999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6424919.3799999999</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6424919.3799999999</v>
      </c>
      <c r="I132" s="94">
        <f>ROUND(IF(E30=0,0,IF(E30&gt;250,-(((250/E30)*H132)*IF(G132="H",0.02,0.05)),IF(G132="H",-0.02*H132,-0.05*H132))),2)</f>
        <v>-99677.91</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6598146.5099999998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-574381.96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6023764.5499999998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547614.96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221568.06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CCC"/>
  </sheetPr>
  <dimension ref="A1:V243"/>
  <sheetViews>
    <sheetView showGridLines="0" zoomScaleNormal="100" workbookViewId="0">
      <pane ySplit="1" topLeftCell="A2" activePane="bottomLeft" state="frozen"/>
      <selection activeCell="I132" sqref="I132"/>
      <selection pane="bottomLeft" activeCell="D58" sqref="D58"/>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254</v>
      </c>
      <c r="B2" s="2"/>
      <c r="C2" s="2"/>
      <c r="D2" s="2"/>
      <c r="E2" s="2"/>
      <c r="F2" s="2"/>
      <c r="G2" s="2"/>
      <c r="H2" s="2"/>
      <c r="I2" s="2"/>
      <c r="N2" s="561" t="s">
        <v>18</v>
      </c>
      <c r="O2" s="561"/>
      <c r="P2" s="561"/>
      <c r="Q2" s="561"/>
      <c r="R2" s="561"/>
      <c r="S2" s="561"/>
      <c r="T2" s="561"/>
      <c r="U2" s="561"/>
    </row>
    <row r="3" spans="1:21" x14ac:dyDescent="0.25">
      <c r="A3" s="254" t="s">
        <v>475</v>
      </c>
      <c r="N3" s="562" t="str">
        <f>A3</f>
        <v>Based on the FLDOE 2023-24 FEFP Second Calculation</v>
      </c>
      <c r="O3" s="562"/>
      <c r="P3" s="562"/>
      <c r="Q3" s="562"/>
      <c r="R3" s="562"/>
      <c r="S3" s="562"/>
      <c r="T3" s="562"/>
      <c r="U3" s="562"/>
    </row>
    <row r="4" spans="1:21" x14ac:dyDescent="0.25">
      <c r="A4" s="542" t="s">
        <v>0</v>
      </c>
      <c r="B4" s="542"/>
      <c r="C4" s="543" t="s">
        <v>9</v>
      </c>
      <c r="D4" s="543"/>
      <c r="E4" s="543"/>
      <c r="F4" s="316" t="s">
        <v>474</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v>5139.7299999999996</v>
      </c>
      <c r="D8" s="86"/>
      <c r="E8" s="87"/>
      <c r="F8" s="84"/>
      <c r="G8" s="85" t="s">
        <v>392</v>
      </c>
      <c r="H8" s="288">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v>1</v>
      </c>
      <c r="I9" s="75"/>
      <c r="N9" s="12"/>
      <c r="O9" s="12"/>
      <c r="P9" s="13"/>
      <c r="Q9" s="13"/>
      <c r="R9" s="386" t="s">
        <v>391</v>
      </c>
      <c r="S9" s="386"/>
      <c r="T9" s="578">
        <f>H9</f>
        <v>1</v>
      </c>
      <c r="U9" s="578"/>
    </row>
    <row r="10" spans="1:21" x14ac:dyDescent="0.25">
      <c r="A10" s="7"/>
      <c r="B10" s="7" t="s">
        <v>304</v>
      </c>
      <c r="C10" s="8" t="s">
        <v>304</v>
      </c>
      <c r="D10" s="8" t="s">
        <v>304</v>
      </c>
      <c r="E10" s="8"/>
      <c r="F10" s="9"/>
      <c r="G10" s="9"/>
      <c r="H10" s="10"/>
      <c r="I10" s="326" t="s">
        <v>389</v>
      </c>
      <c r="N10" s="12"/>
      <c r="O10" s="12"/>
      <c r="P10" s="13"/>
      <c r="Q10" s="13"/>
      <c r="R10" s="14"/>
      <c r="S10" s="14"/>
      <c r="T10" s="15"/>
      <c r="U10" s="367" t="str">
        <f>I10</f>
        <v>2023-24</v>
      </c>
    </row>
    <row r="11" spans="1:21" x14ac:dyDescent="0.25">
      <c r="A11" s="7"/>
      <c r="B11" s="7"/>
      <c r="C11" s="88" t="s">
        <v>359</v>
      </c>
      <c r="D11" s="334" t="s">
        <v>360</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36" t="s">
        <v>1</v>
      </c>
      <c r="B12" s="36"/>
      <c r="C12" s="325" t="s">
        <v>2</v>
      </c>
      <c r="D12" s="325" t="s">
        <v>2</v>
      </c>
      <c r="E12" s="90"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256.52999999999997</v>
      </c>
      <c r="D18" s="143">
        <v>248.59</v>
      </c>
      <c r="E18" s="116">
        <f>IF(D$30=0,C18*2,C18+D18)</f>
        <v>505.12</v>
      </c>
      <c r="F18" s="555">
        <v>0.98799999999999999</v>
      </c>
      <c r="G18" s="555"/>
      <c r="H18" s="80">
        <f t="shared" si="2"/>
        <v>499.05860000000001</v>
      </c>
      <c r="I18" s="101">
        <f t="shared" si="3"/>
        <v>2678400.63</v>
      </c>
      <c r="N18" s="568" t="s">
        <v>24</v>
      </c>
      <c r="O18" s="568"/>
      <c r="P18" s="569">
        <f t="shared" si="0"/>
        <v>0</v>
      </c>
      <c r="Q18" s="569"/>
      <c r="R18" s="570">
        <v>1</v>
      </c>
      <c r="S18" s="570"/>
      <c r="T18" s="95">
        <f t="shared" si="4"/>
        <v>0</v>
      </c>
      <c r="U18" s="475">
        <f t="shared" si="5"/>
        <v>0</v>
      </c>
    </row>
    <row r="19" spans="1:21" x14ac:dyDescent="0.25">
      <c r="A19" s="517" t="s">
        <v>25</v>
      </c>
      <c r="B19" s="517"/>
      <c r="C19" s="143">
        <v>37.35</v>
      </c>
      <c r="D19" s="143">
        <v>37.520000000000003</v>
      </c>
      <c r="E19" s="116">
        <f t="shared" si="1"/>
        <v>74.87</v>
      </c>
      <c r="F19" s="555">
        <v>0.98799999999999999</v>
      </c>
      <c r="G19" s="555"/>
      <c r="H19" s="80">
        <f t="shared" si="2"/>
        <v>73.971599999999995</v>
      </c>
      <c r="I19" s="101">
        <f t="shared" si="3"/>
        <v>396998.63</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v>1.208</v>
      </c>
      <c r="G26" s="555"/>
      <c r="H26" s="80">
        <f t="shared" si="2"/>
        <v>0</v>
      </c>
      <c r="I26" s="101">
        <f t="shared" si="3"/>
        <v>0</v>
      </c>
      <c r="L26" s="251"/>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v>1.208</v>
      </c>
      <c r="G27" s="555"/>
      <c r="H27" s="80">
        <f t="shared" si="2"/>
        <v>0</v>
      </c>
      <c r="I27" s="101">
        <f t="shared" si="3"/>
        <v>0</v>
      </c>
      <c r="L27" s="251"/>
      <c r="N27" s="568" t="s">
        <v>86</v>
      </c>
      <c r="O27" s="568"/>
      <c r="P27" s="569">
        <f t="shared" si="0"/>
        <v>0</v>
      </c>
      <c r="Q27" s="569"/>
      <c r="R27" s="570">
        <v>1</v>
      </c>
      <c r="S27" s="570"/>
      <c r="T27" s="95">
        <f t="shared" si="4"/>
        <v>0</v>
      </c>
      <c r="U27" s="475">
        <f t="shared" si="5"/>
        <v>0</v>
      </c>
    </row>
    <row r="28" spans="1:21" x14ac:dyDescent="0.25">
      <c r="A28" s="517" t="s">
        <v>87</v>
      </c>
      <c r="B28" s="517"/>
      <c r="C28" s="143">
        <v>8.8000000000000007</v>
      </c>
      <c r="D28" s="143">
        <v>6.27</v>
      </c>
      <c r="E28" s="116">
        <f t="shared" si="1"/>
        <v>15.07</v>
      </c>
      <c r="F28" s="555">
        <v>1.208</v>
      </c>
      <c r="G28" s="555"/>
      <c r="H28" s="80">
        <f t="shared" si="2"/>
        <v>18.204599999999999</v>
      </c>
      <c r="I28" s="101">
        <f t="shared" si="3"/>
        <v>97702.38</v>
      </c>
      <c r="N28" s="568" t="s">
        <v>87</v>
      </c>
      <c r="O28" s="568"/>
      <c r="P28" s="569">
        <f t="shared" si="0"/>
        <v>0</v>
      </c>
      <c r="Q28" s="569"/>
      <c r="R28" s="570">
        <v>1</v>
      </c>
      <c r="S28" s="570"/>
      <c r="T28" s="95">
        <f t="shared" si="4"/>
        <v>0</v>
      </c>
      <c r="U28" s="475">
        <f t="shared" si="5"/>
        <v>0</v>
      </c>
    </row>
    <row r="29" spans="1:21" x14ac:dyDescent="0.25">
      <c r="A29" s="517" t="s">
        <v>88</v>
      </c>
      <c r="B29" s="517"/>
      <c r="C29" s="110">
        <v>73.760000000000005</v>
      </c>
      <c r="D29" s="110">
        <v>73.31</v>
      </c>
      <c r="E29" s="154">
        <f t="shared" si="1"/>
        <v>147.07</v>
      </c>
      <c r="F29" s="555">
        <v>1.0720000000000001</v>
      </c>
      <c r="G29" s="555"/>
      <c r="H29" s="93">
        <f t="shared" si="2"/>
        <v>157.65899999999999</v>
      </c>
      <c r="I29" s="94">
        <f t="shared" si="3"/>
        <v>846141.04</v>
      </c>
      <c r="N29" s="585" t="s">
        <v>88</v>
      </c>
      <c r="O29" s="585"/>
      <c r="P29" s="569">
        <f t="shared" si="0"/>
        <v>0</v>
      </c>
      <c r="Q29" s="569"/>
      <c r="R29" s="586">
        <v>1</v>
      </c>
      <c r="S29" s="586"/>
      <c r="T29" s="95">
        <f t="shared" si="4"/>
        <v>0</v>
      </c>
      <c r="U29" s="475">
        <f t="shared" si="5"/>
        <v>0</v>
      </c>
    </row>
    <row r="30" spans="1:21" x14ac:dyDescent="0.25">
      <c r="A30" s="520" t="s">
        <v>5</v>
      </c>
      <c r="B30" s="520"/>
      <c r="C30" s="94">
        <f>SUM(C14:C29)</f>
        <v>376.44</v>
      </c>
      <c r="D30" s="94">
        <f>SUM(D14:D29)</f>
        <v>365.69</v>
      </c>
      <c r="E30" s="94">
        <f>SUM(E14:E29)</f>
        <v>742.13000000000011</v>
      </c>
      <c r="F30" s="536"/>
      <c r="G30" s="536"/>
      <c r="H30" s="99">
        <f>SUM(H14:H29)</f>
        <v>748.89380000000006</v>
      </c>
      <c r="I30" s="94">
        <f>SUM(I14:I29)</f>
        <v>4019242.6799999997</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3" t="s">
        <v>253</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556" t="s">
        <v>233</v>
      </c>
      <c r="G34" s="556"/>
      <c r="H34" s="556"/>
      <c r="I34" s="101"/>
      <c r="N34" s="28"/>
      <c r="O34" s="28"/>
      <c r="P34" s="29"/>
      <c r="Q34" s="29"/>
      <c r="R34" s="30"/>
      <c r="S34" s="30"/>
      <c r="T34" s="102"/>
      <c r="U34" s="103"/>
    </row>
    <row r="35" spans="1:21" ht="15.75" hidden="1" customHeight="1" x14ac:dyDescent="0.25">
      <c r="A35" s="3"/>
      <c r="B35" s="69"/>
      <c r="C35" s="69"/>
      <c r="D35" s="69"/>
      <c r="E35" s="69"/>
      <c r="F35" s="556"/>
      <c r="G35" s="556"/>
      <c r="H35" s="556"/>
      <c r="I35" s="24" t="str">
        <f>I10</f>
        <v>2023-24</v>
      </c>
      <c r="N35" s="562" t="s">
        <v>26</v>
      </c>
      <c r="O35" s="562"/>
      <c r="P35" s="562"/>
      <c r="Q35" s="562"/>
      <c r="R35" s="562"/>
      <c r="S35" s="562"/>
      <c r="T35" s="562"/>
      <c r="U35" s="25" t="str">
        <f>I35</f>
        <v>2023-24</v>
      </c>
    </row>
    <row r="36" spans="1:21" hidden="1" x14ac:dyDescent="0.25">
      <c r="A36" s="26"/>
      <c r="B36" s="26"/>
      <c r="C36" s="88" t="s">
        <v>310</v>
      </c>
      <c r="D36" s="88"/>
      <c r="E36" s="89" t="s">
        <v>8</v>
      </c>
      <c r="F36" s="556"/>
      <c r="G36" s="556"/>
      <c r="H36" s="556"/>
      <c r="I36" s="24" t="s">
        <v>27</v>
      </c>
      <c r="N36" s="28"/>
      <c r="O36" s="28"/>
      <c r="P36" s="29"/>
      <c r="Q36" s="29"/>
      <c r="R36" s="30"/>
      <c r="S36" s="30"/>
      <c r="T36" s="102"/>
      <c r="U36" s="25" t="s">
        <v>27</v>
      </c>
    </row>
    <row r="37" spans="1:21" ht="26.25" hidden="1" x14ac:dyDescent="0.25">
      <c r="A37" s="537" t="s">
        <v>50</v>
      </c>
      <c r="B37" s="537"/>
      <c r="C37" s="325" t="s">
        <v>2</v>
      </c>
      <c r="D37" s="325"/>
      <c r="E37" s="90" t="s">
        <v>2</v>
      </c>
      <c r="F37" s="557"/>
      <c r="G37" s="557"/>
      <c r="H37" s="55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748.89380000000006</v>
      </c>
      <c r="F46" s="34"/>
      <c r="G46" s="106"/>
      <c r="H46" s="107" t="s">
        <v>98</v>
      </c>
      <c r="I46" s="94">
        <f>SUM(I44,I30)</f>
        <v>4019242.6799999997</v>
      </c>
      <c r="N46" s="613" t="s">
        <v>44</v>
      </c>
      <c r="O46" s="613"/>
      <c r="P46" s="613"/>
      <c r="Q46" s="613"/>
      <c r="R46" s="35">
        <f>R44+T30</f>
        <v>0</v>
      </c>
      <c r="S46" s="589" t="s">
        <v>42</v>
      </c>
      <c r="T46" s="589"/>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4" t="s">
        <v>397</v>
      </c>
      <c r="F50" s="394"/>
      <c r="G50" s="395"/>
      <c r="H50" s="395"/>
      <c r="I50" s="396"/>
      <c r="N50" s="414" t="s">
        <v>397</v>
      </c>
      <c r="O50" s="397"/>
      <c r="P50" s="397"/>
      <c r="Q50" s="397"/>
      <c r="R50" s="398"/>
      <c r="S50" s="399"/>
      <c r="T50" s="399"/>
      <c r="U50" s="406"/>
    </row>
    <row r="51" spans="1:22" x14ac:dyDescent="0.25">
      <c r="A51" s="391"/>
      <c r="B51" s="3" t="s">
        <v>398</v>
      </c>
      <c r="C51" s="26"/>
      <c r="D51" s="26"/>
      <c r="E51" s="43" t="s">
        <v>399</v>
      </c>
      <c r="F51" s="402">
        <f>I46</f>
        <v>4019242.6799999997</v>
      </c>
      <c r="G51" s="109" t="s">
        <v>6</v>
      </c>
      <c r="H51" s="403">
        <v>4.5199999999999997E-2</v>
      </c>
      <c r="I51" s="101">
        <f>ROUND(F51*H51,2)</f>
        <v>181669.77</v>
      </c>
      <c r="N51" s="408"/>
      <c r="O51" s="51"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4019242.6799999997</v>
      </c>
      <c r="G52" s="109" t="s">
        <v>6</v>
      </c>
      <c r="H52" s="403">
        <v>1.41E-2</v>
      </c>
      <c r="I52" s="101">
        <f>ROUND(F52*H52,2)</f>
        <v>56671.32</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238341.09</v>
      </c>
      <c r="N53" s="28"/>
      <c r="O53" s="385" t="s">
        <v>401</v>
      </c>
      <c r="P53" s="28"/>
      <c r="Q53" s="44"/>
      <c r="R53" s="410"/>
      <c r="S53" s="411"/>
      <c r="T53" s="412"/>
      <c r="U53" s="404">
        <f>SUM(U51:U52)</f>
        <v>0</v>
      </c>
    </row>
    <row r="54" spans="1:22" x14ac:dyDescent="0.25">
      <c r="A54" s="242"/>
      <c r="C54" s="446" t="s">
        <v>446</v>
      </c>
      <c r="D54" s="446" t="s">
        <v>446</v>
      </c>
      <c r="G54" s="42"/>
      <c r="H54" s="114"/>
      <c r="I54" s="114"/>
      <c r="N54" s="463"/>
      <c r="O54" s="51"/>
      <c r="P54" s="40" t="s">
        <v>446</v>
      </c>
      <c r="Q54" s="40" t="s">
        <v>446</v>
      </c>
      <c r="R54" s="51"/>
      <c r="S54" s="51"/>
      <c r="T54" s="464"/>
      <c r="U54" s="465"/>
      <c r="V54" s="114"/>
    </row>
    <row r="55" spans="1:22" x14ac:dyDescent="0.25">
      <c r="A55" s="447"/>
      <c r="B55" s="447"/>
      <c r="C55" s="88" t="s">
        <v>359</v>
      </c>
      <c r="D55" s="334" t="s">
        <v>360</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
        <v>2</v>
      </c>
      <c r="D56" s="325" t="s">
        <v>2</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36.35</v>
      </c>
      <c r="D63" s="143">
        <v>36.61</v>
      </c>
      <c r="E63" s="116">
        <f t="shared" si="10"/>
        <v>72.960000000000008</v>
      </c>
      <c r="F63" s="446" t="s">
        <v>14</v>
      </c>
      <c r="G63" s="445">
        <v>251</v>
      </c>
      <c r="H63" s="459">
        <v>835</v>
      </c>
      <c r="I63" s="101">
        <f t="shared" si="11"/>
        <v>60921.599999999999</v>
      </c>
      <c r="N63" s="619"/>
      <c r="O63" s="619"/>
      <c r="P63" s="622"/>
      <c r="Q63" s="622"/>
      <c r="R63" s="40" t="s">
        <v>14</v>
      </c>
      <c r="S63" s="451">
        <v>251</v>
      </c>
      <c r="T63" s="462">
        <f t="shared" si="12"/>
        <v>835</v>
      </c>
      <c r="U63" s="476">
        <f t="shared" si="13"/>
        <v>0</v>
      </c>
      <c r="V63" s="426"/>
    </row>
    <row r="64" spans="1:22" x14ac:dyDescent="0.25">
      <c r="A64" s="533"/>
      <c r="B64" s="533"/>
      <c r="C64" s="143">
        <v>1</v>
      </c>
      <c r="D64" s="143">
        <v>0.91</v>
      </c>
      <c r="E64" s="116">
        <f t="shared" si="10"/>
        <v>1.9100000000000001</v>
      </c>
      <c r="F64" s="446" t="s">
        <v>14</v>
      </c>
      <c r="G64" s="445">
        <v>252</v>
      </c>
      <c r="H64" s="459">
        <v>3168</v>
      </c>
      <c r="I64" s="101">
        <f t="shared" si="11"/>
        <v>6050.88</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v>6685</v>
      </c>
      <c r="I65" s="101">
        <f t="shared" si="11"/>
        <v>0</v>
      </c>
      <c r="N65" s="619"/>
      <c r="O65" s="619"/>
      <c r="P65" s="623"/>
      <c r="Q65" s="623"/>
      <c r="R65" s="40" t="s">
        <v>14</v>
      </c>
      <c r="S65" s="451">
        <v>253</v>
      </c>
      <c r="T65" s="462">
        <f t="shared" si="12"/>
        <v>6685</v>
      </c>
      <c r="U65" s="477">
        <f t="shared" si="13"/>
        <v>0</v>
      </c>
      <c r="V65" s="426"/>
    </row>
    <row r="66" spans="1:22" ht="16.5" thickBot="1" x14ac:dyDescent="0.3">
      <c r="A66" s="242"/>
      <c r="C66" s="97">
        <f>SUM(C57:C65)</f>
        <v>37.35</v>
      </c>
      <c r="D66" s="97">
        <f>SUM(D57:D65)</f>
        <v>37.519999999999996</v>
      </c>
      <c r="E66" s="97">
        <f>SUM(E57:E65)</f>
        <v>74.87</v>
      </c>
      <c r="F66" s="520" t="s">
        <v>448</v>
      </c>
      <c r="G66" s="520"/>
      <c r="H66" s="520"/>
      <c r="I66" s="97">
        <f>SUM(I57:I65)</f>
        <v>66972.479999999996</v>
      </c>
      <c r="N66" s="463"/>
      <c r="O66" s="51"/>
      <c r="P66" s="624">
        <f>SUM(P57:P65)</f>
        <v>0</v>
      </c>
      <c r="Q66" s="624"/>
      <c r="R66" s="613" t="s">
        <v>448</v>
      </c>
      <c r="S66" s="613"/>
      <c r="T66" s="613"/>
      <c r="U66" s="478">
        <f>SUM(U57:U65)</f>
        <v>0</v>
      </c>
      <c r="V66" s="426"/>
    </row>
    <row r="67" spans="1:22" x14ac:dyDescent="0.25">
      <c r="A67" s="2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742.13000000000011</v>
      </c>
      <c r="D69" s="530" t="s">
        <v>413</v>
      </c>
      <c r="E69" s="530"/>
      <c r="F69" s="530"/>
      <c r="G69" s="530"/>
      <c r="H69" s="289">
        <v>203305.63</v>
      </c>
      <c r="I69" s="113"/>
      <c r="N69" s="591" t="s">
        <v>406</v>
      </c>
      <c r="O69" s="568"/>
      <c r="P69" s="41">
        <f>P30</f>
        <v>0</v>
      </c>
      <c r="Q69" s="596" t="s">
        <v>408</v>
      </c>
      <c r="R69" s="597"/>
      <c r="S69" s="597"/>
      <c r="T69" s="595">
        <f>H69</f>
        <v>203305.63</v>
      </c>
      <c r="U69" s="595"/>
    </row>
    <row r="70" spans="1:22" x14ac:dyDescent="0.25">
      <c r="B70" s="69"/>
      <c r="G70" s="42" t="s">
        <v>12</v>
      </c>
      <c r="H70" s="114">
        <f>ROUND(C69/H69,6)</f>
        <v>3.65E-3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748.89380000000006</v>
      </c>
      <c r="D72" s="530" t="s">
        <v>414</v>
      </c>
      <c r="E72" s="530"/>
      <c r="F72" s="530"/>
      <c r="G72" s="530"/>
      <c r="H72" s="290">
        <v>227540.36</v>
      </c>
      <c r="I72" s="116"/>
      <c r="N72" s="591" t="s">
        <v>407</v>
      </c>
      <c r="O72" s="568"/>
      <c r="P72" s="41">
        <f>T30</f>
        <v>0</v>
      </c>
      <c r="Q72" s="596" t="s">
        <v>409</v>
      </c>
      <c r="R72" s="597"/>
      <c r="S72" s="597"/>
      <c r="T72" s="595">
        <f>H72</f>
        <v>227540.36</v>
      </c>
      <c r="U72" s="595"/>
    </row>
    <row r="73" spans="1:22" x14ac:dyDescent="0.25">
      <c r="G73" s="42" t="s">
        <v>12</v>
      </c>
      <c r="H73" s="114">
        <f>ROUND(C72/H72,6)</f>
        <v>3.2910000000000001E-3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742.13000000000011</v>
      </c>
      <c r="D75" s="529" t="s">
        <v>415</v>
      </c>
      <c r="E75" s="529"/>
      <c r="F75" s="529"/>
      <c r="G75" s="529"/>
      <c r="H75" s="289">
        <v>186907.73</v>
      </c>
      <c r="I75" s="113"/>
      <c r="N75" s="591" t="s">
        <v>405</v>
      </c>
      <c r="O75" s="568"/>
      <c r="P75" s="41">
        <f>P30</f>
        <v>0</v>
      </c>
      <c r="Q75" s="601" t="s">
        <v>410</v>
      </c>
      <c r="R75" s="602"/>
      <c r="S75" s="602"/>
      <c r="T75" s="595">
        <f>H75</f>
        <v>186907.73</v>
      </c>
      <c r="U75" s="595"/>
    </row>
    <row r="76" spans="1:22" x14ac:dyDescent="0.25">
      <c r="B76" s="69"/>
      <c r="G76" s="42" t="s">
        <v>12</v>
      </c>
      <c r="H76" s="114">
        <f>ROUND(C75/H75,6)</f>
        <v>3.9709999999999997E-3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742.13000000000011</v>
      </c>
      <c r="D78" s="525" t="s">
        <v>416</v>
      </c>
      <c r="E78" s="525"/>
      <c r="F78" s="525"/>
      <c r="G78" s="525"/>
      <c r="H78" s="289">
        <v>203080.55</v>
      </c>
      <c r="I78" s="113"/>
      <c r="N78" s="591" t="s">
        <v>405</v>
      </c>
      <c r="O78" s="568"/>
      <c r="P78" s="41">
        <f>P30</f>
        <v>0</v>
      </c>
      <c r="Q78" s="599" t="s">
        <v>411</v>
      </c>
      <c r="R78" s="600"/>
      <c r="S78" s="600"/>
      <c r="T78" s="595">
        <f>H78</f>
        <v>203080.55</v>
      </c>
      <c r="U78" s="595"/>
    </row>
    <row r="79" spans="1:22" x14ac:dyDescent="0.25">
      <c r="B79" s="69"/>
      <c r="G79" s="42" t="s">
        <v>12</v>
      </c>
      <c r="H79" s="114">
        <f>ROUND(C78/H78,6)</f>
        <v>3.6540000000000001E-3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742.13000000000011</v>
      </c>
      <c r="D81" s="529" t="s">
        <v>417</v>
      </c>
      <c r="E81" s="529"/>
      <c r="F81" s="529"/>
      <c r="G81" s="529"/>
      <c r="H81" s="289">
        <v>186682.65</v>
      </c>
      <c r="I81" s="113"/>
      <c r="N81" s="591" t="s">
        <v>418</v>
      </c>
      <c r="O81" s="568"/>
      <c r="P81" s="41">
        <f>P30</f>
        <v>0</v>
      </c>
      <c r="Q81" s="601" t="s">
        <v>419</v>
      </c>
      <c r="R81" s="602"/>
      <c r="S81" s="602"/>
      <c r="T81" s="595">
        <f>H81</f>
        <v>186682.65</v>
      </c>
      <c r="U81" s="595"/>
    </row>
    <row r="82" spans="1:21" x14ac:dyDescent="0.25">
      <c r="B82" s="69"/>
      <c r="G82" s="42" t="s">
        <v>12</v>
      </c>
      <c r="H82" s="114">
        <f>ROUND(C81/H81,6)</f>
        <v>3.9750000000000002E-3</v>
      </c>
      <c r="I82" s="115"/>
      <c r="N82" s="568"/>
      <c r="O82" s="568"/>
      <c r="P82" s="568"/>
      <c r="Q82" s="568"/>
      <c r="R82" s="568"/>
      <c r="S82" s="568"/>
      <c r="T82" s="598">
        <f>ROUND(P81/T81,6)</f>
        <v>0</v>
      </c>
      <c r="U82" s="598"/>
    </row>
    <row r="83" spans="1:21" x14ac:dyDescent="0.25">
      <c r="A83" s="242"/>
      <c r="G83" s="42"/>
      <c r="H83" s="114"/>
      <c r="I83" s="114"/>
      <c r="N83" s="448"/>
      <c r="O83" s="448"/>
      <c r="P83" s="448"/>
      <c r="Q83" s="448"/>
      <c r="R83" s="448"/>
      <c r="S83" s="448"/>
      <c r="T83" s="449"/>
      <c r="U83" s="449"/>
    </row>
    <row r="84" spans="1:21" x14ac:dyDescent="0.25">
      <c r="A84" s="242"/>
      <c r="G84" s="42"/>
      <c r="H84" s="114"/>
      <c r="I84" s="114"/>
      <c r="N84" s="448"/>
      <c r="O84" s="448"/>
      <c r="P84" s="448"/>
      <c r="Q84" s="448"/>
      <c r="R84" s="448"/>
      <c r="S84" s="448"/>
      <c r="T84" s="449"/>
      <c r="U84" s="449"/>
    </row>
    <row r="85" spans="1:21" x14ac:dyDescent="0.25">
      <c r="A85" s="444" t="s">
        <v>455</v>
      </c>
      <c r="D85" s="69"/>
      <c r="E85" s="43" t="s">
        <v>294</v>
      </c>
      <c r="F85" s="291">
        <v>44665536</v>
      </c>
      <c r="G85" s="37" t="s">
        <v>6</v>
      </c>
      <c r="H85" s="424">
        <f>H79</f>
        <v>3.6540000000000001E-3</v>
      </c>
      <c r="I85" s="101">
        <f>ROUND(F85*H85,2)</f>
        <v>163207.87</v>
      </c>
      <c r="N85" s="455" t="s">
        <v>455</v>
      </c>
      <c r="O85" s="51"/>
      <c r="P85" s="51"/>
      <c r="Q85" s="44"/>
      <c r="R85" s="421">
        <f>F85</f>
        <v>44665536</v>
      </c>
      <c r="S85" s="38" t="s">
        <v>6</v>
      </c>
      <c r="T85" s="423">
        <f>T79</f>
        <v>0</v>
      </c>
      <c r="U85" s="475">
        <f>ROUND(R85*T85,2)</f>
        <v>0</v>
      </c>
    </row>
    <row r="86" spans="1:21" x14ac:dyDescent="0.25">
      <c r="A86" s="401"/>
      <c r="D86" s="69"/>
      <c r="E86" s="43"/>
      <c r="F86" s="277"/>
      <c r="G86" s="37"/>
      <c r="H86" s="424"/>
      <c r="I86" s="101"/>
      <c r="N86" s="51"/>
      <c r="O86" s="51"/>
      <c r="P86" s="51"/>
      <c r="Q86" s="44"/>
      <c r="R86" s="422"/>
      <c r="S86" s="38"/>
      <c r="T86" s="423"/>
      <c r="U86" s="479"/>
    </row>
    <row r="87" spans="1:21" x14ac:dyDescent="0.25">
      <c r="A87" s="531" t="s">
        <v>71</v>
      </c>
      <c r="B87" s="517"/>
      <c r="C87" s="517"/>
      <c r="D87" s="69"/>
      <c r="E87" s="43"/>
      <c r="F87" s="277"/>
      <c r="G87" s="37"/>
      <c r="H87" s="424"/>
      <c r="I87" s="101"/>
      <c r="N87" s="591" t="s">
        <v>463</v>
      </c>
      <c r="O87" s="568"/>
      <c r="P87" s="568"/>
      <c r="Q87" s="51"/>
      <c r="R87" s="422"/>
      <c r="S87" s="51"/>
      <c r="T87" s="38"/>
      <c r="U87" s="480"/>
    </row>
    <row r="88" spans="1:21" x14ac:dyDescent="0.25">
      <c r="A88" s="531" t="s">
        <v>99</v>
      </c>
      <c r="B88" s="517"/>
      <c r="C88" s="517"/>
      <c r="D88" s="69"/>
      <c r="E88" s="43" t="s">
        <v>3</v>
      </c>
      <c r="F88" s="291">
        <v>0</v>
      </c>
      <c r="G88" s="37" t="s">
        <v>6</v>
      </c>
      <c r="H88" s="424">
        <f>H70</f>
        <v>3.65E-3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277"/>
      <c r="G89" s="37"/>
      <c r="H89" s="424"/>
      <c r="I89" s="101"/>
      <c r="N89" s="436"/>
      <c r="O89" s="45"/>
      <c r="P89" s="45"/>
      <c r="Q89" s="44"/>
      <c r="R89" s="421"/>
      <c r="S89" s="38"/>
      <c r="T89" s="423"/>
      <c r="U89" s="475"/>
    </row>
    <row r="90" spans="1:21" x14ac:dyDescent="0.25">
      <c r="A90" s="453" t="s">
        <v>456</v>
      </c>
      <c r="D90" s="69"/>
      <c r="E90" s="43" t="s">
        <v>420</v>
      </c>
      <c r="F90" s="291">
        <v>16167052</v>
      </c>
      <c r="G90" s="37" t="s">
        <v>6</v>
      </c>
      <c r="H90" s="424">
        <f>H82</f>
        <v>3.9750000000000002E-3</v>
      </c>
      <c r="I90" s="101">
        <f>ROUND(F90*H90,2)</f>
        <v>64264.03</v>
      </c>
      <c r="N90" s="455" t="s">
        <v>456</v>
      </c>
      <c r="O90" s="51"/>
      <c r="P90" s="51"/>
      <c r="Q90" s="44"/>
      <c r="R90" s="421">
        <f>F90</f>
        <v>16167052</v>
      </c>
      <c r="S90" s="38" t="s">
        <v>6</v>
      </c>
      <c r="T90" s="423">
        <f>T82</f>
        <v>0</v>
      </c>
      <c r="U90" s="475">
        <f>ROUND(R90*T90,2)</f>
        <v>0</v>
      </c>
    </row>
    <row r="91" spans="1:21" x14ac:dyDescent="0.25">
      <c r="A91" s="401"/>
      <c r="D91" s="69"/>
      <c r="E91" s="43"/>
      <c r="F91" s="277"/>
      <c r="G91" s="37"/>
      <c r="H91" s="424"/>
      <c r="I91" s="101"/>
      <c r="N91" s="409"/>
      <c r="O91" s="51"/>
      <c r="P91" s="51"/>
      <c r="Q91" s="44"/>
      <c r="R91" s="421"/>
      <c r="S91" s="38"/>
      <c r="T91" s="423"/>
      <c r="U91" s="475"/>
    </row>
    <row r="92" spans="1:21" x14ac:dyDescent="0.25">
      <c r="A92" s="453" t="s">
        <v>457</v>
      </c>
      <c r="D92" s="69"/>
      <c r="E92" s="43" t="s">
        <v>3</v>
      </c>
      <c r="F92" s="291">
        <v>10040099</v>
      </c>
      <c r="G92" s="37" t="s">
        <v>6</v>
      </c>
      <c r="H92" s="424">
        <f>H76</f>
        <v>3.9709999999999997E-3</v>
      </c>
      <c r="I92" s="101">
        <f t="shared" ref="I92:I96" si="14">ROUND(F92*H92,2)</f>
        <v>39869.230000000003</v>
      </c>
      <c r="N92" s="455" t="s">
        <v>457</v>
      </c>
      <c r="O92" s="51"/>
      <c r="P92" s="51"/>
      <c r="Q92" s="44"/>
      <c r="R92" s="421">
        <f t="shared" ref="R92:R96" si="15">F92</f>
        <v>10040099</v>
      </c>
      <c r="S92" s="38" t="s">
        <v>6</v>
      </c>
      <c r="T92" s="423">
        <f>T76</f>
        <v>0</v>
      </c>
      <c r="U92" s="475">
        <f>ROUND(R92*T92,2)</f>
        <v>0</v>
      </c>
    </row>
    <row r="93" spans="1:21" x14ac:dyDescent="0.25">
      <c r="A93" s="81"/>
      <c r="D93" s="69"/>
      <c r="E93" s="43"/>
      <c r="F93" s="277"/>
      <c r="G93" s="37"/>
      <c r="H93" s="424"/>
      <c r="I93" s="101"/>
      <c r="N93" s="385"/>
      <c r="O93" s="51"/>
      <c r="P93" s="51"/>
      <c r="Q93" s="44"/>
      <c r="R93" s="422"/>
      <c r="S93" s="38"/>
      <c r="T93" s="423"/>
      <c r="U93" s="479"/>
    </row>
    <row r="94" spans="1:21" x14ac:dyDescent="0.25">
      <c r="A94" s="516" t="s">
        <v>421</v>
      </c>
      <c r="B94" s="517"/>
      <c r="C94" s="517"/>
      <c r="D94" s="69"/>
      <c r="E94" s="43" t="s">
        <v>4</v>
      </c>
      <c r="F94" s="291">
        <v>238997674</v>
      </c>
      <c r="G94" s="37" t="s">
        <v>6</v>
      </c>
      <c r="H94" s="424">
        <f>H73</f>
        <v>3.2910000000000001E-3</v>
      </c>
      <c r="I94" s="101">
        <f t="shared" si="14"/>
        <v>786541.35</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277"/>
      <c r="G95" s="37"/>
      <c r="H95" s="424"/>
      <c r="I95" s="101"/>
      <c r="N95" s="45"/>
      <c r="O95" s="45"/>
      <c r="P95" s="45"/>
      <c r="Q95" s="44"/>
      <c r="R95" s="421"/>
      <c r="S95" s="38"/>
      <c r="T95" s="423"/>
      <c r="U95" s="475"/>
    </row>
    <row r="96" spans="1:21" x14ac:dyDescent="0.25">
      <c r="A96" s="516" t="s">
        <v>422</v>
      </c>
      <c r="B96" s="517"/>
      <c r="C96" s="517"/>
      <c r="D96" s="69"/>
      <c r="E96" s="43" t="s">
        <v>4</v>
      </c>
      <c r="F96" s="291">
        <v>-1600047</v>
      </c>
      <c r="G96" s="37" t="s">
        <v>6</v>
      </c>
      <c r="H96" s="424">
        <f>H73</f>
        <v>3.2910000000000001E-3</v>
      </c>
      <c r="I96" s="101">
        <f t="shared" si="14"/>
        <v>-5265.75</v>
      </c>
      <c r="N96" s="591" t="s">
        <v>422</v>
      </c>
      <c r="O96" s="591"/>
      <c r="P96" s="591"/>
      <c r="Q96" s="44"/>
      <c r="R96" s="421">
        <f t="shared" si="15"/>
        <v>-1600047</v>
      </c>
      <c r="S96" s="38" t="s">
        <v>6</v>
      </c>
      <c r="T96" s="423">
        <f>T73</f>
        <v>0</v>
      </c>
      <c r="U96" s="475">
        <f>ROUND(R96*T96,2)</f>
        <v>0</v>
      </c>
    </row>
    <row r="97" spans="1:21" x14ac:dyDescent="0.25">
      <c r="A97" s="81"/>
      <c r="B97" s="69"/>
      <c r="C97" s="69"/>
      <c r="D97" s="69"/>
      <c r="E97" s="43"/>
      <c r="F97" s="277"/>
      <c r="G97" s="37"/>
      <c r="H97" s="424"/>
      <c r="I97" s="101"/>
      <c r="N97" s="385"/>
      <c r="O97" s="385"/>
      <c r="P97" s="38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119" t="s">
        <v>424</v>
      </c>
      <c r="F100" s="120" t="s">
        <v>106</v>
      </c>
      <c r="G100" s="121"/>
      <c r="H100" s="121"/>
      <c r="I100" s="121"/>
      <c r="N100" s="592" t="s">
        <v>35</v>
      </c>
      <c r="O100" s="592"/>
      <c r="P100" s="593" t="s">
        <v>426</v>
      </c>
      <c r="Q100" s="594"/>
      <c r="R100" s="595" t="s">
        <v>31</v>
      </c>
      <c r="S100" s="595"/>
      <c r="T100" s="595"/>
      <c r="U100" s="595"/>
    </row>
    <row r="101" spans="1:21" x14ac:dyDescent="0.25">
      <c r="A101" s="26"/>
      <c r="B101" s="52" t="s">
        <v>105</v>
      </c>
      <c r="C101" s="515">
        <f>H14+H15+H20+H23+H26</f>
        <v>0</v>
      </c>
      <c r="D101" s="515"/>
      <c r="E101" s="46">
        <f>H8</f>
        <v>1.0442</v>
      </c>
      <c r="F101" s="292">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292">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748.89380000000006</v>
      </c>
      <c r="D103" s="515"/>
      <c r="E103" s="46">
        <f>H8</f>
        <v>1.0442</v>
      </c>
      <c r="F103" s="292">
        <v>906.93</v>
      </c>
      <c r="G103" s="39" t="s">
        <v>12</v>
      </c>
      <c r="H103" s="94">
        <f>ROUND(C103*E103*F103,2)</f>
        <v>709214.64</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748.89380000000006</v>
      </c>
      <c r="D104" s="528"/>
      <c r="E104" s="123"/>
      <c r="F104" s="123"/>
      <c r="G104" s="123"/>
      <c r="H104" s="124" t="s">
        <v>100</v>
      </c>
      <c r="I104" s="101">
        <f>IF(A1=75,0,H103+H102+H101)</f>
        <v>709214.64</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90" t="s">
        <v>2</v>
      </c>
      <c r="F109" s="43"/>
      <c r="G109" s="43"/>
      <c r="H109" s="43"/>
      <c r="I109" s="43"/>
      <c r="N109" s="45"/>
      <c r="O109" s="45"/>
      <c r="P109" s="45"/>
      <c r="Q109" s="125"/>
      <c r="R109" s="125"/>
      <c r="S109" s="125"/>
      <c r="T109" s="125"/>
      <c r="U109" s="103"/>
    </row>
    <row r="110" spans="1:21" x14ac:dyDescent="0.25">
      <c r="A110" s="529" t="s">
        <v>379</v>
      </c>
      <c r="B110" s="550"/>
      <c r="C110" s="143">
        <v>471</v>
      </c>
      <c r="D110" s="143">
        <v>439</v>
      </c>
      <c r="E110" s="116">
        <f>(C110+D110)/2</f>
        <v>455</v>
      </c>
      <c r="F110" s="126" t="s">
        <v>30</v>
      </c>
      <c r="G110" s="293">
        <v>565</v>
      </c>
      <c r="I110" s="101">
        <f>ROUND(G110*E110,2)</f>
        <v>257075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293">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x14ac:dyDescent="0.25">
      <c r="A113" s="127"/>
      <c r="B113" s="127"/>
      <c r="C113" s="65"/>
      <c r="D113" s="65"/>
      <c r="E113" s="65"/>
      <c r="F113" s="65"/>
      <c r="G113" s="128"/>
      <c r="H113" s="129"/>
      <c r="I113" s="101"/>
      <c r="N113" s="130"/>
      <c r="O113" s="130"/>
      <c r="P113" s="131"/>
      <c r="Q113" s="131"/>
      <c r="R113" s="131"/>
      <c r="S113" s="83"/>
      <c r="T113" s="58"/>
      <c r="U113" s="103"/>
    </row>
    <row r="114" spans="1:2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x14ac:dyDescent="0.25">
      <c r="B115" s="69"/>
      <c r="C115" s="527" t="s">
        <v>66</v>
      </c>
      <c r="D115" s="527"/>
      <c r="E115" s="527"/>
      <c r="F115" s="37"/>
      <c r="G115" s="37"/>
      <c r="H115" s="39" t="s">
        <v>108</v>
      </c>
      <c r="I115" s="37"/>
      <c r="N115" s="45"/>
      <c r="O115" s="45"/>
      <c r="P115" s="45"/>
      <c r="Q115" s="45"/>
      <c r="R115" s="45"/>
      <c r="S115" s="45"/>
      <c r="T115" s="45"/>
      <c r="U115" s="45"/>
    </row>
    <row r="116" spans="1:2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6101121.5299999993</v>
      </c>
      <c r="J125" s="251"/>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J126" s="25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5862780.4399999995</v>
      </c>
      <c r="J127" s="251"/>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J128" s="25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J129" s="251"/>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5862780.4399999995</v>
      </c>
      <c r="I132" s="94">
        <f>ROUND(IF(E30=0,0,IF(E30&gt;250,-(((250/E30)*H132)*IF(G132="H",0.02,0.05)),IF(G132="H",-0.02*H132,-0.05*H132))),2)</f>
        <v>-98749.22</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6002372.3099999996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-530592.16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3" t="s">
        <v>248</v>
      </c>
      <c r="B138" s="69"/>
      <c r="C138" s="69"/>
      <c r="D138" s="69"/>
      <c r="E138" s="69"/>
      <c r="F138" s="69"/>
      <c r="G138" s="69"/>
      <c r="H138" s="65"/>
      <c r="I138" s="101">
        <f>I134+I136</f>
        <v>5471780.1499999994</v>
      </c>
      <c r="N138" s="73"/>
      <c r="O138" s="73"/>
      <c r="P138" s="73"/>
      <c r="Q138" s="73"/>
      <c r="R138" s="73"/>
      <c r="S138" s="73"/>
      <c r="T138" s="73"/>
      <c r="U138" s="73"/>
    </row>
    <row r="139" spans="1:21" x14ac:dyDescent="0.25">
      <c r="A139" s="3"/>
      <c r="B139" s="69"/>
      <c r="C139" s="69"/>
      <c r="D139" s="69"/>
      <c r="E139" s="69"/>
      <c r="F139" s="69"/>
      <c r="G139" s="69"/>
      <c r="H139" s="65"/>
      <c r="I139" s="101"/>
      <c r="N139" s="73"/>
      <c r="O139" s="73"/>
      <c r="P139" s="73"/>
      <c r="Q139" s="73"/>
      <c r="R139" s="73"/>
      <c r="S139" s="73"/>
      <c r="T139" s="73"/>
      <c r="U139" s="73"/>
    </row>
    <row r="140" spans="1:21" x14ac:dyDescent="0.25">
      <c r="A140" s="3" t="s">
        <v>249</v>
      </c>
      <c r="B140" s="69"/>
      <c r="C140" s="69"/>
      <c r="D140" s="69"/>
      <c r="E140" s="69"/>
      <c r="F140" s="69"/>
      <c r="G140" s="69"/>
      <c r="H140" s="65"/>
      <c r="I140" s="273">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497434.56</v>
      </c>
      <c r="K142" s="420"/>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194389.8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ht="12.75" customHeight="1" x14ac:dyDescent="0.25">
      <c r="A148" s="345" t="s">
        <v>7</v>
      </c>
      <c r="B148" s="345"/>
      <c r="C148" s="345"/>
      <c r="D148" s="345"/>
      <c r="E148" s="345"/>
      <c r="F148" s="345"/>
      <c r="G148" s="345"/>
      <c r="H148" s="345"/>
      <c r="I148" s="345"/>
      <c r="J148" s="134"/>
      <c r="N148" s="73"/>
      <c r="O148" s="73"/>
      <c r="P148" s="73"/>
      <c r="Q148" s="73"/>
      <c r="R148" s="73"/>
      <c r="S148" s="73"/>
      <c r="T148" s="73"/>
      <c r="U148" s="73"/>
    </row>
    <row r="149" spans="1:21" ht="12.75" customHeight="1" x14ac:dyDescent="0.25">
      <c r="A149" s="346" t="s">
        <v>261</v>
      </c>
      <c r="B149" s="347"/>
      <c r="C149" s="347"/>
      <c r="D149" s="347"/>
      <c r="E149" s="347"/>
      <c r="F149" s="347"/>
      <c r="G149" s="347"/>
      <c r="H149" s="347"/>
      <c r="I149" s="347"/>
      <c r="J149" s="77"/>
      <c r="K149" s="324"/>
      <c r="L149" s="76"/>
      <c r="M149" s="76"/>
      <c r="N149" s="73"/>
      <c r="O149" s="73"/>
      <c r="P149" s="73"/>
      <c r="Q149" s="73"/>
      <c r="R149" s="73"/>
      <c r="S149" s="73"/>
      <c r="T149" s="73"/>
      <c r="U149" s="73"/>
    </row>
    <row r="150" spans="1:21" ht="12.75" customHeight="1" x14ac:dyDescent="0.25">
      <c r="A150" s="352" t="s">
        <v>370</v>
      </c>
      <c r="B150" s="347"/>
      <c r="C150" s="347"/>
      <c r="D150" s="347"/>
      <c r="E150" s="347"/>
      <c r="F150" s="347"/>
      <c r="G150" s="347"/>
      <c r="H150" s="347"/>
      <c r="I150" s="347"/>
      <c r="J150" s="77"/>
      <c r="K150" s="324"/>
      <c r="L150" s="76"/>
      <c r="M150" s="76"/>
      <c r="N150" s="73"/>
      <c r="O150" s="73"/>
      <c r="P150" s="73"/>
      <c r="Q150" s="73"/>
      <c r="R150" s="73"/>
      <c r="S150" s="73"/>
      <c r="T150" s="73"/>
      <c r="U150" s="73"/>
    </row>
    <row r="151" spans="1:21" ht="12.75" customHeight="1" x14ac:dyDescent="0.25">
      <c r="A151" s="349"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ht="12.75" customHeight="1" x14ac:dyDescent="0.2">
      <c r="A152" s="349" t="s">
        <v>372</v>
      </c>
      <c r="B152" s="348"/>
      <c r="C152" s="348"/>
      <c r="D152" s="348"/>
      <c r="E152" s="348"/>
      <c r="F152" s="348"/>
      <c r="G152" s="348"/>
      <c r="H152" s="348"/>
      <c r="I152" s="348"/>
      <c r="N152" s="612"/>
      <c r="O152" s="612"/>
      <c r="P152" s="612"/>
      <c r="Q152" s="612"/>
      <c r="R152" s="612"/>
      <c r="S152" s="612"/>
      <c r="T152" s="612"/>
      <c r="U152" s="612"/>
    </row>
    <row r="153" spans="1:21" s="76" customFormat="1" ht="12.75" customHeight="1" x14ac:dyDescent="0.2">
      <c r="A153" s="349" t="s">
        <v>373</v>
      </c>
      <c r="B153" s="348"/>
      <c r="C153" s="348"/>
      <c r="D153" s="348"/>
      <c r="E153" s="348"/>
      <c r="F153" s="348"/>
      <c r="G153" s="348"/>
      <c r="H153" s="348"/>
      <c r="I153" s="348"/>
      <c r="N153" s="73"/>
      <c r="O153" s="73"/>
      <c r="P153" s="73"/>
      <c r="Q153" s="73"/>
      <c r="R153" s="73"/>
      <c r="S153" s="73"/>
      <c r="T153" s="73"/>
      <c r="U153" s="73"/>
    </row>
    <row r="154" spans="1:21" s="76" customFormat="1" ht="12.75" customHeight="1" x14ac:dyDescent="0.2">
      <c r="A154" s="349" t="s">
        <v>374</v>
      </c>
      <c r="B154" s="348"/>
      <c r="C154" s="348"/>
      <c r="D154" s="348"/>
      <c r="E154" s="348"/>
      <c r="F154" s="348"/>
      <c r="G154" s="348"/>
      <c r="H154" s="348"/>
      <c r="I154" s="348"/>
      <c r="N154" s="78"/>
      <c r="O154" s="79"/>
      <c r="P154" s="79"/>
      <c r="Q154" s="79"/>
      <c r="R154" s="79"/>
      <c r="S154" s="79"/>
      <c r="T154" s="79"/>
      <c r="U154" s="79"/>
    </row>
    <row r="155" spans="1:21" s="76" customFormat="1" ht="12.75" customHeight="1" x14ac:dyDescent="0.2">
      <c r="A155" s="349" t="s">
        <v>375</v>
      </c>
      <c r="B155" s="348"/>
      <c r="C155" s="348"/>
      <c r="D155" s="348"/>
      <c r="E155" s="348"/>
      <c r="F155" s="348"/>
      <c r="G155" s="348"/>
      <c r="H155" s="348"/>
      <c r="I155" s="348"/>
      <c r="N155" s="78"/>
    </row>
    <row r="156" spans="1:21" s="76" customFormat="1" ht="12.75" customHeight="1" x14ac:dyDescent="0.2">
      <c r="A156" s="349" t="s">
        <v>377</v>
      </c>
      <c r="B156" s="348"/>
      <c r="C156" s="348"/>
      <c r="D156" s="348"/>
      <c r="E156" s="348"/>
      <c r="F156" s="348"/>
      <c r="G156" s="348"/>
      <c r="H156" s="348"/>
      <c r="I156" s="348"/>
      <c r="K156" s="348"/>
      <c r="N156" s="78"/>
    </row>
    <row r="157" spans="1:21" s="76" customFormat="1" ht="12.75" customHeight="1" x14ac:dyDescent="0.2">
      <c r="A157" s="354" t="s">
        <v>376</v>
      </c>
      <c r="B157" s="348"/>
      <c r="C157" s="348"/>
      <c r="D157" s="348"/>
      <c r="E157" s="348"/>
      <c r="F157" s="348"/>
      <c r="G157" s="348"/>
      <c r="H157" s="348"/>
      <c r="I157" s="348"/>
      <c r="N157" s="78"/>
    </row>
    <row r="158" spans="1:21" s="76" customFormat="1" ht="12.75" customHeight="1" x14ac:dyDescent="0.2">
      <c r="A158" s="349" t="s">
        <v>378</v>
      </c>
      <c r="B158" s="348"/>
      <c r="C158" s="348"/>
      <c r="D158" s="348"/>
      <c r="E158" s="348"/>
      <c r="F158" s="348"/>
      <c r="G158" s="348"/>
      <c r="H158" s="348"/>
      <c r="I158" s="348"/>
      <c r="N158" s="78"/>
    </row>
    <row r="159" spans="1:21" s="76" customFormat="1" ht="12.75" customHeight="1" x14ac:dyDescent="0.2">
      <c r="A159" s="353" t="s">
        <v>262</v>
      </c>
      <c r="B159" s="348"/>
      <c r="C159" s="348"/>
      <c r="D159" s="348"/>
      <c r="E159" s="348"/>
      <c r="F159" s="348"/>
      <c r="G159" s="348"/>
      <c r="H159" s="348"/>
      <c r="I159" s="348"/>
      <c r="N159" s="78"/>
    </row>
    <row r="160" spans="1:21" s="76" customFormat="1" ht="12.75" customHeight="1" x14ac:dyDescent="0.2">
      <c r="A160" s="349" t="s">
        <v>381</v>
      </c>
      <c r="B160" s="348"/>
      <c r="C160" s="348"/>
      <c r="D160" s="348"/>
      <c r="E160" s="348"/>
      <c r="F160" s="348"/>
      <c r="G160" s="348"/>
      <c r="H160" s="348"/>
      <c r="I160" s="348"/>
      <c r="N160" s="78"/>
    </row>
    <row r="161" spans="1:14" s="76" customFormat="1" ht="12.75" customHeight="1" x14ac:dyDescent="0.2">
      <c r="A161" s="349" t="s">
        <v>289</v>
      </c>
      <c r="B161" s="348"/>
      <c r="C161" s="348"/>
      <c r="D161" s="348"/>
      <c r="E161" s="348"/>
      <c r="F161" s="348"/>
      <c r="G161" s="348"/>
      <c r="H161" s="348"/>
      <c r="I161" s="348"/>
      <c r="N161" s="78"/>
    </row>
    <row r="162" spans="1:14" s="76" customFormat="1" ht="12.75" customHeight="1" x14ac:dyDescent="0.2">
      <c r="A162" s="349" t="s">
        <v>383</v>
      </c>
      <c r="B162" s="348"/>
      <c r="C162" s="348"/>
      <c r="D162" s="348"/>
      <c r="E162" s="348"/>
      <c r="F162" s="348"/>
      <c r="G162" s="348"/>
      <c r="H162" s="348"/>
      <c r="I162" s="348"/>
      <c r="N162" s="78"/>
    </row>
    <row r="163" spans="1:14" s="76" customFormat="1" ht="12.75" customHeight="1" x14ac:dyDescent="0.2">
      <c r="A163" s="354" t="s">
        <v>382</v>
      </c>
      <c r="B163" s="348"/>
      <c r="C163" s="348"/>
      <c r="D163" s="348"/>
      <c r="E163" s="348"/>
      <c r="F163" s="348"/>
      <c r="G163" s="348"/>
      <c r="H163" s="348"/>
      <c r="I163" s="348"/>
      <c r="N163" s="78"/>
    </row>
    <row r="164" spans="1:14" s="76" customFormat="1" ht="12.75" customHeight="1" x14ac:dyDescent="0.2">
      <c r="A164" s="349" t="s">
        <v>384</v>
      </c>
      <c r="B164" s="348"/>
      <c r="C164" s="348"/>
      <c r="D164" s="348"/>
      <c r="E164" s="348"/>
      <c r="F164" s="348"/>
      <c r="G164" s="348"/>
      <c r="H164" s="348"/>
      <c r="I164" s="348"/>
      <c r="N164" s="78"/>
    </row>
    <row r="165" spans="1:14" s="76" customFormat="1" ht="12.75" customHeight="1" x14ac:dyDescent="0.2">
      <c r="A165" s="354" t="s">
        <v>263</v>
      </c>
      <c r="B165" s="348"/>
      <c r="C165" s="348"/>
      <c r="D165" s="348"/>
      <c r="E165" s="348"/>
      <c r="F165" s="348"/>
      <c r="G165" s="348"/>
      <c r="H165" s="348"/>
      <c r="I165" s="348"/>
      <c r="N165" s="78"/>
    </row>
    <row r="166" spans="1:14" s="76" customFormat="1" ht="12.75" customHeight="1" x14ac:dyDescent="0.2">
      <c r="A166" s="349" t="s">
        <v>386</v>
      </c>
      <c r="B166" s="348"/>
      <c r="C166" s="348"/>
      <c r="D166" s="348"/>
      <c r="E166" s="348"/>
      <c r="F166" s="348"/>
      <c r="G166" s="348"/>
      <c r="H166" s="348"/>
      <c r="I166" s="348"/>
      <c r="N166" s="78"/>
    </row>
    <row r="167" spans="1:14" s="76" customFormat="1" ht="12.75" customHeight="1" x14ac:dyDescent="0.2">
      <c r="A167" s="354" t="s">
        <v>385</v>
      </c>
      <c r="B167" s="348"/>
      <c r="C167" s="348"/>
      <c r="D167" s="348"/>
      <c r="E167" s="348"/>
      <c r="F167" s="348"/>
      <c r="G167" s="348"/>
      <c r="H167" s="348"/>
      <c r="I167" s="348"/>
      <c r="N167" s="78"/>
    </row>
    <row r="168" spans="1:14" s="76" customFormat="1" ht="12.75" customHeight="1" x14ac:dyDescent="0.2">
      <c r="A168" s="349"/>
      <c r="B168" s="348"/>
      <c r="C168" s="348"/>
      <c r="D168" s="348"/>
      <c r="E168" s="348"/>
      <c r="F168" s="348"/>
      <c r="G168" s="348"/>
      <c r="H168" s="348"/>
      <c r="I168" s="348"/>
      <c r="N168" s="78"/>
    </row>
    <row r="169" spans="1:14" s="76" customFormat="1" ht="12.75" customHeight="1" x14ac:dyDescent="0.2">
      <c r="A169" s="357" t="s">
        <v>67</v>
      </c>
      <c r="B169" s="348"/>
      <c r="C169" s="348"/>
      <c r="D169" s="348"/>
      <c r="E169" s="348"/>
      <c r="F169" s="348"/>
      <c r="G169" s="348"/>
      <c r="H169" s="348"/>
      <c r="I169" s="348"/>
      <c r="N169" s="78"/>
    </row>
    <row r="170" spans="1:14" s="76" customFormat="1" ht="12.75" customHeight="1" x14ac:dyDescent="0.2">
      <c r="A170" s="350" t="s">
        <v>264</v>
      </c>
      <c r="B170" s="351"/>
      <c r="C170" s="351"/>
      <c r="D170" s="351"/>
      <c r="E170" s="351"/>
      <c r="F170" s="351"/>
      <c r="G170" s="351"/>
      <c r="H170" s="351"/>
      <c r="I170" s="351"/>
      <c r="N170" s="78"/>
    </row>
    <row r="171" spans="1:14" s="76" customFormat="1" ht="12.75" customHeight="1" x14ac:dyDescent="0.2">
      <c r="A171" s="355" t="s">
        <v>296</v>
      </c>
      <c r="B171" s="358"/>
      <c r="C171" s="358"/>
      <c r="D171" s="358"/>
      <c r="E171" s="358"/>
      <c r="F171" s="358"/>
      <c r="G171" s="358"/>
      <c r="H171" s="358"/>
      <c r="I171" s="358"/>
      <c r="N171" s="78"/>
    </row>
    <row r="172" spans="1:14" s="76" customFormat="1" ht="12.75" customHeight="1" x14ac:dyDescent="0.2">
      <c r="A172" s="355" t="s">
        <v>387</v>
      </c>
      <c r="B172" s="358"/>
      <c r="C172" s="358"/>
      <c r="D172" s="358"/>
      <c r="E172" s="358"/>
      <c r="F172" s="358"/>
      <c r="G172" s="358"/>
      <c r="H172" s="358"/>
      <c r="I172" s="358"/>
      <c r="N172" s="78"/>
    </row>
    <row r="173" spans="1:14" s="76" customFormat="1" ht="12.75" customHeight="1" x14ac:dyDescent="0.2">
      <c r="A173" s="355" t="s">
        <v>388</v>
      </c>
      <c r="B173" s="358"/>
      <c r="C173" s="358"/>
      <c r="D173" s="358"/>
      <c r="E173" s="358"/>
      <c r="F173" s="358"/>
      <c r="G173" s="358"/>
      <c r="H173" s="358"/>
      <c r="I173" s="358"/>
      <c r="N173" s="78"/>
    </row>
    <row r="174" spans="1:14" s="76" customFormat="1" ht="12.75" customHeight="1" x14ac:dyDescent="0.2">
      <c r="A174" s="350"/>
      <c r="B174" s="358"/>
      <c r="C174" s="358"/>
      <c r="D174" s="358"/>
      <c r="E174" s="358"/>
      <c r="F174" s="358"/>
      <c r="G174" s="358"/>
      <c r="H174" s="358"/>
      <c r="I174" s="358"/>
      <c r="N174" s="78"/>
    </row>
    <row r="175" spans="1:14" s="76" customFormat="1" ht="12.75" customHeight="1" x14ac:dyDescent="0.25">
      <c r="A175" s="350" t="s">
        <v>297</v>
      </c>
      <c r="B175" s="351"/>
      <c r="C175" s="351"/>
      <c r="D175" s="351"/>
      <c r="E175" s="351"/>
      <c r="F175" s="351"/>
      <c r="G175" s="351"/>
      <c r="H175" s="351"/>
      <c r="I175" s="351"/>
      <c r="J175" s="3"/>
      <c r="K175" s="3"/>
      <c r="L175" s="3"/>
      <c r="M175" s="3"/>
      <c r="N175" s="78"/>
    </row>
    <row r="176" spans="1:14" s="76" customFormat="1" ht="12.75" customHeight="1" x14ac:dyDescent="0.25">
      <c r="A176" s="355" t="s">
        <v>296</v>
      </c>
      <c r="B176" s="351"/>
      <c r="C176" s="351"/>
      <c r="D176" s="351"/>
      <c r="E176" s="351"/>
      <c r="F176" s="351"/>
      <c r="G176" s="351"/>
      <c r="H176" s="351"/>
      <c r="I176" s="351"/>
      <c r="J176" s="3"/>
      <c r="K176" s="3"/>
      <c r="L176" s="3"/>
      <c r="M176" s="3"/>
      <c r="N176" s="78"/>
    </row>
    <row r="177" spans="1:21" s="76" customFormat="1" ht="12.75" customHeight="1" x14ac:dyDescent="0.25">
      <c r="A177" s="355" t="s">
        <v>298</v>
      </c>
      <c r="B177" s="351"/>
      <c r="C177" s="351"/>
      <c r="D177" s="351"/>
      <c r="E177" s="351"/>
      <c r="F177" s="351"/>
      <c r="G177" s="351"/>
      <c r="H177" s="351"/>
      <c r="I177" s="351"/>
      <c r="J177" s="3"/>
      <c r="K177" s="3"/>
      <c r="L177" s="3"/>
      <c r="M177" s="3"/>
      <c r="N177" s="78"/>
    </row>
    <row r="178" spans="1:21" s="76" customFormat="1" ht="12.75" customHeight="1" x14ac:dyDescent="0.25">
      <c r="A178" s="351"/>
      <c r="B178" s="351"/>
      <c r="C178" s="351"/>
      <c r="D178" s="351"/>
      <c r="E178" s="351"/>
      <c r="F178" s="351"/>
      <c r="G178" s="351"/>
      <c r="H178" s="351"/>
      <c r="I178" s="351"/>
      <c r="J178" s="3"/>
      <c r="K178" s="3"/>
      <c r="L178" s="3"/>
      <c r="M178" s="3"/>
      <c r="N178" s="78"/>
    </row>
    <row r="179" spans="1:21" s="76" customFormat="1" ht="12.75" customHeight="1" x14ac:dyDescent="0.2">
      <c r="A179" s="357" t="s">
        <v>68</v>
      </c>
      <c r="B179" s="357"/>
      <c r="C179" s="357"/>
      <c r="D179" s="357"/>
      <c r="E179" s="357"/>
      <c r="F179" s="357"/>
      <c r="G179" s="357"/>
      <c r="H179" s="357"/>
      <c r="I179" s="357"/>
      <c r="N179" s="78"/>
    </row>
    <row r="180" spans="1:21" ht="12.75" customHeight="1" x14ac:dyDescent="0.25">
      <c r="A180" s="350" t="s">
        <v>265</v>
      </c>
      <c r="B180" s="351"/>
      <c r="C180" s="351"/>
      <c r="D180" s="351"/>
      <c r="E180" s="351"/>
      <c r="F180" s="351"/>
      <c r="G180" s="351"/>
      <c r="H180" s="351"/>
      <c r="I180" s="351"/>
      <c r="J180" s="76"/>
      <c r="K180" s="76"/>
      <c r="L180" s="76"/>
      <c r="M180" s="76"/>
      <c r="N180" s="78"/>
      <c r="O180" s="76"/>
      <c r="P180" s="76"/>
      <c r="Q180" s="76"/>
      <c r="R180" s="76"/>
      <c r="S180" s="76"/>
      <c r="T180" s="76"/>
      <c r="U180" s="76"/>
    </row>
    <row r="181" spans="1:21" ht="12.75" customHeight="1" x14ac:dyDescent="0.25">
      <c r="A181" s="355" t="s">
        <v>266</v>
      </c>
      <c r="B181" s="358"/>
      <c r="C181" s="358"/>
      <c r="D181" s="358"/>
      <c r="E181" s="358"/>
      <c r="F181" s="358"/>
      <c r="G181" s="358"/>
      <c r="H181" s="358"/>
      <c r="I181" s="358"/>
      <c r="J181" s="76"/>
      <c r="K181" s="76"/>
      <c r="L181" s="76"/>
      <c r="M181" s="76"/>
      <c r="N181" s="78"/>
      <c r="O181" s="76"/>
      <c r="P181" s="76"/>
      <c r="Q181" s="76"/>
      <c r="R181" s="76"/>
      <c r="S181" s="76"/>
      <c r="T181" s="76"/>
      <c r="U181" s="76"/>
    </row>
    <row r="182" spans="1:21" s="76" customFormat="1" ht="12.75" customHeight="1" x14ac:dyDescent="0.25">
      <c r="A182" s="351" t="s">
        <v>11</v>
      </c>
      <c r="B182" s="351"/>
      <c r="C182" s="351"/>
      <c r="D182" s="351"/>
      <c r="E182" s="351"/>
      <c r="F182" s="351"/>
      <c r="G182" s="351"/>
      <c r="H182" s="351"/>
      <c r="I182" s="351"/>
      <c r="N182" s="74"/>
      <c r="O182" s="3"/>
      <c r="P182" s="3"/>
      <c r="Q182" s="3"/>
      <c r="R182" s="3"/>
      <c r="S182" s="3"/>
      <c r="T182" s="3"/>
      <c r="U182" s="3"/>
    </row>
    <row r="183" spans="1:21" s="76" customFormat="1" ht="15.75" customHeight="1" x14ac:dyDescent="0.25">
      <c r="A183" s="294"/>
      <c r="B183" s="294"/>
      <c r="C183" s="294"/>
      <c r="D183" s="294"/>
      <c r="E183" s="294"/>
      <c r="F183" s="294"/>
      <c r="G183" s="294"/>
      <c r="H183" s="294"/>
      <c r="I183" s="294"/>
      <c r="J183" s="3"/>
      <c r="K183" s="3"/>
      <c r="L183" s="3"/>
      <c r="M183" s="3"/>
      <c r="N183" s="78"/>
    </row>
    <row r="184" spans="1:21" s="76" customFormat="1" ht="15.75" customHeight="1" x14ac:dyDescent="0.25">
      <c r="A184" s="74"/>
      <c r="B184" s="3"/>
      <c r="C184" s="3"/>
      <c r="D184" s="3"/>
      <c r="E184" s="3"/>
      <c r="F184" s="3"/>
      <c r="G184" s="3"/>
      <c r="H184" s="3"/>
      <c r="I184" s="3"/>
      <c r="J184" s="3"/>
      <c r="K184" s="3"/>
      <c r="L184" s="3"/>
      <c r="M184" s="3"/>
      <c r="N184" s="78"/>
    </row>
    <row r="185" spans="1:21" ht="15.75" customHeight="1" x14ac:dyDescent="0.25">
      <c r="A185" s="74"/>
      <c r="N185" s="78"/>
      <c r="O185" s="76"/>
      <c r="P185" s="76"/>
      <c r="Q185" s="76"/>
      <c r="R185" s="76"/>
      <c r="S185" s="76"/>
      <c r="T185" s="76"/>
      <c r="U185" s="76"/>
    </row>
    <row r="186" spans="1:21" ht="15.75" customHeight="1" x14ac:dyDescent="0.25">
      <c r="A186" s="74"/>
      <c r="N186" s="78"/>
      <c r="O186" s="76"/>
      <c r="P186" s="76"/>
      <c r="Q186" s="76"/>
      <c r="R186" s="76"/>
      <c r="S186" s="76"/>
      <c r="T186" s="76"/>
      <c r="U186" s="76"/>
    </row>
    <row r="187" spans="1:21" ht="15.75" customHeight="1" x14ac:dyDescent="0.25">
      <c r="A187" s="74"/>
      <c r="B187" s="135"/>
      <c r="C187" s="135"/>
      <c r="D187" s="135"/>
      <c r="E187" s="135"/>
      <c r="F187" s="135"/>
      <c r="G187" s="135"/>
      <c r="H187" s="135"/>
      <c r="I187" s="135"/>
      <c r="N187" s="74"/>
    </row>
    <row r="188" spans="1:21" ht="15.75" customHeight="1" x14ac:dyDescent="0.25">
      <c r="A188" s="74"/>
      <c r="N188" s="74"/>
    </row>
    <row r="189" spans="1:21" ht="15.75" customHeight="1" x14ac:dyDescent="0.25">
      <c r="A189" s="74"/>
      <c r="N189" s="74"/>
    </row>
    <row r="190" spans="1:21" ht="15.75" customHeight="1" x14ac:dyDescent="0.25">
      <c r="A190" s="74"/>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row>
    <row r="229" spans="1:14" x14ac:dyDescent="0.25">
      <c r="A229" s="74"/>
    </row>
    <row r="230" spans="1:14" x14ac:dyDescent="0.25">
      <c r="A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sheetData>
  <mergeCells count="257">
    <mergeCell ref="P66:Q66"/>
    <mergeCell ref="R66:T66"/>
    <mergeCell ref="T75:U75"/>
    <mergeCell ref="N76:S76"/>
    <mergeCell ref="T76:U76"/>
    <mergeCell ref="N70:S70"/>
    <mergeCell ref="T70:U70"/>
    <mergeCell ref="N69:O69"/>
    <mergeCell ref="Q69:S69"/>
    <mergeCell ref="T69:U69"/>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3:U133"/>
    <mergeCell ref="N152:U152"/>
    <mergeCell ref="D69:G69"/>
    <mergeCell ref="D72:G72"/>
    <mergeCell ref="C99:D99"/>
    <mergeCell ref="C100:D100"/>
    <mergeCell ref="F116:G116"/>
    <mergeCell ref="C115:E115"/>
    <mergeCell ref="N123:P123"/>
    <mergeCell ref="N127:T127"/>
    <mergeCell ref="N132:U132"/>
    <mergeCell ref="N120:O120"/>
    <mergeCell ref="P120:Q120"/>
    <mergeCell ref="R120:S120"/>
    <mergeCell ref="N121:O121"/>
    <mergeCell ref="N118:O118"/>
    <mergeCell ref="P118:Q118"/>
    <mergeCell ref="R118:S118"/>
    <mergeCell ref="N119:O119"/>
    <mergeCell ref="P119:Q119"/>
    <mergeCell ref="R119:S119"/>
    <mergeCell ref="N110:O110"/>
    <mergeCell ref="P110:R110"/>
    <mergeCell ref="N111:O111"/>
    <mergeCell ref="P111:R111"/>
    <mergeCell ref="N114:U114"/>
    <mergeCell ref="N117:O117"/>
    <mergeCell ref="P117:Q117"/>
    <mergeCell ref="R117:S117"/>
    <mergeCell ref="P101:Q101"/>
    <mergeCell ref="P102:Q102"/>
    <mergeCell ref="P103:Q103"/>
    <mergeCell ref="P104:T104"/>
    <mergeCell ref="N105:U105"/>
    <mergeCell ref="N107:P107"/>
    <mergeCell ref="Q107:T107"/>
    <mergeCell ref="N96:P96"/>
    <mergeCell ref="N94:P94"/>
    <mergeCell ref="N100:O100"/>
    <mergeCell ref="P100:Q100"/>
    <mergeCell ref="R100:U100"/>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27:O27"/>
    <mergeCell ref="P27:Q27"/>
    <mergeCell ref="R27:S27"/>
    <mergeCell ref="N28:O28"/>
    <mergeCell ref="P28:Q28"/>
    <mergeCell ref="R28:S28"/>
    <mergeCell ref="N25:O25"/>
    <mergeCell ref="P25:Q25"/>
    <mergeCell ref="R25:S25"/>
    <mergeCell ref="N26:O26"/>
    <mergeCell ref="P26:Q26"/>
    <mergeCell ref="R26:S26"/>
    <mergeCell ref="N24:O24"/>
    <mergeCell ref="P24:Q24"/>
    <mergeCell ref="R24:S24"/>
    <mergeCell ref="N21:O21"/>
    <mergeCell ref="P21:Q21"/>
    <mergeCell ref="R21:S21"/>
    <mergeCell ref="N22:O22"/>
    <mergeCell ref="P22:Q22"/>
    <mergeCell ref="R22:S22"/>
    <mergeCell ref="N23:O23"/>
    <mergeCell ref="P23:Q23"/>
    <mergeCell ref="R23:S23"/>
    <mergeCell ref="R20:S20"/>
    <mergeCell ref="N17:O17"/>
    <mergeCell ref="P17:Q17"/>
    <mergeCell ref="R17:S17"/>
    <mergeCell ref="N18:O18"/>
    <mergeCell ref="P18:Q18"/>
    <mergeCell ref="R18:S18"/>
    <mergeCell ref="N20:O20"/>
    <mergeCell ref="P20:Q20"/>
    <mergeCell ref="N19:O19"/>
    <mergeCell ref="P19:Q19"/>
    <mergeCell ref="R19:S19"/>
    <mergeCell ref="R8:S8"/>
    <mergeCell ref="T8:U8"/>
    <mergeCell ref="R11:S11"/>
    <mergeCell ref="N12:O12"/>
    <mergeCell ref="P12:Q12"/>
    <mergeCell ref="R12:S12"/>
    <mergeCell ref="N15:O15"/>
    <mergeCell ref="P15:Q15"/>
    <mergeCell ref="R15:S15"/>
    <mergeCell ref="T9:U9"/>
    <mergeCell ref="N16:O16"/>
    <mergeCell ref="P16:Q16"/>
    <mergeCell ref="R16:S16"/>
    <mergeCell ref="N13:O13"/>
    <mergeCell ref="P13:Q13"/>
    <mergeCell ref="R13:S13"/>
    <mergeCell ref="N14:O14"/>
    <mergeCell ref="P14:Q14"/>
    <mergeCell ref="R14:S14"/>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F29:G29"/>
    <mergeCell ref="A25:B25"/>
    <mergeCell ref="A26:B26"/>
    <mergeCell ref="A38:B38"/>
    <mergeCell ref="F120:G120"/>
    <mergeCell ref="C103:D103"/>
    <mergeCell ref="A72:B72"/>
    <mergeCell ref="C102:D102"/>
    <mergeCell ref="F34:H37"/>
    <mergeCell ref="A37:B37"/>
    <mergeCell ref="F119:G119"/>
    <mergeCell ref="A87:C87"/>
    <mergeCell ref="A118:B118"/>
    <mergeCell ref="A114:C114"/>
    <mergeCell ref="F114:I114"/>
    <mergeCell ref="A110:B110"/>
    <mergeCell ref="A111:B111"/>
    <mergeCell ref="F30:G30"/>
    <mergeCell ref="A69:B69"/>
    <mergeCell ref="A96:C96"/>
    <mergeCell ref="A75:B75"/>
    <mergeCell ref="D75:G75"/>
    <mergeCell ref="A57:B65"/>
    <mergeCell ref="F66:H66"/>
    <mergeCell ref="A125:H125"/>
    <mergeCell ref="A130:G130"/>
    <mergeCell ref="A129:G129"/>
    <mergeCell ref="F123:H123"/>
    <mergeCell ref="A40:B40"/>
    <mergeCell ref="A41:B41"/>
    <mergeCell ref="A121:B121"/>
    <mergeCell ref="A120:B120"/>
    <mergeCell ref="A119:B119"/>
    <mergeCell ref="A105:I105"/>
    <mergeCell ref="F118:G118"/>
    <mergeCell ref="A88:C88"/>
    <mergeCell ref="C104:D104"/>
    <mergeCell ref="A117:B117"/>
    <mergeCell ref="F107:I107"/>
    <mergeCell ref="F117:G117"/>
    <mergeCell ref="A123:C123"/>
    <mergeCell ref="A42:B42"/>
    <mergeCell ref="A94:C94"/>
    <mergeCell ref="C101:D101"/>
    <mergeCell ref="A78:B78"/>
    <mergeCell ref="D78:G78"/>
    <mergeCell ref="A81:B81"/>
    <mergeCell ref="D81:G81"/>
  </mergeCells>
  <phoneticPr fontId="2"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135</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150.04</v>
      </c>
      <c r="D14" s="141">
        <v>143.28</v>
      </c>
      <c r="E14" s="187">
        <f>IF(D$30=0,C14*2,C14+D14)</f>
        <v>293.32</v>
      </c>
      <c r="F14" s="558">
        <f>'1461'!F14:G14</f>
        <v>1.1220000000000001</v>
      </c>
      <c r="G14" s="558"/>
      <c r="H14" s="145">
        <f>ROUND(E14*F14,4)</f>
        <v>329.10500000000002</v>
      </c>
      <c r="I14" s="111">
        <f>ROUND(ROUND(ROUND(H14*$C$8,4)*($H$8),2)*(MAX($H$9,1)),2)</f>
        <v>1766275.62</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18</v>
      </c>
      <c r="D15" s="143">
        <v>19.149999999999999</v>
      </c>
      <c r="E15" s="116">
        <f t="shared" ref="E15:E29" si="1">IF(D$30=0,C15*2,C15+D15)</f>
        <v>37.15</v>
      </c>
      <c r="F15" s="555">
        <f>'1461'!F15:G15</f>
        <v>1.1220000000000001</v>
      </c>
      <c r="G15" s="555"/>
      <c r="H15" s="80">
        <f t="shared" ref="H15:H29" si="2">ROUND(E15*F15,4)</f>
        <v>41.682299999999998</v>
      </c>
      <c r="I15" s="101">
        <f t="shared" ref="I15:I29" si="3">ROUND(ROUND(ROUND(H15*$C$8,4)*($H$8),2)*(MAX($H$9,1)),2)</f>
        <v>223704.99</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174.36</v>
      </c>
      <c r="D16" s="143">
        <v>172.79</v>
      </c>
      <c r="E16" s="116">
        <f t="shared" si="1"/>
        <v>347.15</v>
      </c>
      <c r="F16" s="555">
        <f>'1461'!F16:G16</f>
        <v>1</v>
      </c>
      <c r="G16" s="555"/>
      <c r="H16" s="80">
        <f t="shared" si="2"/>
        <v>347.15</v>
      </c>
      <c r="I16" s="101">
        <f t="shared" si="3"/>
        <v>1863121.44</v>
      </c>
      <c r="N16" s="568" t="s">
        <v>22</v>
      </c>
      <c r="O16" s="568"/>
      <c r="P16" s="569">
        <f t="shared" si="0"/>
        <v>0</v>
      </c>
      <c r="Q16" s="569"/>
      <c r="R16" s="570">
        <v>1</v>
      </c>
      <c r="S16" s="570"/>
      <c r="T16" s="95">
        <f t="shared" si="4"/>
        <v>0</v>
      </c>
      <c r="U16" s="475">
        <f t="shared" si="5"/>
        <v>0</v>
      </c>
    </row>
    <row r="17" spans="1:21" x14ac:dyDescent="0.25">
      <c r="A17" s="517" t="s">
        <v>23</v>
      </c>
      <c r="B17" s="517"/>
      <c r="C17" s="143">
        <v>26</v>
      </c>
      <c r="D17" s="143">
        <v>26.76</v>
      </c>
      <c r="E17" s="116">
        <f t="shared" si="1"/>
        <v>52.760000000000005</v>
      </c>
      <c r="F17" s="555">
        <f>'1461'!F17:G17</f>
        <v>1</v>
      </c>
      <c r="G17" s="555"/>
      <c r="H17" s="80">
        <f t="shared" si="2"/>
        <v>52.76</v>
      </c>
      <c r="I17" s="101">
        <f t="shared" si="3"/>
        <v>283157.96000000002</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22.78</v>
      </c>
      <c r="D26" s="143">
        <v>25.83</v>
      </c>
      <c r="E26" s="116">
        <f t="shared" si="1"/>
        <v>48.61</v>
      </c>
      <c r="F26" s="555">
        <f>'1461'!F26:G26</f>
        <v>1.208</v>
      </c>
      <c r="G26" s="555"/>
      <c r="H26" s="80">
        <f t="shared" si="2"/>
        <v>58.7209</v>
      </c>
      <c r="I26" s="101">
        <f t="shared" si="3"/>
        <v>315149.55</v>
      </c>
      <c r="N26" s="568" t="s">
        <v>85</v>
      </c>
      <c r="O26" s="568"/>
      <c r="P26" s="569">
        <f t="shared" si="0"/>
        <v>0</v>
      </c>
      <c r="Q26" s="569"/>
      <c r="R26" s="570">
        <v>1</v>
      </c>
      <c r="S26" s="570"/>
      <c r="T26" s="95">
        <f t="shared" si="4"/>
        <v>0</v>
      </c>
      <c r="U26" s="475">
        <f t="shared" si="5"/>
        <v>0</v>
      </c>
    </row>
    <row r="27" spans="1:21" x14ac:dyDescent="0.25">
      <c r="A27" s="517" t="s">
        <v>86</v>
      </c>
      <c r="B27" s="517"/>
      <c r="C27" s="143">
        <v>24.09</v>
      </c>
      <c r="D27" s="143">
        <v>29.18</v>
      </c>
      <c r="E27" s="116">
        <f t="shared" si="1"/>
        <v>53.269999999999996</v>
      </c>
      <c r="F27" s="555">
        <f>'1461'!F27:G27</f>
        <v>1.208</v>
      </c>
      <c r="G27" s="555"/>
      <c r="H27" s="80">
        <f t="shared" si="2"/>
        <v>64.350200000000001</v>
      </c>
      <c r="I27" s="101">
        <f t="shared" si="3"/>
        <v>345361.48</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415.26999999999992</v>
      </c>
      <c r="D30" s="94">
        <f>SUM(D14:D29)</f>
        <v>416.99</v>
      </c>
      <c r="E30" s="94">
        <f>SUM(E14:E29)</f>
        <v>832.25999999999988</v>
      </c>
      <c r="F30" s="536"/>
      <c r="G30" s="536"/>
      <c r="H30" s="99">
        <f>SUM(H14:H29)</f>
        <v>893.76840000000004</v>
      </c>
      <c r="I30" s="94">
        <f>SUM(I14:I29)</f>
        <v>4796771.0399999991</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893.76840000000004</v>
      </c>
      <c r="F46" s="34"/>
      <c r="G46" s="106"/>
      <c r="H46" s="107" t="s">
        <v>98</v>
      </c>
      <c r="I46" s="94">
        <f>SUM(I44,I30)</f>
        <v>4796771.0399999991</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4796771.0399999991</v>
      </c>
      <c r="G51" s="109" t="s">
        <v>6</v>
      </c>
      <c r="H51" s="403">
        <v>4.5199999999999997E-2</v>
      </c>
      <c r="I51" s="101">
        <f>ROUND(F51*H51,2)</f>
        <v>216814.05</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4796771.0399999991</v>
      </c>
      <c r="G52" s="109" t="s">
        <v>6</v>
      </c>
      <c r="H52" s="403">
        <v>1.41E-2</v>
      </c>
      <c r="I52" s="101">
        <f>ROUND(F52*H52,2)</f>
        <v>67634.47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284448.52</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17</v>
      </c>
      <c r="D57" s="143">
        <v>19.149999999999999</v>
      </c>
      <c r="E57" s="116">
        <f t="shared" ref="E57:E65" si="10">IF(D$72=0,C57*2,C57+D57)</f>
        <v>36.15</v>
      </c>
      <c r="F57" s="445" t="s">
        <v>439</v>
      </c>
      <c r="G57" s="445">
        <v>251</v>
      </c>
      <c r="H57" s="459">
        <f>'1461'!H57</f>
        <v>1047</v>
      </c>
      <c r="I57" s="101">
        <f>ROUND(E57*H57,2)</f>
        <v>37849.050000000003</v>
      </c>
      <c r="N57" s="618" t="s">
        <v>447</v>
      </c>
      <c r="O57" s="618"/>
      <c r="P57" s="621"/>
      <c r="Q57" s="621"/>
      <c r="R57" s="451" t="s">
        <v>439</v>
      </c>
      <c r="S57" s="451">
        <v>251</v>
      </c>
      <c r="T57" s="462">
        <f>H57</f>
        <v>1047</v>
      </c>
      <c r="U57" s="476">
        <f>ROUND(P57*T57,2)</f>
        <v>0</v>
      </c>
      <c r="V57" s="426"/>
    </row>
    <row r="58" spans="1:22" x14ac:dyDescent="0.25">
      <c r="A58" s="533"/>
      <c r="B58" s="533"/>
      <c r="C58" s="143">
        <v>1</v>
      </c>
      <c r="D58" s="143">
        <v>0</v>
      </c>
      <c r="E58" s="116">
        <f t="shared" si="10"/>
        <v>1</v>
      </c>
      <c r="F58" s="445" t="s">
        <v>439</v>
      </c>
      <c r="G58" s="445">
        <v>252</v>
      </c>
      <c r="H58" s="459">
        <f>'1461'!H58</f>
        <v>3380</v>
      </c>
      <c r="I58" s="101">
        <f t="shared" ref="I58:I65" si="11">ROUND(E58*H58,2)</f>
        <v>3380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24.5</v>
      </c>
      <c r="D60" s="143">
        <v>25.75</v>
      </c>
      <c r="E60" s="116">
        <f t="shared" si="10"/>
        <v>50.25</v>
      </c>
      <c r="F60" s="446" t="s">
        <v>13</v>
      </c>
      <c r="G60" s="445">
        <v>251</v>
      </c>
      <c r="H60" s="459">
        <f>'1461'!H60</f>
        <v>1173</v>
      </c>
      <c r="I60" s="101">
        <f t="shared" si="11"/>
        <v>58943.25</v>
      </c>
      <c r="N60" s="619"/>
      <c r="O60" s="619"/>
      <c r="P60" s="622"/>
      <c r="Q60" s="622"/>
      <c r="R60" s="40" t="s">
        <v>13</v>
      </c>
      <c r="S60" s="451">
        <v>251</v>
      </c>
      <c r="T60" s="462">
        <f t="shared" si="12"/>
        <v>1173</v>
      </c>
      <c r="U60" s="476">
        <f t="shared" si="13"/>
        <v>0</v>
      </c>
      <c r="V60" s="426"/>
    </row>
    <row r="61" spans="1:22" x14ac:dyDescent="0.25">
      <c r="A61" s="533"/>
      <c r="B61" s="533"/>
      <c r="C61" s="143">
        <v>1.5</v>
      </c>
      <c r="D61" s="143">
        <v>1.01</v>
      </c>
      <c r="E61" s="116">
        <f t="shared" si="10"/>
        <v>2.5099999999999998</v>
      </c>
      <c r="F61" s="446" t="s">
        <v>13</v>
      </c>
      <c r="G61" s="445">
        <v>252</v>
      </c>
      <c r="H61" s="459">
        <f>'1461'!H61</f>
        <v>3506</v>
      </c>
      <c r="I61" s="101">
        <f t="shared" si="11"/>
        <v>8800.06</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44</v>
      </c>
      <c r="D66" s="97">
        <f>SUM(D57:D65)</f>
        <v>45.91</v>
      </c>
      <c r="E66" s="97">
        <f>SUM(E57:E65)</f>
        <v>89.910000000000011</v>
      </c>
      <c r="F66" s="520" t="s">
        <v>448</v>
      </c>
      <c r="G66" s="520"/>
      <c r="H66" s="520"/>
      <c r="I66" s="97">
        <f>SUM(I57:I65)</f>
        <v>108972.36</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832.25999999999988</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4.0940000000000004E-3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893.76840000000004</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3.9280000000000001E-3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832.25999999999988</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4.4530000000000004E-3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832.25999999999988</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4.0980000000000001E-3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832.25999999999988</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4.4580000000000002E-3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4.0980000000000001E-3</v>
      </c>
      <c r="I85" s="101">
        <f>ROUND(F85*H85,2)</f>
        <v>183039.37</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4.0940000000000004E-3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4.4580000000000002E-3</v>
      </c>
      <c r="I90" s="101">
        <f>ROUND(F90*H90,2)</f>
        <v>72072.72</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4.4530000000000004E-3</v>
      </c>
      <c r="I92" s="101">
        <f t="shared" ref="I92:I96" si="14">ROUND(F92*H92,2)</f>
        <v>44708.56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3.9280000000000001E-3</v>
      </c>
      <c r="I94" s="101">
        <f t="shared" si="14"/>
        <v>938782.86</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3.9280000000000001E-3</v>
      </c>
      <c r="I96" s="101">
        <f t="shared" si="14"/>
        <v>-6284.98</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429.50819999999999</v>
      </c>
      <c r="D101" s="515"/>
      <c r="E101" s="46">
        <f>H8</f>
        <v>1.0442</v>
      </c>
      <c r="F101" s="304">
        <f>'1461'!F101</f>
        <v>947.59</v>
      </c>
      <c r="G101" s="39" t="s">
        <v>12</v>
      </c>
      <c r="H101" s="101">
        <f>ROUND(C101*E101*F101,2)</f>
        <v>424986.97</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464.26019999999994</v>
      </c>
      <c r="D102" s="515"/>
      <c r="E102" s="46">
        <f>H8</f>
        <v>1.0442</v>
      </c>
      <c r="F102" s="304">
        <f>'1461'!F102</f>
        <v>904.74</v>
      </c>
      <c r="G102" s="39" t="s">
        <v>12</v>
      </c>
      <c r="H102" s="101">
        <f>ROUND(C102*E102*F102,2)</f>
        <v>438600.31</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893.76839999999993</v>
      </c>
      <c r="D104" s="528"/>
      <c r="E104" s="123"/>
      <c r="F104" s="123"/>
      <c r="G104" s="123"/>
      <c r="H104" s="124" t="s">
        <v>100</v>
      </c>
      <c r="I104" s="101">
        <f>IF(A1=75,0,H103+H102+H101)</f>
        <v>863587.28</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7</v>
      </c>
      <c r="D110" s="143">
        <v>0</v>
      </c>
      <c r="E110" s="116">
        <f>(C110+D110)/2</f>
        <v>3.5</v>
      </c>
      <c r="F110" s="126" t="s">
        <v>30</v>
      </c>
      <c r="G110" s="305">
        <f>'1461'!G110</f>
        <v>565</v>
      </c>
      <c r="I110" s="101">
        <f>ROUND(G110*E110,2)</f>
        <v>1977.5</v>
      </c>
      <c r="N110" s="617" t="s">
        <v>52</v>
      </c>
      <c r="O110" s="617"/>
      <c r="P110" s="605">
        <f>IF(H130=1,E110,0)</f>
        <v>0</v>
      </c>
      <c r="Q110" s="605"/>
      <c r="R110" s="605"/>
      <c r="S110" s="83" t="s">
        <v>30</v>
      </c>
      <c r="T110" s="58">
        <f>G110</f>
        <v>565</v>
      </c>
      <c r="U110" s="475">
        <f>ROUND(T110*P110,2)</f>
        <v>0</v>
      </c>
    </row>
    <row r="111" spans="1:21" x14ac:dyDescent="0.25">
      <c r="A111" s="529" t="s">
        <v>380</v>
      </c>
      <c r="B111" s="550"/>
      <c r="C111" s="143">
        <v>2</v>
      </c>
      <c r="D111" s="143">
        <v>0</v>
      </c>
      <c r="E111" s="116">
        <f>(C111+D111)/2</f>
        <v>1</v>
      </c>
      <c r="F111" s="126" t="s">
        <v>30</v>
      </c>
      <c r="G111" s="305">
        <f>'1461'!G111</f>
        <v>1762</v>
      </c>
      <c r="I111" s="101">
        <f>ROUND(G111*E111,2)</f>
        <v>1762</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7005388.709999999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6720940.1899999995</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6720940.1899999995</v>
      </c>
      <c r="I132" s="94">
        <f>ROUND(IF(E30=0,0,IF(E30&gt;250,-(((250/E30)*H132)*IF(G132="H",0.02,0.05)),IF(G132="H",-0.02*H132,-0.05*H132))),2)</f>
        <v>-100944.12</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6904444.5899999989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-603203.79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6301240.7999999989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572840.06999999995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235102.89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CCCC"/>
  </sheetPr>
  <dimension ref="A1:V218"/>
  <sheetViews>
    <sheetView showGridLines="0" zoomScaleNormal="100" workbookViewId="0">
      <pane ySplit="1" topLeftCell="A105"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325</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J11" s="256"/>
      <c r="K11" s="255"/>
      <c r="L11" s="255"/>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J12" s="254"/>
      <c r="K12" s="255"/>
      <c r="L12" s="255"/>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K13" s="255"/>
      <c r="L13" s="255"/>
      <c r="N13" s="571" t="s">
        <v>36</v>
      </c>
      <c r="O13" s="571"/>
      <c r="P13" s="572" t="s">
        <v>37</v>
      </c>
      <c r="Q13" s="572"/>
      <c r="R13" s="573" t="s">
        <v>38</v>
      </c>
      <c r="S13" s="573"/>
      <c r="T13" s="22" t="s">
        <v>39</v>
      </c>
      <c r="U13" s="23" t="s">
        <v>40</v>
      </c>
    </row>
    <row r="14" spans="1:21" x14ac:dyDescent="0.25">
      <c r="A14" s="538" t="s">
        <v>20</v>
      </c>
      <c r="B14" s="538"/>
      <c r="C14" s="143">
        <v>223.21</v>
      </c>
      <c r="D14" s="141">
        <v>211.42</v>
      </c>
      <c r="E14" s="187">
        <f>IF(D$30=0,C14*2,C14+D14)</f>
        <v>434.63</v>
      </c>
      <c r="F14" s="558">
        <f>'1461'!F14:G14</f>
        <v>1.1220000000000001</v>
      </c>
      <c r="G14" s="558"/>
      <c r="H14" s="145">
        <f>ROUND(E14*F14,4)</f>
        <v>487.6549</v>
      </c>
      <c r="I14" s="111">
        <f>ROUND(ROUND(ROUND(H14*$C$8,4)*($H$8),2)*(MAX($H$9,1)),2)</f>
        <v>2617198.04</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17</v>
      </c>
      <c r="D15" s="143">
        <v>17.489999999999998</v>
      </c>
      <c r="E15" s="116">
        <f t="shared" ref="E15:E29" si="1">IF(D$30=0,C15*2,C15+D15)</f>
        <v>34.489999999999995</v>
      </c>
      <c r="F15" s="555">
        <f>'1461'!F15:G15</f>
        <v>1.1220000000000001</v>
      </c>
      <c r="G15" s="555"/>
      <c r="H15" s="80">
        <f t="shared" ref="H15:H29" si="2">ROUND(E15*F15,4)</f>
        <v>38.697800000000001</v>
      </c>
      <c r="I15" s="101">
        <f t="shared" ref="I15:I29" si="3">ROUND(ROUND(ROUND(H15*$C$8,4)*($H$8),2)*(MAX($H$9,1)),2)</f>
        <v>207687.46</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231.37</v>
      </c>
      <c r="D16" s="143">
        <v>224.37</v>
      </c>
      <c r="E16" s="116">
        <f t="shared" si="1"/>
        <v>455.74</v>
      </c>
      <c r="F16" s="555">
        <f>'1461'!F16:G16</f>
        <v>1</v>
      </c>
      <c r="G16" s="555"/>
      <c r="H16" s="80">
        <f t="shared" si="2"/>
        <v>455.74</v>
      </c>
      <c r="I16" s="101">
        <f t="shared" si="3"/>
        <v>2445913.77</v>
      </c>
      <c r="N16" s="568" t="s">
        <v>22</v>
      </c>
      <c r="O16" s="568"/>
      <c r="P16" s="569">
        <f t="shared" si="0"/>
        <v>0</v>
      </c>
      <c r="Q16" s="569"/>
      <c r="R16" s="570">
        <v>1</v>
      </c>
      <c r="S16" s="570"/>
      <c r="T16" s="95">
        <f t="shared" si="4"/>
        <v>0</v>
      </c>
      <c r="U16" s="475">
        <f t="shared" si="5"/>
        <v>0</v>
      </c>
    </row>
    <row r="17" spans="1:21" x14ac:dyDescent="0.25">
      <c r="A17" s="517" t="s">
        <v>23</v>
      </c>
      <c r="B17" s="517"/>
      <c r="C17" s="143">
        <v>35.94</v>
      </c>
      <c r="D17" s="143">
        <v>35.96</v>
      </c>
      <c r="E17" s="116">
        <f t="shared" si="1"/>
        <v>71.900000000000006</v>
      </c>
      <c r="F17" s="555">
        <f>'1461'!F17:G17</f>
        <v>1</v>
      </c>
      <c r="G17" s="555"/>
      <c r="H17" s="80">
        <f t="shared" si="2"/>
        <v>71.900000000000006</v>
      </c>
      <c r="I17" s="101">
        <f t="shared" si="3"/>
        <v>385880.55</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6.09</v>
      </c>
      <c r="D26" s="143">
        <v>6.45</v>
      </c>
      <c r="E26" s="116">
        <f t="shared" si="1"/>
        <v>12.54</v>
      </c>
      <c r="F26" s="555">
        <f>'1461'!F26:G26</f>
        <v>1.208</v>
      </c>
      <c r="G26" s="555"/>
      <c r="H26" s="80">
        <f t="shared" si="2"/>
        <v>15.148300000000001</v>
      </c>
      <c r="I26" s="101">
        <f t="shared" si="3"/>
        <v>81299.5</v>
      </c>
      <c r="N26" s="568" t="s">
        <v>85</v>
      </c>
      <c r="O26" s="568"/>
      <c r="P26" s="569">
        <f t="shared" si="0"/>
        <v>0</v>
      </c>
      <c r="Q26" s="569"/>
      <c r="R26" s="570">
        <v>1</v>
      </c>
      <c r="S26" s="570"/>
      <c r="T26" s="95">
        <f t="shared" si="4"/>
        <v>0</v>
      </c>
      <c r="U26" s="475">
        <f t="shared" si="5"/>
        <v>0</v>
      </c>
    </row>
    <row r="27" spans="1:21" x14ac:dyDescent="0.25">
      <c r="A27" s="517" t="s">
        <v>86</v>
      </c>
      <c r="B27" s="517"/>
      <c r="C27" s="143">
        <v>7.47</v>
      </c>
      <c r="D27" s="143">
        <v>6.45</v>
      </c>
      <c r="E27" s="116">
        <f t="shared" si="1"/>
        <v>13.92</v>
      </c>
      <c r="F27" s="555">
        <f>'1461'!F27:G27</f>
        <v>1.208</v>
      </c>
      <c r="G27" s="555"/>
      <c r="H27" s="80">
        <f t="shared" si="2"/>
        <v>16.8154</v>
      </c>
      <c r="I27" s="101">
        <f t="shared" si="3"/>
        <v>90246.67</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521.08000000000004</v>
      </c>
      <c r="D30" s="94">
        <f>SUM(D14:D29)</f>
        <v>502.13999999999993</v>
      </c>
      <c r="E30" s="94">
        <f>SUM(E14:E29)</f>
        <v>1023.2199999999999</v>
      </c>
      <c r="F30" s="536"/>
      <c r="G30" s="536"/>
      <c r="H30" s="99">
        <f>SUM(H14:H29)</f>
        <v>1085.9564</v>
      </c>
      <c r="I30" s="94">
        <f>SUM(I14:I29)</f>
        <v>5828225.9899999993</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1085.9564</v>
      </c>
      <c r="F46" s="34"/>
      <c r="G46" s="106"/>
      <c r="H46" s="107" t="s">
        <v>98</v>
      </c>
      <c r="I46" s="94">
        <f>SUM(I44,I30)</f>
        <v>5828225.9899999993</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5828225.9899999993</v>
      </c>
      <c r="G51" s="109" t="s">
        <v>6</v>
      </c>
      <c r="H51" s="403">
        <v>4.5199999999999997E-2</v>
      </c>
      <c r="I51" s="101">
        <f>ROUND(F51*H51,2)</f>
        <v>263435.81</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5828225.9899999993</v>
      </c>
      <c r="G52" s="109" t="s">
        <v>6</v>
      </c>
      <c r="H52" s="403">
        <v>1.41E-2</v>
      </c>
      <c r="I52" s="101">
        <f>ROUND(F52*H52,2)</f>
        <v>82177.990000000005</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345613.8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12</v>
      </c>
      <c r="D57" s="143">
        <v>10.96</v>
      </c>
      <c r="E57" s="116">
        <f t="shared" ref="E57:E65" si="10">IF(D$72=0,C57*2,C57+D57)</f>
        <v>22.96</v>
      </c>
      <c r="F57" s="445" t="s">
        <v>439</v>
      </c>
      <c r="G57" s="445">
        <v>251</v>
      </c>
      <c r="H57" s="459">
        <f>'1461'!H57</f>
        <v>1047</v>
      </c>
      <c r="I57" s="101">
        <f>ROUND(E57*H57,2)</f>
        <v>24039.119999999999</v>
      </c>
      <c r="N57" s="618" t="s">
        <v>447</v>
      </c>
      <c r="O57" s="618"/>
      <c r="P57" s="621"/>
      <c r="Q57" s="621"/>
      <c r="R57" s="451" t="s">
        <v>439</v>
      </c>
      <c r="S57" s="451">
        <v>251</v>
      </c>
      <c r="T57" s="462">
        <f>H57</f>
        <v>1047</v>
      </c>
      <c r="U57" s="476">
        <f>ROUND(P57*T57,2)</f>
        <v>0</v>
      </c>
      <c r="V57" s="426"/>
    </row>
    <row r="58" spans="1:22" x14ac:dyDescent="0.25">
      <c r="A58" s="533"/>
      <c r="B58" s="533"/>
      <c r="C58" s="143">
        <v>5</v>
      </c>
      <c r="D58" s="143">
        <v>6.53</v>
      </c>
      <c r="E58" s="116">
        <f t="shared" si="10"/>
        <v>11.530000000000001</v>
      </c>
      <c r="F58" s="445" t="s">
        <v>439</v>
      </c>
      <c r="G58" s="445">
        <v>252</v>
      </c>
      <c r="H58" s="459">
        <f>'1461'!H58</f>
        <v>3380</v>
      </c>
      <c r="I58" s="101">
        <f t="shared" ref="I58:I65" si="11">ROUND(E58*H58,2)</f>
        <v>38971.4</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25.93</v>
      </c>
      <c r="D60" s="143">
        <v>25.99</v>
      </c>
      <c r="E60" s="116">
        <f t="shared" si="10"/>
        <v>51.92</v>
      </c>
      <c r="F60" s="446" t="s">
        <v>13</v>
      </c>
      <c r="G60" s="445">
        <v>251</v>
      </c>
      <c r="H60" s="459">
        <f>'1461'!H60</f>
        <v>1173</v>
      </c>
      <c r="I60" s="101">
        <f t="shared" si="11"/>
        <v>60902.16</v>
      </c>
      <c r="N60" s="619"/>
      <c r="O60" s="619"/>
      <c r="P60" s="622"/>
      <c r="Q60" s="622"/>
      <c r="R60" s="40" t="s">
        <v>13</v>
      </c>
      <c r="S60" s="451">
        <v>251</v>
      </c>
      <c r="T60" s="462">
        <f t="shared" si="12"/>
        <v>1173</v>
      </c>
      <c r="U60" s="476">
        <f t="shared" si="13"/>
        <v>0</v>
      </c>
      <c r="V60" s="426"/>
    </row>
    <row r="61" spans="1:22" x14ac:dyDescent="0.25">
      <c r="A61" s="533"/>
      <c r="B61" s="533"/>
      <c r="C61" s="143">
        <v>10.01</v>
      </c>
      <c r="D61" s="143">
        <v>9.9700000000000006</v>
      </c>
      <c r="E61" s="116">
        <f t="shared" si="10"/>
        <v>19.98</v>
      </c>
      <c r="F61" s="446" t="s">
        <v>13</v>
      </c>
      <c r="G61" s="445">
        <v>252</v>
      </c>
      <c r="H61" s="459">
        <f>'1461'!H61</f>
        <v>3506</v>
      </c>
      <c r="I61" s="101">
        <f t="shared" si="11"/>
        <v>70049.88</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52.94</v>
      </c>
      <c r="D66" s="97">
        <f>SUM(D57:D65)</f>
        <v>53.45</v>
      </c>
      <c r="E66" s="97">
        <f>SUM(E57:E65)</f>
        <v>106.39</v>
      </c>
      <c r="F66" s="520" t="s">
        <v>448</v>
      </c>
      <c r="G66" s="520"/>
      <c r="H66" s="520"/>
      <c r="I66" s="97">
        <f>SUM(I57:I65)</f>
        <v>193962.56</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1023.2199999999999</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5.0330000000000001E-3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1085.9564</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4.7730000000000003E-3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1023.2199999999999</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5.4739999999999997E-3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1023.2199999999999</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5.0379999999999999E-3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1023.2199999999999</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5.4809999999999998E-3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5.0379999999999999E-3</v>
      </c>
      <c r="I85" s="101">
        <f>ROUND(F85*H85,2)</f>
        <v>225024.97</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5.0330000000000001E-3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5.4809999999999998E-3</v>
      </c>
      <c r="I90" s="101">
        <f>ROUND(F90*H90,2)</f>
        <v>88611.61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5.4739999999999997E-3</v>
      </c>
      <c r="I92" s="101">
        <f t="shared" ref="I92:I96" si="14">ROUND(F92*H92,2)</f>
        <v>54959.5</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4.7730000000000003E-3</v>
      </c>
      <c r="I94" s="101">
        <f t="shared" si="14"/>
        <v>1140735.8999999999</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4.7730000000000003E-3</v>
      </c>
      <c r="I96" s="101">
        <f t="shared" si="14"/>
        <v>-7637.02</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541.50099999999998</v>
      </c>
      <c r="D101" s="515"/>
      <c r="E101" s="46">
        <f>H8</f>
        <v>1.0442</v>
      </c>
      <c r="F101" s="304">
        <f>'1461'!F101</f>
        <v>947.59</v>
      </c>
      <c r="G101" s="39" t="s">
        <v>12</v>
      </c>
      <c r="H101" s="101">
        <f>ROUND(C101*E101*F101,2)</f>
        <v>535800.88</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544.45539999999994</v>
      </c>
      <c r="D102" s="515"/>
      <c r="E102" s="46">
        <f>H8</f>
        <v>1.0442</v>
      </c>
      <c r="F102" s="304">
        <f>'1461'!F102</f>
        <v>904.74</v>
      </c>
      <c r="G102" s="39" t="s">
        <v>12</v>
      </c>
      <c r="H102" s="101">
        <f>ROUND(C102*E102*F102,2)</f>
        <v>514363.08</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1085.9564</v>
      </c>
      <c r="D104" s="528"/>
      <c r="E104" s="123"/>
      <c r="F104" s="123"/>
      <c r="G104" s="123"/>
      <c r="H104" s="124" t="s">
        <v>100</v>
      </c>
      <c r="I104" s="101">
        <f>IF(A1=75,0,H103+H102+H101)</f>
        <v>1050163.96</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140</v>
      </c>
      <c r="D110" s="143">
        <v>141</v>
      </c>
      <c r="E110" s="116">
        <f>(C110+D110)/2</f>
        <v>140.5</v>
      </c>
      <c r="F110" s="126" t="s">
        <v>30</v>
      </c>
      <c r="G110" s="305">
        <f>'1461'!G110</f>
        <v>565</v>
      </c>
      <c r="I110" s="101">
        <f>ROUND(G110*E110,2)</f>
        <v>79382.5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8653429.9699999988</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8307816.169999999</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8307816.169999999</v>
      </c>
      <c r="I132" s="94">
        <f>ROUND(IF(E30=0,0,IF(E30&gt;250,-(((250/E30)*H132)*IF(G132="H",0.02,0.05)),IF(G132="H",-0.02*H132,-0.05*H132))),2)</f>
        <v>-40596.43</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8612833.5399999991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v>-746335.93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7866497.6099999994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715136.15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125559.89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 ref="A4:B4"/>
    <mergeCell ref="C4:E4"/>
    <mergeCell ref="N4:O4"/>
    <mergeCell ref="P4:Q4"/>
    <mergeCell ref="B1:I1"/>
    <mergeCell ref="N7:U7"/>
    <mergeCell ref="N8:O8"/>
    <mergeCell ref="P8:Q8"/>
    <mergeCell ref="R8:S8"/>
    <mergeCell ref="T8:U8"/>
    <mergeCell ref="A7:I7"/>
    <mergeCell ref="A13:B13"/>
    <mergeCell ref="F13:G13"/>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96:C96"/>
    <mergeCell ref="N96:P96"/>
    <mergeCell ref="C99:D99"/>
    <mergeCell ref="C100:D100"/>
    <mergeCell ref="N100:O100"/>
    <mergeCell ref="P100:Q100"/>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CCCC"/>
  </sheetPr>
  <dimension ref="A1:V218"/>
  <sheetViews>
    <sheetView showGridLines="0" zoomScaleNormal="100" workbookViewId="0">
      <pane ySplit="1" topLeftCell="A106"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245</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52.6</v>
      </c>
      <c r="D14" s="141">
        <v>49.75</v>
      </c>
      <c r="E14" s="187">
        <f>IF(D$30=0,C14*2,C14+D14)</f>
        <v>102.35</v>
      </c>
      <c r="F14" s="558">
        <f>'1461'!F14:G14</f>
        <v>1.1220000000000001</v>
      </c>
      <c r="G14" s="558"/>
      <c r="H14" s="145">
        <f>ROUND(E14*F14,4)</f>
        <v>114.83669999999999</v>
      </c>
      <c r="I14" s="111">
        <f>ROUND(ROUND(ROUND(H14*$C$8,4)*($H$8),2)*(MAX($H$9,1)),2)</f>
        <v>616317.78</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5.35</v>
      </c>
      <c r="D15" s="143">
        <v>4.41</v>
      </c>
      <c r="E15" s="116">
        <f t="shared" ref="E15:E29" si="1">IF(D$30=0,C15*2,C15+D15)</f>
        <v>9.76</v>
      </c>
      <c r="F15" s="555">
        <f>'1461'!F15:G15</f>
        <v>1.1220000000000001</v>
      </c>
      <c r="G15" s="555"/>
      <c r="H15" s="80">
        <f t="shared" ref="H15:H29" si="2">ROUND(E15*F15,4)</f>
        <v>10.950699999999999</v>
      </c>
      <c r="I15" s="101">
        <f t="shared" ref="I15:I29" si="3">ROUND(ROUND(ROUND(H15*$C$8,4)*($H$8),2)*(MAX($H$9,1)),2)</f>
        <v>58771.38</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69.58</v>
      </c>
      <c r="D16" s="143">
        <v>68.790000000000006</v>
      </c>
      <c r="E16" s="116">
        <f t="shared" si="1"/>
        <v>138.37</v>
      </c>
      <c r="F16" s="555">
        <f>'1461'!F16:G16</f>
        <v>1</v>
      </c>
      <c r="G16" s="555"/>
      <c r="H16" s="80">
        <f t="shared" si="2"/>
        <v>138.37</v>
      </c>
      <c r="I16" s="101">
        <f t="shared" si="3"/>
        <v>742618.79</v>
      </c>
      <c r="N16" s="568" t="s">
        <v>22</v>
      </c>
      <c r="O16" s="568"/>
      <c r="P16" s="569">
        <f t="shared" si="0"/>
        <v>0</v>
      </c>
      <c r="Q16" s="569"/>
      <c r="R16" s="570">
        <v>1</v>
      </c>
      <c r="S16" s="570"/>
      <c r="T16" s="95">
        <f t="shared" si="4"/>
        <v>0</v>
      </c>
      <c r="U16" s="475">
        <f t="shared" si="5"/>
        <v>0</v>
      </c>
    </row>
    <row r="17" spans="1:21" x14ac:dyDescent="0.25">
      <c r="A17" s="517" t="s">
        <v>23</v>
      </c>
      <c r="B17" s="517"/>
      <c r="C17" s="143">
        <v>10.5</v>
      </c>
      <c r="D17" s="143">
        <v>11.43</v>
      </c>
      <c r="E17" s="116">
        <f t="shared" si="1"/>
        <v>21.93</v>
      </c>
      <c r="F17" s="555">
        <f>'1461'!F17:G17</f>
        <v>1</v>
      </c>
      <c r="G17" s="555"/>
      <c r="H17" s="80">
        <f t="shared" si="2"/>
        <v>21.93</v>
      </c>
      <c r="I17" s="101">
        <f t="shared" si="3"/>
        <v>117696.25</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2.16</v>
      </c>
      <c r="D26" s="143">
        <v>3.03</v>
      </c>
      <c r="E26" s="116">
        <f t="shared" si="1"/>
        <v>5.1899999999999995</v>
      </c>
      <c r="F26" s="555">
        <f>'1461'!F26:G26</f>
        <v>1.208</v>
      </c>
      <c r="G26" s="555"/>
      <c r="H26" s="80">
        <f t="shared" si="2"/>
        <v>6.2694999999999999</v>
      </c>
      <c r="I26" s="101">
        <f t="shared" si="3"/>
        <v>33647.82</v>
      </c>
      <c r="N26" s="568" t="s">
        <v>85</v>
      </c>
      <c r="O26" s="568"/>
      <c r="P26" s="569">
        <f t="shared" si="0"/>
        <v>0</v>
      </c>
      <c r="Q26" s="569"/>
      <c r="R26" s="570">
        <v>1</v>
      </c>
      <c r="S26" s="570"/>
      <c r="T26" s="95">
        <f t="shared" si="4"/>
        <v>0</v>
      </c>
      <c r="U26" s="475">
        <f t="shared" si="5"/>
        <v>0</v>
      </c>
    </row>
    <row r="27" spans="1:21" x14ac:dyDescent="0.25">
      <c r="A27" s="517" t="s">
        <v>86</v>
      </c>
      <c r="B27" s="517"/>
      <c r="C27" s="143">
        <v>2.1800000000000002</v>
      </c>
      <c r="D27" s="143">
        <v>2.1800000000000002</v>
      </c>
      <c r="E27" s="116">
        <f t="shared" si="1"/>
        <v>4.3600000000000003</v>
      </c>
      <c r="F27" s="555">
        <f>'1461'!F27:G27</f>
        <v>1.208</v>
      </c>
      <c r="G27" s="555"/>
      <c r="H27" s="80">
        <f t="shared" si="2"/>
        <v>5.2668999999999997</v>
      </c>
      <c r="I27" s="101">
        <f t="shared" si="3"/>
        <v>28266.959999999999</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142.37</v>
      </c>
      <c r="D30" s="94">
        <f>SUM(D14:D29)</f>
        <v>139.59</v>
      </c>
      <c r="E30" s="94">
        <f>SUM(E14:E29)</f>
        <v>281.96000000000004</v>
      </c>
      <c r="F30" s="536"/>
      <c r="G30" s="536"/>
      <c r="H30" s="99">
        <f>SUM(H14:H29)</f>
        <v>297.62380000000002</v>
      </c>
      <c r="I30" s="94">
        <f>SUM(I14:I29)</f>
        <v>1597318.9800000002</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42">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44">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44">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44">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44">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36">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297.62380000000002</v>
      </c>
      <c r="F46" s="34"/>
      <c r="G46" s="106"/>
      <c r="H46" s="107" t="s">
        <v>98</v>
      </c>
      <c r="I46" s="94">
        <f>SUM(I44,I30)</f>
        <v>1597318.9800000002</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1597318.9800000002</v>
      </c>
      <c r="G51" s="109" t="s">
        <v>6</v>
      </c>
      <c r="H51" s="403">
        <v>4.5199999999999997E-2</v>
      </c>
      <c r="I51" s="101">
        <f>ROUND(F51*H51,2)</f>
        <v>72198.820000000007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1597318.9800000002</v>
      </c>
      <c r="G52" s="109" t="s">
        <v>6</v>
      </c>
      <c r="H52" s="403">
        <v>1.41E-2</v>
      </c>
      <c r="I52" s="101">
        <f>ROUND(F52*H52,2)</f>
        <v>22522.2</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94721.02</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4.34</v>
      </c>
      <c r="D57" s="143">
        <v>3.38</v>
      </c>
      <c r="E57" s="116">
        <f t="shared" ref="E57:E65" si="10">IF(D$72=0,C57*2,C57+D57)</f>
        <v>7.72</v>
      </c>
      <c r="F57" s="445" t="s">
        <v>439</v>
      </c>
      <c r="G57" s="445">
        <v>251</v>
      </c>
      <c r="H57" s="459">
        <f>'1461'!H57</f>
        <v>1047</v>
      </c>
      <c r="I57" s="101">
        <f>ROUND(E57*H57,2)</f>
        <v>8082.84</v>
      </c>
      <c r="N57" s="618" t="s">
        <v>447</v>
      </c>
      <c r="O57" s="618"/>
      <c r="P57" s="621"/>
      <c r="Q57" s="621"/>
      <c r="R57" s="451" t="s">
        <v>439</v>
      </c>
      <c r="S57" s="451">
        <v>251</v>
      </c>
      <c r="T57" s="462">
        <f>H57</f>
        <v>1047</v>
      </c>
      <c r="U57" s="476">
        <f>ROUND(P57*T57,2)</f>
        <v>0</v>
      </c>
      <c r="V57" s="426"/>
    </row>
    <row r="58" spans="1:22" x14ac:dyDescent="0.25">
      <c r="A58" s="533"/>
      <c r="B58" s="533"/>
      <c r="C58" s="143">
        <v>1.01</v>
      </c>
      <c r="D58" s="143">
        <v>1.03</v>
      </c>
      <c r="E58" s="116">
        <f t="shared" si="10"/>
        <v>2.04</v>
      </c>
      <c r="F58" s="445" t="s">
        <v>439</v>
      </c>
      <c r="G58" s="445">
        <v>252</v>
      </c>
      <c r="H58" s="459">
        <f>'1461'!H58</f>
        <v>3380</v>
      </c>
      <c r="I58" s="101">
        <f t="shared" ref="I58:I65" si="11">ROUND(E58*H58,2)</f>
        <v>6895.2</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9.5</v>
      </c>
      <c r="D60" s="143">
        <v>10.43</v>
      </c>
      <c r="E60" s="116">
        <f t="shared" si="10"/>
        <v>19.93</v>
      </c>
      <c r="F60" s="446" t="s">
        <v>13</v>
      </c>
      <c r="G60" s="445">
        <v>251</v>
      </c>
      <c r="H60" s="459">
        <f>'1461'!H60</f>
        <v>1173</v>
      </c>
      <c r="I60" s="101">
        <f t="shared" si="11"/>
        <v>23377.89</v>
      </c>
      <c r="N60" s="619"/>
      <c r="O60" s="619"/>
      <c r="P60" s="622"/>
      <c r="Q60" s="622"/>
      <c r="R60" s="40" t="s">
        <v>13</v>
      </c>
      <c r="S60" s="451">
        <v>251</v>
      </c>
      <c r="T60" s="462">
        <f t="shared" si="12"/>
        <v>1173</v>
      </c>
      <c r="U60" s="476">
        <f t="shared" si="13"/>
        <v>0</v>
      </c>
      <c r="V60" s="426"/>
    </row>
    <row r="61" spans="1:22" x14ac:dyDescent="0.25">
      <c r="A61" s="533"/>
      <c r="B61" s="533"/>
      <c r="C61" s="143">
        <v>1</v>
      </c>
      <c r="D61" s="143">
        <v>1</v>
      </c>
      <c r="E61" s="116">
        <f t="shared" si="10"/>
        <v>2</v>
      </c>
      <c r="F61" s="446" t="s">
        <v>13</v>
      </c>
      <c r="G61" s="445">
        <v>252</v>
      </c>
      <c r="H61" s="459">
        <f>'1461'!H61</f>
        <v>3506</v>
      </c>
      <c r="I61" s="101">
        <f t="shared" si="11"/>
        <v>7012</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15.85</v>
      </c>
      <c r="D66" s="97">
        <f>SUM(D57:D65)</f>
        <v>15.84</v>
      </c>
      <c r="E66" s="97">
        <f>SUM(E57:E65)</f>
        <v>31.689999999999998</v>
      </c>
      <c r="F66" s="520" t="s">
        <v>448</v>
      </c>
      <c r="G66" s="520"/>
      <c r="H66" s="520"/>
      <c r="I66" s="97">
        <f>SUM(I57:I65)</f>
        <v>45367.93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281.96000000000004</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1.387E-3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297.62380000000002</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1.3079999999999999E-3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281.96000000000004</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1.5089999999999999E-3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281.96000000000004</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1.3879999999999999E-3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281.96000000000004</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1.5100000000000001E-3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1.3879999999999999E-3</v>
      </c>
      <c r="I85" s="101">
        <f>ROUND(F85*H85,2)</f>
        <v>61995.76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53"/>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1.387E-3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1.5100000000000001E-3</v>
      </c>
      <c r="I90" s="101">
        <f>ROUND(F90*H90,2)</f>
        <v>24412.25</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1.5089999999999999E-3</v>
      </c>
      <c r="I92" s="101">
        <f t="shared" ref="I92:I96" si="14">ROUND(F92*H92,2)</f>
        <v>15150.51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1.3079999999999999E-3</v>
      </c>
      <c r="I94" s="101">
        <f t="shared" si="14"/>
        <v>312608.96000000002</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1.3079999999999999E-3</v>
      </c>
      <c r="I96" s="101">
        <f t="shared" si="14"/>
        <v>-2092.86</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132.05689999999998</v>
      </c>
      <c r="D101" s="515"/>
      <c r="E101" s="46">
        <f>H8</f>
        <v>1.0442</v>
      </c>
      <c r="F101" s="304">
        <f>'1461'!F101</f>
        <v>947.59</v>
      </c>
      <c r="G101" s="39" t="s">
        <v>12</v>
      </c>
      <c r="H101" s="101">
        <f>ROUND(C101*E101*F101,2)</f>
        <v>130666.8</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165.5669</v>
      </c>
      <c r="D102" s="515"/>
      <c r="E102" s="46">
        <f>H8</f>
        <v>1.0442</v>
      </c>
      <c r="F102" s="304">
        <f>'1461'!F102</f>
        <v>904.74</v>
      </c>
      <c r="G102" s="39" t="s">
        <v>12</v>
      </c>
      <c r="H102" s="101">
        <f>ROUND(C102*E102*F102,2)</f>
        <v>156415.94</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297.62379999999996</v>
      </c>
      <c r="D104" s="528"/>
      <c r="E104" s="123"/>
      <c r="F104" s="123"/>
      <c r="G104" s="123"/>
      <c r="H104" s="124" t="s">
        <v>100</v>
      </c>
      <c r="I104" s="101">
        <f>IF(A1=75,0,H103+H102+H101)</f>
        <v>287082.74</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26</v>
      </c>
      <c r="D110" s="143">
        <v>41</v>
      </c>
      <c r="E110" s="144">
        <f>(C110+D110)/2</f>
        <v>33.5</v>
      </c>
      <c r="F110" s="126" t="s">
        <v>30</v>
      </c>
      <c r="G110" s="305">
        <f>'1461'!G110</f>
        <v>565</v>
      </c>
      <c r="I110" s="101">
        <f>ROUND(G110*E110,2)</f>
        <v>18927.5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44">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42">
        <f>IF(D30=0,C118*2,C118+D118)</f>
        <v>0</v>
      </c>
      <c r="F118" s="628">
        <v>0</v>
      </c>
      <c r="G118" s="628"/>
      <c r="H118" s="61">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44">
        <f>IF(D31=0,C119*2,C119+D119)</f>
        <v>0</v>
      </c>
      <c r="F119" s="522">
        <f>ROUND(F118/2,2)</f>
        <v>0</v>
      </c>
      <c r="G119" s="522"/>
      <c r="H119" s="61">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44">
        <f>IF(D32=0,C120*2,C120+D120)</f>
        <v>0</v>
      </c>
      <c r="F120" s="523"/>
      <c r="G120" s="523"/>
      <c r="H120" s="63">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2360771.77</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2266050.75</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2266050.75</v>
      </c>
      <c r="I132" s="94">
        <f>ROUND(IF(E30=0,0,IF(E30&gt;250,-(((250/E30)*H132)*IF(G132="H",0.02,0.05)),IF(G132="H",-0.02*H132,-0.05*H132))),2)</f>
        <v>-100459.76</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2260312.0100000002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-196900.81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2063411.2000000002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187582.84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12842.78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F13:G13"/>
    <mergeCell ref="N13:O13"/>
    <mergeCell ref="P13:Q13"/>
    <mergeCell ref="R13:S13"/>
    <mergeCell ref="A12:B12"/>
    <mergeCell ref="F12:G12"/>
    <mergeCell ref="N14:O14"/>
    <mergeCell ref="P14:Q14"/>
    <mergeCell ref="R14:S14"/>
    <mergeCell ref="A13:B13"/>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236</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53.55</v>
      </c>
      <c r="D18" s="143">
        <v>52.95</v>
      </c>
      <c r="E18" s="116">
        <f t="shared" si="1"/>
        <v>106.5</v>
      </c>
      <c r="F18" s="555">
        <f>'1461'!F18:G18</f>
        <v>0.98799999999999999</v>
      </c>
      <c r="G18" s="555"/>
      <c r="H18" s="80">
        <f t="shared" si="2"/>
        <v>105.22199999999999</v>
      </c>
      <c r="I18" s="101">
        <f t="shared" si="3"/>
        <v>564716.59</v>
      </c>
      <c r="N18" s="568" t="s">
        <v>24</v>
      </c>
      <c r="O18" s="568"/>
      <c r="P18" s="569">
        <f t="shared" si="0"/>
        <v>0</v>
      </c>
      <c r="Q18" s="569"/>
      <c r="R18" s="570">
        <v>1</v>
      </c>
      <c r="S18" s="570"/>
      <c r="T18" s="95">
        <f t="shared" si="4"/>
        <v>0</v>
      </c>
      <c r="U18" s="475">
        <f t="shared" si="5"/>
        <v>0</v>
      </c>
    </row>
    <row r="19" spans="1:21" x14ac:dyDescent="0.25">
      <c r="A19" s="517" t="s">
        <v>25</v>
      </c>
      <c r="B19" s="517"/>
      <c r="C19" s="143">
        <v>13.5</v>
      </c>
      <c r="D19" s="143">
        <v>16.149999999999999</v>
      </c>
      <c r="E19" s="116">
        <f t="shared" si="1"/>
        <v>29.65</v>
      </c>
      <c r="F19" s="555">
        <f>'1461'!F19:G19</f>
        <v>0.98799999999999999</v>
      </c>
      <c r="G19" s="555"/>
      <c r="H19" s="80">
        <f t="shared" si="2"/>
        <v>29.2942</v>
      </c>
      <c r="I19" s="101">
        <f t="shared" si="3"/>
        <v>157219.22</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2.5499999999999998</v>
      </c>
      <c r="D28" s="143">
        <v>2.2799999999999998</v>
      </c>
      <c r="E28" s="116">
        <f t="shared" si="1"/>
        <v>4.83</v>
      </c>
      <c r="F28" s="555">
        <f>'1461'!F28:G28</f>
        <v>1.208</v>
      </c>
      <c r="G28" s="555"/>
      <c r="H28" s="80">
        <f t="shared" si="2"/>
        <v>5.8346</v>
      </c>
      <c r="I28" s="101">
        <f t="shared" si="3"/>
        <v>31313.75</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69.599999999999994</v>
      </c>
      <c r="D30" s="94">
        <f>SUM(D14:D29)</f>
        <v>71.38</v>
      </c>
      <c r="E30" s="94">
        <f>SUM(E14:E29)</f>
        <v>140.98000000000002</v>
      </c>
      <c r="F30" s="536"/>
      <c r="G30" s="536"/>
      <c r="H30" s="99">
        <f>SUM(H14:H29)</f>
        <v>140.35079999999999</v>
      </c>
      <c r="I30" s="94">
        <f>SUM(I14:I29)</f>
        <v>753249.55999999994</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42">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44">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44">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44">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44">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36">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140.35079999999999</v>
      </c>
      <c r="F46" s="34"/>
      <c r="G46" s="106"/>
      <c r="H46" s="107" t="s">
        <v>98</v>
      </c>
      <c r="I46" s="94">
        <f>SUM(I44,I30)</f>
        <v>753249.55999999994</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753249.55999999994</v>
      </c>
      <c r="G51" s="109" t="s">
        <v>6</v>
      </c>
      <c r="H51" s="403">
        <v>4.5199999999999997E-2</v>
      </c>
      <c r="I51" s="101">
        <f>ROUND(F51*H51,2)</f>
        <v>34046.879999999997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753249.55999999994</v>
      </c>
      <c r="G52" s="109" t="s">
        <v>6</v>
      </c>
      <c r="H52" s="403">
        <v>1.41E-2</v>
      </c>
      <c r="I52" s="101">
        <f>ROUND(F52*H52,2)</f>
        <v>10620.82</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44667.7</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12.5</v>
      </c>
      <c r="D63" s="143">
        <v>15.15</v>
      </c>
      <c r="E63" s="116">
        <f t="shared" si="10"/>
        <v>27.65</v>
      </c>
      <c r="F63" s="446" t="s">
        <v>14</v>
      </c>
      <c r="G63" s="445">
        <v>251</v>
      </c>
      <c r="H63" s="459">
        <f>'1461'!H63</f>
        <v>835</v>
      </c>
      <c r="I63" s="101">
        <f t="shared" si="11"/>
        <v>23087.75</v>
      </c>
      <c r="N63" s="619"/>
      <c r="O63" s="619"/>
      <c r="P63" s="622"/>
      <c r="Q63" s="622"/>
      <c r="R63" s="40" t="s">
        <v>14</v>
      </c>
      <c r="S63" s="451">
        <v>251</v>
      </c>
      <c r="T63" s="462">
        <f t="shared" si="12"/>
        <v>835</v>
      </c>
      <c r="U63" s="476">
        <f t="shared" si="13"/>
        <v>0</v>
      </c>
      <c r="V63" s="426"/>
    </row>
    <row r="64" spans="1:22" x14ac:dyDescent="0.25">
      <c r="A64" s="533"/>
      <c r="B64" s="533"/>
      <c r="C64" s="143">
        <v>1</v>
      </c>
      <c r="D64" s="143">
        <v>1</v>
      </c>
      <c r="E64" s="116">
        <f t="shared" si="10"/>
        <v>2</v>
      </c>
      <c r="F64" s="446" t="s">
        <v>14</v>
      </c>
      <c r="G64" s="445">
        <v>252</v>
      </c>
      <c r="H64" s="459">
        <f>'1461'!H64</f>
        <v>3168</v>
      </c>
      <c r="I64" s="101">
        <f t="shared" si="11"/>
        <v>6336</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13.5</v>
      </c>
      <c r="D66" s="97">
        <f>SUM(D57:D65)</f>
        <v>16.149999999999999</v>
      </c>
      <c r="E66" s="97">
        <f>SUM(E57:E65)</f>
        <v>29.65</v>
      </c>
      <c r="F66" s="520" t="s">
        <v>448</v>
      </c>
      <c r="G66" s="520"/>
      <c r="H66" s="520"/>
      <c r="I66" s="97">
        <f>SUM(I57:I65)</f>
        <v>29423.75</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140.98000000000002</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6.9300000000000004E-4</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140.35079999999999</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6.1700000000000004E-4</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140.98000000000002</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7.54E-4</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140.98000000000002</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6.9399999999999996E-4</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140.98000000000002</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7.5500000000000003E-4</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6.9399999999999996E-4</v>
      </c>
      <c r="I85" s="101">
        <f>ROUND(F85*H85,2)</f>
        <v>30997.88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53"/>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6.9300000000000004E-4</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7.5500000000000003E-4</v>
      </c>
      <c r="I90" s="101">
        <f>ROUND(F90*H90,2)</f>
        <v>12206.12</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7.54E-4</v>
      </c>
      <c r="I92" s="101">
        <f t="shared" ref="I92:I96" si="14">ROUND(F92*H92,2)</f>
        <v>7570.23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6.1700000000000004E-4</v>
      </c>
      <c r="I94" s="101">
        <f t="shared" si="14"/>
        <v>147461.56</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6.1700000000000004E-4</v>
      </c>
      <c r="I96" s="101">
        <f t="shared" si="14"/>
        <v>-987.23</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140.35079999999999</v>
      </c>
      <c r="D103" s="515"/>
      <c r="E103" s="46">
        <f>H8</f>
        <v>1.0442</v>
      </c>
      <c r="F103" s="304">
        <f>'1461'!F103</f>
        <v>906.93</v>
      </c>
      <c r="G103" s="39" t="s">
        <v>12</v>
      </c>
      <c r="H103" s="94">
        <f>ROUND(C103*E103*F103,2)</f>
        <v>132914.5</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140.35079999999999</v>
      </c>
      <c r="D104" s="528"/>
      <c r="E104" s="123"/>
      <c r="F104" s="123"/>
      <c r="G104" s="123"/>
      <c r="H104" s="124" t="s">
        <v>100</v>
      </c>
      <c r="I104" s="101">
        <f>IF(A1=75,0,H103+H102+H101)</f>
        <v>132914.5</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33</v>
      </c>
      <c r="D110" s="143">
        <v>35</v>
      </c>
      <c r="E110" s="144">
        <f>(C110+D110)/2</f>
        <v>34</v>
      </c>
      <c r="F110" s="126" t="s">
        <v>30</v>
      </c>
      <c r="G110" s="305">
        <f>'1461'!G110</f>
        <v>565</v>
      </c>
      <c r="I110" s="101">
        <f>ROUND(G110*E110,2)</f>
        <v>19210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44">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42">
        <f>IF(D30=0,C118*2,C118+D118)</f>
        <v>0</v>
      </c>
      <c r="F118" s="628">
        <v>0</v>
      </c>
      <c r="G118" s="628"/>
      <c r="H118" s="61">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44">
        <f>IF(D31=0,C119*2,C119+D119)</f>
        <v>0</v>
      </c>
      <c r="F119" s="522">
        <f>ROUND(F118/2,2)</f>
        <v>0</v>
      </c>
      <c r="G119" s="522"/>
      <c r="H119" s="61">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44">
        <f>IF(D32=0,C120*2,C120+D120)</f>
        <v>0</v>
      </c>
      <c r="F120" s="523"/>
      <c r="G120" s="523"/>
      <c r="H120" s="63">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1132046.3699999999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1087378.67</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1087378.67</v>
      </c>
      <c r="I132" s="94">
        <f>ROUND(IF(E30=0,0,IF(E30&gt;250,-(((250/E30)*H132)*IF(G132="H",0.02,0.05)),IF(G132="H",-0.02*H132,-0.05*H132))),2)</f>
        <v>-54368.93</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1077677.44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-95446.46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982230.98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89293.73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CCC"/>
  </sheetPr>
  <dimension ref="A1:V218"/>
  <sheetViews>
    <sheetView showGridLines="0" zoomScaleNormal="100" workbookViewId="0">
      <pane ySplit="1" topLeftCell="A11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274</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138.01</v>
      </c>
      <c r="D16" s="143">
        <v>134.74</v>
      </c>
      <c r="E16" s="116">
        <f t="shared" si="1"/>
        <v>272.75</v>
      </c>
      <c r="F16" s="555">
        <f>'1461'!F16:G16</f>
        <v>1</v>
      </c>
      <c r="G16" s="555"/>
      <c r="H16" s="80">
        <f t="shared" si="2"/>
        <v>272.75</v>
      </c>
      <c r="I16" s="101">
        <f t="shared" si="3"/>
        <v>1463823.63</v>
      </c>
      <c r="N16" s="568" t="s">
        <v>22</v>
      </c>
      <c r="O16" s="568"/>
      <c r="P16" s="569">
        <f t="shared" si="0"/>
        <v>0</v>
      </c>
      <c r="Q16" s="569"/>
      <c r="R16" s="570">
        <v>1</v>
      </c>
      <c r="S16" s="570"/>
      <c r="T16" s="95">
        <f t="shared" si="4"/>
        <v>0</v>
      </c>
      <c r="U16" s="475">
        <f t="shared" si="5"/>
        <v>0</v>
      </c>
    </row>
    <row r="17" spans="1:21" x14ac:dyDescent="0.25">
      <c r="A17" s="517" t="s">
        <v>23</v>
      </c>
      <c r="B17" s="517"/>
      <c r="C17" s="143">
        <v>23.94</v>
      </c>
      <c r="D17" s="143">
        <v>23.41</v>
      </c>
      <c r="E17" s="116">
        <f t="shared" si="1"/>
        <v>47.35</v>
      </c>
      <c r="F17" s="555">
        <f>'1461'!F17:G17</f>
        <v>1</v>
      </c>
      <c r="G17" s="555"/>
      <c r="H17" s="80">
        <f t="shared" si="2"/>
        <v>47.35</v>
      </c>
      <c r="I17" s="101">
        <f t="shared" si="3"/>
        <v>254123</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11.93</v>
      </c>
      <c r="D27" s="143">
        <v>12.28</v>
      </c>
      <c r="E27" s="116">
        <f t="shared" si="1"/>
        <v>24.21</v>
      </c>
      <c r="F27" s="555">
        <f>'1461'!F27:G27</f>
        <v>1.208</v>
      </c>
      <c r="G27" s="555"/>
      <c r="H27" s="80">
        <f t="shared" si="2"/>
        <v>29.245699999999999</v>
      </c>
      <c r="I27" s="101">
        <f t="shared" si="3"/>
        <v>156958.92000000001</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173.88</v>
      </c>
      <c r="D30" s="94">
        <f>SUM(D14:D29)</f>
        <v>170.43</v>
      </c>
      <c r="E30" s="94">
        <f>SUM(E14:E29)</f>
        <v>344.31</v>
      </c>
      <c r="F30" s="536"/>
      <c r="G30" s="536"/>
      <c r="H30" s="99">
        <f>SUM(H14:H29)</f>
        <v>349.34570000000002</v>
      </c>
      <c r="I30" s="94">
        <f>SUM(I14:I29)</f>
        <v>1874905.5499999998</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42">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44">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44">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44">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44">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36">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349.34570000000002</v>
      </c>
      <c r="F46" s="34"/>
      <c r="G46" s="106"/>
      <c r="H46" s="107" t="s">
        <v>98</v>
      </c>
      <c r="I46" s="94">
        <f>SUM(I44,I30)</f>
        <v>1874905.5499999998</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1874905.5499999998</v>
      </c>
      <c r="G51" s="109" t="s">
        <v>6</v>
      </c>
      <c r="H51" s="403">
        <v>4.5199999999999997E-2</v>
      </c>
      <c r="I51" s="101">
        <f>ROUND(F51*H51,2)</f>
        <v>84745.73</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1874905.5499999998</v>
      </c>
      <c r="G52" s="109" t="s">
        <v>6</v>
      </c>
      <c r="H52" s="403">
        <v>1.41E-2</v>
      </c>
      <c r="I52" s="101">
        <f>ROUND(F52*H52,2)</f>
        <v>26436.17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111181.9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22.94</v>
      </c>
      <c r="D60" s="143">
        <v>22.51</v>
      </c>
      <c r="E60" s="116">
        <f t="shared" si="10"/>
        <v>45.45</v>
      </c>
      <c r="F60" s="446" t="s">
        <v>13</v>
      </c>
      <c r="G60" s="445">
        <v>251</v>
      </c>
      <c r="H60" s="459">
        <f>'1461'!H60</f>
        <v>1173</v>
      </c>
      <c r="I60" s="101">
        <f t="shared" si="11"/>
        <v>53312.85</v>
      </c>
      <c r="N60" s="619"/>
      <c r="O60" s="619"/>
      <c r="P60" s="622"/>
      <c r="Q60" s="622"/>
      <c r="R60" s="40" t="s">
        <v>13</v>
      </c>
      <c r="S60" s="451">
        <v>251</v>
      </c>
      <c r="T60" s="462">
        <f t="shared" si="12"/>
        <v>1173</v>
      </c>
      <c r="U60" s="476">
        <f t="shared" si="13"/>
        <v>0</v>
      </c>
      <c r="V60" s="426"/>
    </row>
    <row r="61" spans="1:22" x14ac:dyDescent="0.25">
      <c r="A61" s="533"/>
      <c r="B61" s="533"/>
      <c r="C61" s="143">
        <v>1</v>
      </c>
      <c r="D61" s="143">
        <v>0.9</v>
      </c>
      <c r="E61" s="116">
        <f t="shared" si="10"/>
        <v>1.9</v>
      </c>
      <c r="F61" s="446" t="s">
        <v>13</v>
      </c>
      <c r="G61" s="445">
        <v>252</v>
      </c>
      <c r="H61" s="459">
        <f>'1461'!H61</f>
        <v>3506</v>
      </c>
      <c r="I61" s="101">
        <f t="shared" si="11"/>
        <v>6661.4</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23.94</v>
      </c>
      <c r="D66" s="97">
        <f>SUM(D57:D65)</f>
        <v>23.41</v>
      </c>
      <c r="E66" s="97">
        <f>SUM(E57:E65)</f>
        <v>47.35</v>
      </c>
      <c r="F66" s="520" t="s">
        <v>448</v>
      </c>
      <c r="G66" s="520"/>
      <c r="H66" s="520"/>
      <c r="I66" s="97">
        <f>SUM(I57:I65)</f>
        <v>59974.25</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344.31</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1.694E-3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349.34570000000002</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1.5349999999999999E-3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344.31</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1.8420000000000001E-3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344.31</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1.6949999999999999E-3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344.31</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1.8439999999999999E-3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1.6949999999999999E-3</v>
      </c>
      <c r="I85" s="101">
        <f>ROUND(F85*H85,2)</f>
        <v>75708.08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53"/>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1.694E-3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1.8439999999999999E-3</v>
      </c>
      <c r="I90" s="101">
        <f>ROUND(F90*H90,2)</f>
        <v>29812.04</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1.8420000000000001E-3</v>
      </c>
      <c r="I92" s="101">
        <f t="shared" ref="I92:I96" si="14">ROUND(F92*H92,2)</f>
        <v>18493.86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1.5349999999999999E-3</v>
      </c>
      <c r="I94" s="101">
        <f t="shared" si="14"/>
        <v>366861.43</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1.5349999999999999E-3</v>
      </c>
      <c r="I96" s="101">
        <f t="shared" si="14"/>
        <v>-2456.0700000000002</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349.34570000000002</v>
      </c>
      <c r="D102" s="515"/>
      <c r="E102" s="46">
        <f>H8</f>
        <v>1.0442</v>
      </c>
      <c r="F102" s="304">
        <f>'1461'!F102</f>
        <v>904.74</v>
      </c>
      <c r="G102" s="39" t="s">
        <v>12</v>
      </c>
      <c r="H102" s="101">
        <f>ROUND(C102*E102*F102,2)</f>
        <v>330037.19</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349.34570000000002</v>
      </c>
      <c r="D104" s="528"/>
      <c r="E104" s="123"/>
      <c r="F104" s="123"/>
      <c r="G104" s="123"/>
      <c r="H104" s="124" t="s">
        <v>100</v>
      </c>
      <c r="I104" s="101">
        <f>IF(A1=75,0,H103+H102+H101)</f>
        <v>330037.19</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v>
      </c>
      <c r="D110" s="143">
        <v>1</v>
      </c>
      <c r="E110" s="144">
        <f>(C110+D110)/2</f>
        <v>1</v>
      </c>
      <c r="F110" s="126" t="s">
        <v>30</v>
      </c>
      <c r="G110" s="305">
        <f>'1461'!G110</f>
        <v>565</v>
      </c>
      <c r="I110" s="101">
        <f>ROUND(G110*E110,2)</f>
        <v>565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44">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42">
        <f>IF(D30=0,C118*2,C118+D118)</f>
        <v>0</v>
      </c>
      <c r="F118" s="628">
        <v>0</v>
      </c>
      <c r="G118" s="628"/>
      <c r="H118" s="61">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44">
        <f>IF(D31=0,C119*2,C119+D119)</f>
        <v>0</v>
      </c>
      <c r="F119" s="522">
        <f>ROUND(F118/2,2)</f>
        <v>0</v>
      </c>
      <c r="G119" s="522"/>
      <c r="H119" s="61">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44">
        <f>IF(D32=0,C120*2,C120+D120)</f>
        <v>0</v>
      </c>
      <c r="F120" s="523"/>
      <c r="G120" s="523"/>
      <c r="H120" s="63">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2753901.33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2642719.4300000002</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2642719.4300000002</v>
      </c>
      <c r="I132" s="94">
        <f>ROUND(IF(E30=0,0,IF(E30&gt;250,-(((250/E30)*H132)*IF(G132="H",0.02,0.05)),IF(G132="H",-0.02*H132,-0.05*H132))),2)</f>
        <v>-95942.59</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2657958.7400000002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-232657.82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2425300.9200000004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220481.9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36193.379999999997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N152:U152"/>
    <mergeCell ref="A123:C123"/>
    <mergeCell ref="F123:H123"/>
    <mergeCell ref="N127:T127"/>
    <mergeCell ref="A125:H125"/>
    <mergeCell ref="A129:G129"/>
    <mergeCell ref="N132:U132"/>
    <mergeCell ref="A130:G130"/>
    <mergeCell ref="N133:U13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CCCC"/>
  </sheetPr>
  <dimension ref="A1:V218"/>
  <sheetViews>
    <sheetView showGridLines="0" zoomScaleNormal="100" workbookViewId="0">
      <pane ySplit="1" topLeftCell="A123"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273</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100.87</v>
      </c>
      <c r="D14" s="141">
        <v>102.03</v>
      </c>
      <c r="E14" s="187">
        <f>IF(D$30=0,C14*2,C14+D14)</f>
        <v>202.9</v>
      </c>
      <c r="F14" s="558">
        <f>'1461'!F14:G14</f>
        <v>1.1220000000000001</v>
      </c>
      <c r="G14" s="558"/>
      <c r="H14" s="145">
        <f>ROUND(E14*F14,4)</f>
        <v>227.65379999999999</v>
      </c>
      <c r="I14" s="111">
        <f>ROUND(ROUND(ROUND(H14*$C$8,4)*($H$8),2)*(MAX($H$9,1)),2)</f>
        <v>1221796.56</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7</v>
      </c>
      <c r="D15" s="143">
        <v>7.08</v>
      </c>
      <c r="E15" s="116">
        <f t="shared" ref="E15:E29" si="1">IF(D$30=0,C15*2,C15+D15)</f>
        <v>14.08</v>
      </c>
      <c r="F15" s="555">
        <f>'1461'!F15:G15</f>
        <v>1.1220000000000001</v>
      </c>
      <c r="G15" s="555"/>
      <c r="H15" s="80">
        <f t="shared" ref="H15:H29" si="2">ROUND(E15*F15,4)</f>
        <v>15.797800000000001</v>
      </c>
      <c r="I15" s="101">
        <f t="shared" ref="I15:I29" si="3">ROUND(ROUND(ROUND(H15*$C$8,4)*($H$8),2)*(MAX($H$9,1)),2)</f>
        <v>84785.31</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50.64</v>
      </c>
      <c r="D16" s="143">
        <v>48.63</v>
      </c>
      <c r="E16" s="116">
        <f t="shared" si="1"/>
        <v>99.27000000000001</v>
      </c>
      <c r="F16" s="555">
        <f>'1461'!F16:G16</f>
        <v>1</v>
      </c>
      <c r="G16" s="555"/>
      <c r="H16" s="80">
        <f t="shared" si="2"/>
        <v>99.27</v>
      </c>
      <c r="I16" s="101">
        <f t="shared" si="3"/>
        <v>532772.77</v>
      </c>
      <c r="N16" s="568" t="s">
        <v>22</v>
      </c>
      <c r="O16" s="568"/>
      <c r="P16" s="569">
        <f t="shared" si="0"/>
        <v>0</v>
      </c>
      <c r="Q16" s="569"/>
      <c r="R16" s="570">
        <v>1</v>
      </c>
      <c r="S16" s="570"/>
      <c r="T16" s="95">
        <f t="shared" si="4"/>
        <v>0</v>
      </c>
      <c r="U16" s="475">
        <f t="shared" si="5"/>
        <v>0</v>
      </c>
    </row>
    <row r="17" spans="1:21" x14ac:dyDescent="0.25">
      <c r="A17" s="517" t="s">
        <v>23</v>
      </c>
      <c r="B17" s="517"/>
      <c r="C17" s="143">
        <v>10</v>
      </c>
      <c r="D17" s="143">
        <v>9.09</v>
      </c>
      <c r="E17" s="116">
        <f t="shared" si="1"/>
        <v>19.09</v>
      </c>
      <c r="F17" s="555">
        <f>'1461'!F17:G17</f>
        <v>1</v>
      </c>
      <c r="G17" s="555"/>
      <c r="H17" s="80">
        <f t="shared" si="2"/>
        <v>19.09</v>
      </c>
      <c r="I17" s="101">
        <f t="shared" si="3"/>
        <v>102454.24</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32.869999999999997</v>
      </c>
      <c r="D26" s="143">
        <v>31.69</v>
      </c>
      <c r="E26" s="116">
        <f t="shared" si="1"/>
        <v>64.56</v>
      </c>
      <c r="F26" s="555">
        <f>'1461'!F26:G26</f>
        <v>1.208</v>
      </c>
      <c r="G26" s="555"/>
      <c r="H26" s="80">
        <f t="shared" si="2"/>
        <v>77.988500000000002</v>
      </c>
      <c r="I26" s="101">
        <f t="shared" si="3"/>
        <v>418556.95</v>
      </c>
      <c r="N26" s="568" t="s">
        <v>85</v>
      </c>
      <c r="O26" s="568"/>
      <c r="P26" s="569">
        <f t="shared" si="0"/>
        <v>0</v>
      </c>
      <c r="Q26" s="569"/>
      <c r="R26" s="570">
        <v>1</v>
      </c>
      <c r="S26" s="570"/>
      <c r="T26" s="95">
        <f t="shared" si="4"/>
        <v>0</v>
      </c>
      <c r="U26" s="475">
        <f t="shared" si="5"/>
        <v>0</v>
      </c>
    </row>
    <row r="27" spans="1:21" x14ac:dyDescent="0.25">
      <c r="A27" s="517" t="s">
        <v>86</v>
      </c>
      <c r="B27" s="517"/>
      <c r="C27" s="143">
        <v>6.86</v>
      </c>
      <c r="D27" s="143">
        <v>6.41</v>
      </c>
      <c r="E27" s="116">
        <f t="shared" si="1"/>
        <v>13.27</v>
      </c>
      <c r="F27" s="555">
        <f>'1461'!F27:G27</f>
        <v>1.208</v>
      </c>
      <c r="G27" s="555"/>
      <c r="H27" s="80">
        <f t="shared" si="2"/>
        <v>16.030200000000001</v>
      </c>
      <c r="I27" s="101">
        <f t="shared" si="3"/>
        <v>86032.58</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208.24</v>
      </c>
      <c r="D30" s="94">
        <f>SUM(D14:D29)</f>
        <v>204.93</v>
      </c>
      <c r="E30" s="94">
        <f>SUM(E14:E29)</f>
        <v>413.16999999999996</v>
      </c>
      <c r="F30" s="536"/>
      <c r="G30" s="536"/>
      <c r="H30" s="99">
        <f>SUM(H14:H29)</f>
        <v>455.83029999999991</v>
      </c>
      <c r="I30" s="94">
        <f>SUM(I14:I29)</f>
        <v>2446398.41</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42">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44">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44">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44">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44">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36">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455.83029999999991</v>
      </c>
      <c r="F46" s="34"/>
      <c r="G46" s="106"/>
      <c r="H46" s="107" t="s">
        <v>98</v>
      </c>
      <c r="I46" s="94">
        <f>SUM(I44,I30)</f>
        <v>2446398.41</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2446398.41</v>
      </c>
      <c r="G51" s="109" t="s">
        <v>6</v>
      </c>
      <c r="H51" s="403">
        <v>4.5199999999999997E-2</v>
      </c>
      <c r="I51" s="101">
        <f>ROUND(F51*H51,2)</f>
        <v>110577.21</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2446398.41</v>
      </c>
      <c r="G52" s="109" t="s">
        <v>6</v>
      </c>
      <c r="H52" s="403">
        <v>1.41E-2</v>
      </c>
      <c r="I52" s="101">
        <f>ROUND(F52*H52,2)</f>
        <v>34494.22</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145071.43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6.5</v>
      </c>
      <c r="D57" s="143">
        <v>6.57</v>
      </c>
      <c r="E57" s="116">
        <f t="shared" ref="E57:E65" si="10">IF(D$72=0,C57*2,C57+D57)</f>
        <v>13.07</v>
      </c>
      <c r="F57" s="445" t="s">
        <v>439</v>
      </c>
      <c r="G57" s="445">
        <v>251</v>
      </c>
      <c r="H57" s="459">
        <f>'1461'!H57</f>
        <v>1047</v>
      </c>
      <c r="I57" s="101">
        <f>ROUND(E57*H57,2)</f>
        <v>13684.29</v>
      </c>
      <c r="N57" s="618" t="s">
        <v>447</v>
      </c>
      <c r="O57" s="618"/>
      <c r="P57" s="621"/>
      <c r="Q57" s="621"/>
      <c r="R57" s="451" t="s">
        <v>439</v>
      </c>
      <c r="S57" s="451">
        <v>251</v>
      </c>
      <c r="T57" s="462">
        <f>H57</f>
        <v>1047</v>
      </c>
      <c r="U57" s="476">
        <f>ROUND(P57*T57,2)</f>
        <v>0</v>
      </c>
      <c r="V57" s="426"/>
    </row>
    <row r="58" spans="1:22" x14ac:dyDescent="0.25">
      <c r="A58" s="533"/>
      <c r="B58" s="533"/>
      <c r="C58" s="143">
        <v>0.5</v>
      </c>
      <c r="D58" s="143">
        <v>0.51</v>
      </c>
      <c r="E58" s="116">
        <f t="shared" si="10"/>
        <v>1.01</v>
      </c>
      <c r="F58" s="445" t="s">
        <v>439</v>
      </c>
      <c r="G58" s="445">
        <v>252</v>
      </c>
      <c r="H58" s="459">
        <f>'1461'!H58</f>
        <v>3380</v>
      </c>
      <c r="I58" s="101">
        <f t="shared" ref="I58:I65" si="11">ROUND(E58*H58,2)</f>
        <v>3413.8</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9.5</v>
      </c>
      <c r="D60" s="143">
        <v>9.09</v>
      </c>
      <c r="E60" s="116">
        <f t="shared" si="10"/>
        <v>18.59</v>
      </c>
      <c r="F60" s="446" t="s">
        <v>13</v>
      </c>
      <c r="G60" s="445">
        <v>251</v>
      </c>
      <c r="H60" s="459">
        <f>'1461'!H60</f>
        <v>1173</v>
      </c>
      <c r="I60" s="101">
        <f t="shared" si="11"/>
        <v>21806.07</v>
      </c>
      <c r="N60" s="619"/>
      <c r="O60" s="619"/>
      <c r="P60" s="622"/>
      <c r="Q60" s="622"/>
      <c r="R60" s="40" t="s">
        <v>13</v>
      </c>
      <c r="S60" s="451">
        <v>251</v>
      </c>
      <c r="T60" s="462">
        <f t="shared" si="12"/>
        <v>1173</v>
      </c>
      <c r="U60" s="476">
        <f t="shared" si="13"/>
        <v>0</v>
      </c>
      <c r="V60" s="426"/>
    </row>
    <row r="61" spans="1:22" x14ac:dyDescent="0.25">
      <c r="A61" s="533"/>
      <c r="B61" s="533"/>
      <c r="C61" s="143">
        <v>0.5</v>
      </c>
      <c r="D61" s="143">
        <v>0</v>
      </c>
      <c r="E61" s="116">
        <f t="shared" si="10"/>
        <v>0.5</v>
      </c>
      <c r="F61" s="446" t="s">
        <v>13</v>
      </c>
      <c r="G61" s="445">
        <v>252</v>
      </c>
      <c r="H61" s="459">
        <f>'1461'!H61</f>
        <v>3506</v>
      </c>
      <c r="I61" s="101">
        <f t="shared" si="11"/>
        <v>1753</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17</v>
      </c>
      <c r="D66" s="97">
        <f>SUM(D57:D65)</f>
        <v>16.170000000000002</v>
      </c>
      <c r="E66" s="97">
        <f>SUM(E57:E65)</f>
        <v>33.17</v>
      </c>
      <c r="F66" s="520" t="s">
        <v>448</v>
      </c>
      <c r="G66" s="520"/>
      <c r="H66" s="520"/>
      <c r="I66" s="97">
        <f>SUM(I57:I65)</f>
        <v>40657.160000000003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413.16999999999996</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2.032E-3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455.83029999999991</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2.003E-3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413.16999999999996</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2.2109999999999999E-3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413.16999999999996</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2.0349999999999999E-3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413.16999999999996</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2.2130000000000001E-3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2.0349999999999999E-3</v>
      </c>
      <c r="I85" s="101">
        <f>ROUND(F85*H85,2)</f>
        <v>90894.37</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53"/>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2.032E-3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2.2130000000000001E-3</v>
      </c>
      <c r="I90" s="101">
        <f>ROUND(F90*H90,2)</f>
        <v>35777.69</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2.2109999999999999E-3</v>
      </c>
      <c r="I92" s="101">
        <f t="shared" ref="I92:I96" si="14">ROUND(F92*H92,2)</f>
        <v>22198.66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2.003E-3</v>
      </c>
      <c r="I94" s="101">
        <f t="shared" si="14"/>
        <v>478712.34</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2.003E-3</v>
      </c>
      <c r="I96" s="101">
        <f t="shared" si="14"/>
        <v>-3204.89</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321.44009999999997</v>
      </c>
      <c r="D101" s="515"/>
      <c r="E101" s="46">
        <f>H8</f>
        <v>1.0442</v>
      </c>
      <c r="F101" s="304">
        <f>'1461'!F101</f>
        <v>947.59</v>
      </c>
      <c r="G101" s="39" t="s">
        <v>12</v>
      </c>
      <c r="H101" s="101">
        <f>ROUND(C101*E101*F101,2)</f>
        <v>318056.45</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134.39019999999999</v>
      </c>
      <c r="D102" s="515"/>
      <c r="E102" s="46">
        <f>H8</f>
        <v>1.0442</v>
      </c>
      <c r="F102" s="304">
        <f>'1461'!F102</f>
        <v>904.74</v>
      </c>
      <c r="G102" s="39" t="s">
        <v>12</v>
      </c>
      <c r="H102" s="101">
        <f>ROUND(C102*E102*F102,2)</f>
        <v>126962.39</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455.83029999999997</v>
      </c>
      <c r="D104" s="528"/>
      <c r="E104" s="123"/>
      <c r="F104" s="123"/>
      <c r="G104" s="123"/>
      <c r="H104" s="124" t="s">
        <v>100</v>
      </c>
      <c r="I104" s="101">
        <f>IF(A1=75,0,H103+H102+H101)</f>
        <v>445018.84</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0</v>
      </c>
      <c r="E110" s="144">
        <f>(C110+D110)/2</f>
        <v>0</v>
      </c>
      <c r="F110" s="126" t="s">
        <v>30</v>
      </c>
      <c r="G110" s="305">
        <f>'1461'!G110</f>
        <v>565</v>
      </c>
      <c r="I110" s="101">
        <f>ROUND(G110*E110,2)</f>
        <v>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44">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42">
        <f>IF(D30=0,C118*2,C118+D118)</f>
        <v>0</v>
      </c>
      <c r="F118" s="628">
        <v>0</v>
      </c>
      <c r="G118" s="628"/>
      <c r="H118" s="61">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44">
        <f>IF(D31=0,C119*2,C119+D119)</f>
        <v>0</v>
      </c>
      <c r="F119" s="522">
        <f>ROUND(F118/2,2)</f>
        <v>0</v>
      </c>
      <c r="G119" s="522"/>
      <c r="H119" s="61">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44">
        <f>IF(D32=0,C120*2,C120+D120)</f>
        <v>0</v>
      </c>
      <c r="F120" s="523"/>
      <c r="G120" s="523"/>
      <c r="H120" s="63">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3556452.58</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3411381.15</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3411381.15</v>
      </c>
      <c r="I132" s="94">
        <f>ROUND(IF(E30=0,0,IF(E30&gt;250,-(((250/E30)*H132)*IF(G132="H",0.02,0.05)),IF(G132="H",-0.02*H132,-0.05*H132))),2)</f>
        <v>-103207.55</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3453245.0300000003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-300951.7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3152293.33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286572.12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67361.509999999995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N152:U152"/>
    <mergeCell ref="A123:C123"/>
    <mergeCell ref="F123:H123"/>
    <mergeCell ref="N127:T127"/>
    <mergeCell ref="A125:H125"/>
    <mergeCell ref="A129:G129"/>
    <mergeCell ref="N132:U132"/>
    <mergeCell ref="A130:G130"/>
    <mergeCell ref="N133:U13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CCCC"/>
  </sheetPr>
  <dimension ref="A1:V218"/>
  <sheetViews>
    <sheetView showGridLines="0" zoomScaleNormal="100" workbookViewId="0">
      <pane ySplit="1" topLeftCell="A102" activePane="bottomLeft" state="frozen"/>
      <selection activeCell="F97" sqref="F97"/>
      <selection pane="bottomLeft" activeCell="H128" sqref="H128"/>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267</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7"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1</v>
      </c>
      <c r="D17" s="143">
        <v>1.5</v>
      </c>
      <c r="E17" s="116">
        <f t="shared" si="1"/>
        <v>2.5</v>
      </c>
      <c r="F17" s="555">
        <f>'1461'!F17:G17</f>
        <v>1</v>
      </c>
      <c r="G17" s="555"/>
      <c r="H17" s="80">
        <f t="shared" si="2"/>
        <v>2.5</v>
      </c>
      <c r="I17" s="101">
        <f t="shared" si="3"/>
        <v>13417.27</v>
      </c>
      <c r="J17" s="65" t="str">
        <f>IF(ROUND(E17,2)=ROUND(SUM(E60:E62),2)," ","CHECK 4-8 LINES BELOW")</f>
        <v xml:space="preserve"> </v>
      </c>
      <c r="N17" s="568" t="s">
        <v>23</v>
      </c>
      <c r="O17" s="568"/>
      <c r="P17" s="569">
        <f t="shared" si="0"/>
        <v>2.5</v>
      </c>
      <c r="Q17" s="569"/>
      <c r="R17" s="570">
        <v>1</v>
      </c>
      <c r="S17" s="570"/>
      <c r="T17" s="95">
        <f t="shared" si="4"/>
        <v>2.5</v>
      </c>
      <c r="U17" s="475">
        <f t="shared" si="5"/>
        <v>13417.27</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12.5</v>
      </c>
      <c r="D20" s="143">
        <v>10.5</v>
      </c>
      <c r="E20" s="116">
        <f t="shared" si="1"/>
        <v>23</v>
      </c>
      <c r="F20" s="555">
        <f>'1461'!F20:G20</f>
        <v>3.706</v>
      </c>
      <c r="G20" s="555"/>
      <c r="H20" s="80">
        <f t="shared" si="2"/>
        <v>85.238</v>
      </c>
      <c r="I20" s="101">
        <f t="shared" si="3"/>
        <v>457464.34</v>
      </c>
      <c r="N20" s="568" t="s">
        <v>79</v>
      </c>
      <c r="O20" s="568"/>
      <c r="P20" s="569">
        <f t="shared" si="0"/>
        <v>23</v>
      </c>
      <c r="Q20" s="569"/>
      <c r="R20" s="570">
        <v>1</v>
      </c>
      <c r="S20" s="570"/>
      <c r="T20" s="95">
        <f t="shared" si="4"/>
        <v>23</v>
      </c>
      <c r="U20" s="475">
        <f t="shared" si="5"/>
        <v>123438.84</v>
      </c>
    </row>
    <row r="21" spans="1:21" x14ac:dyDescent="0.25">
      <c r="A21" s="517" t="s">
        <v>80</v>
      </c>
      <c r="B21" s="517"/>
      <c r="C21" s="143">
        <v>11.5</v>
      </c>
      <c r="D21" s="143">
        <v>11.5</v>
      </c>
      <c r="E21" s="116">
        <f t="shared" si="1"/>
        <v>23</v>
      </c>
      <c r="F21" s="555">
        <f>'1461'!F21:G21</f>
        <v>3.706</v>
      </c>
      <c r="G21" s="555"/>
      <c r="H21" s="80">
        <f t="shared" si="2"/>
        <v>85.238</v>
      </c>
      <c r="I21" s="101">
        <f t="shared" si="3"/>
        <v>457464.34</v>
      </c>
      <c r="N21" s="568" t="s">
        <v>80</v>
      </c>
      <c r="O21" s="568"/>
      <c r="P21" s="569">
        <f t="shared" si="0"/>
        <v>23</v>
      </c>
      <c r="Q21" s="569"/>
      <c r="R21" s="570">
        <v>1</v>
      </c>
      <c r="S21" s="570"/>
      <c r="T21" s="95">
        <f t="shared" si="4"/>
        <v>23</v>
      </c>
      <c r="U21" s="475">
        <f t="shared" si="5"/>
        <v>123438.84</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11</v>
      </c>
      <c r="D23" s="143">
        <v>14</v>
      </c>
      <c r="E23" s="116">
        <f t="shared" si="1"/>
        <v>25</v>
      </c>
      <c r="F23" s="555">
        <f>'1461'!F23:G23</f>
        <v>5.7069999999999999</v>
      </c>
      <c r="G23" s="555"/>
      <c r="H23" s="80">
        <f t="shared" si="2"/>
        <v>142.67500000000001</v>
      </c>
      <c r="I23" s="101">
        <f t="shared" si="3"/>
        <v>765723.32</v>
      </c>
      <c r="N23" s="568" t="s">
        <v>82</v>
      </c>
      <c r="O23" s="568"/>
      <c r="P23" s="569">
        <f t="shared" si="0"/>
        <v>25</v>
      </c>
      <c r="Q23" s="569"/>
      <c r="R23" s="570">
        <v>1</v>
      </c>
      <c r="S23" s="570"/>
      <c r="T23" s="95">
        <f t="shared" si="4"/>
        <v>25</v>
      </c>
      <c r="U23" s="475">
        <f t="shared" si="5"/>
        <v>134172.65</v>
      </c>
    </row>
    <row r="24" spans="1:21" x14ac:dyDescent="0.25">
      <c r="A24" s="517" t="s">
        <v>83</v>
      </c>
      <c r="B24" s="517"/>
      <c r="C24" s="143">
        <v>7</v>
      </c>
      <c r="D24" s="143">
        <v>6.5</v>
      </c>
      <c r="E24" s="116">
        <f t="shared" si="1"/>
        <v>13.5</v>
      </c>
      <c r="F24" s="555">
        <f>'1461'!F24:G24</f>
        <v>5.7069999999999999</v>
      </c>
      <c r="G24" s="555"/>
      <c r="H24" s="80">
        <f t="shared" si="2"/>
        <v>77.044499999999999</v>
      </c>
      <c r="I24" s="101">
        <f t="shared" si="3"/>
        <v>413490.59</v>
      </c>
      <c r="N24" s="568" t="s">
        <v>83</v>
      </c>
      <c r="O24" s="568"/>
      <c r="P24" s="569">
        <f t="shared" si="0"/>
        <v>13.5</v>
      </c>
      <c r="Q24" s="569"/>
      <c r="R24" s="570">
        <v>1</v>
      </c>
      <c r="S24" s="570"/>
      <c r="T24" s="95">
        <f t="shared" si="4"/>
        <v>13.5</v>
      </c>
      <c r="U24" s="475">
        <f t="shared" si="5"/>
        <v>72453.23</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43</v>
      </c>
      <c r="D30" s="94">
        <f>SUM(D14:D29)</f>
        <v>44</v>
      </c>
      <c r="E30" s="94">
        <f>SUM(E14:E29)</f>
        <v>87</v>
      </c>
      <c r="F30" s="536"/>
      <c r="G30" s="536"/>
      <c r="H30" s="99">
        <f>SUM(H14:H29)</f>
        <v>392.69550000000004</v>
      </c>
      <c r="I30" s="94">
        <f>SUM(I14:I29)</f>
        <v>2107559.86</v>
      </c>
      <c r="N30" s="587" t="s">
        <v>5</v>
      </c>
      <c r="O30" s="587"/>
      <c r="P30" s="588">
        <f>SUM(P14:P29)</f>
        <v>87</v>
      </c>
      <c r="Q30" s="588"/>
      <c r="R30" s="589"/>
      <c r="S30" s="589"/>
      <c r="T30" s="100">
        <f>SUM(T14:T29)</f>
        <v>87</v>
      </c>
      <c r="U30" s="475">
        <f>SUM(U14:U29)</f>
        <v>466920.82999999996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42">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44">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44">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44">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44">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36">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392.69550000000004</v>
      </c>
      <c r="F46" s="34"/>
      <c r="G46" s="106"/>
      <c r="H46" s="107" t="s">
        <v>98</v>
      </c>
      <c r="I46" s="94">
        <f>SUM(I44,I30)</f>
        <v>2107559.86</v>
      </c>
      <c r="N46" s="613" t="s">
        <v>44</v>
      </c>
      <c r="O46" s="613"/>
      <c r="P46" s="613"/>
      <c r="Q46" s="613"/>
      <c r="R46" s="35">
        <f>R44+T30</f>
        <v>87</v>
      </c>
      <c r="S46" s="589" t="s">
        <v>42</v>
      </c>
      <c r="T46" s="589"/>
      <c r="U46" s="108">
        <f>SUM(U44,U30)</f>
        <v>466920.82999999996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2107559.86</v>
      </c>
      <c r="G51" s="109" t="s">
        <v>6</v>
      </c>
      <c r="H51" s="403">
        <v>4.5199999999999997E-2</v>
      </c>
      <c r="I51" s="101">
        <f>ROUND(F51*H51,2)</f>
        <v>95261.71</v>
      </c>
      <c r="N51" s="408"/>
      <c r="O51" s="409" t="s">
        <v>398</v>
      </c>
      <c r="P51" s="28"/>
      <c r="Q51" s="44" t="s">
        <v>399</v>
      </c>
      <c r="R51" s="410">
        <f>U30</f>
        <v>466920.82999999996</v>
      </c>
      <c r="S51" s="411" t="s">
        <v>6</v>
      </c>
      <c r="T51" s="412">
        <v>4.5199999999999997E-2</v>
      </c>
      <c r="U51" s="404">
        <f>ROUND(R51*T51,2)</f>
        <v>21104.82</v>
      </c>
    </row>
    <row r="52" spans="1:22" x14ac:dyDescent="0.25">
      <c r="A52" s="26"/>
      <c r="B52" s="81" t="s">
        <v>400</v>
      </c>
      <c r="C52" s="26"/>
      <c r="D52" s="26"/>
      <c r="E52" s="43" t="s">
        <v>399</v>
      </c>
      <c r="F52" s="402">
        <f>I46</f>
        <v>2107559.86</v>
      </c>
      <c r="G52" s="109" t="s">
        <v>6</v>
      </c>
      <c r="H52" s="403">
        <v>1.41E-2</v>
      </c>
      <c r="I52" s="101">
        <f>ROUND(F52*H52,2)</f>
        <v>29716.59</v>
      </c>
      <c r="N52" s="28"/>
      <c r="O52" s="385" t="s">
        <v>400</v>
      </c>
      <c r="P52" s="28"/>
      <c r="Q52" s="44" t="s">
        <v>399</v>
      </c>
      <c r="R52" s="410">
        <f>U30</f>
        <v>466920.82999999996</v>
      </c>
      <c r="S52" s="411" t="s">
        <v>6</v>
      </c>
      <c r="T52" s="412">
        <v>1.41E-2</v>
      </c>
      <c r="U52" s="413">
        <f>ROUND(R52*T52,2)</f>
        <v>6583.58</v>
      </c>
    </row>
    <row r="53" spans="1:22" x14ac:dyDescent="0.25">
      <c r="A53" s="26"/>
      <c r="B53" s="81" t="s">
        <v>401</v>
      </c>
      <c r="C53" s="26"/>
      <c r="D53" s="26"/>
      <c r="E53" s="43"/>
      <c r="F53" s="402"/>
      <c r="G53" s="109"/>
      <c r="H53" s="403"/>
      <c r="I53" s="97">
        <f>SUM(I51:I52)</f>
        <v>124978.3</v>
      </c>
      <c r="N53" s="28"/>
      <c r="O53" s="385" t="s">
        <v>401</v>
      </c>
      <c r="P53" s="28"/>
      <c r="Q53" s="44"/>
      <c r="R53" s="410"/>
      <c r="S53" s="411"/>
      <c r="T53" s="412"/>
      <c r="U53" s="404">
        <f>SUM(U51:U52)</f>
        <v>27688.400000000001</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1</v>
      </c>
      <c r="D62" s="143">
        <v>1.5</v>
      </c>
      <c r="E62" s="116">
        <f t="shared" si="10"/>
        <v>2.5</v>
      </c>
      <c r="F62" s="446" t="s">
        <v>13</v>
      </c>
      <c r="G62" s="445">
        <v>253</v>
      </c>
      <c r="H62" s="459">
        <f>'1461'!H62</f>
        <v>7023</v>
      </c>
      <c r="I62" s="101">
        <f t="shared" si="11"/>
        <v>17557.5</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v>
      </c>
      <c r="D66" s="97">
        <f>SUM(D57:D65)</f>
        <v>1.5</v>
      </c>
      <c r="E66" s="97">
        <f>SUM(E57:E65)</f>
        <v>2.5</v>
      </c>
      <c r="F66" s="520" t="s">
        <v>448</v>
      </c>
      <c r="G66" s="520"/>
      <c r="H66" s="520"/>
      <c r="I66" s="97">
        <f>SUM(I57:I65)</f>
        <v>17557.5</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87</v>
      </c>
      <c r="D69" s="530" t="s">
        <v>413</v>
      </c>
      <c r="E69" s="530"/>
      <c r="F69" s="530"/>
      <c r="G69" s="530"/>
      <c r="H69" s="301">
        <f>'1461'!H69</f>
        <v>203305.63</v>
      </c>
      <c r="I69" s="113"/>
      <c r="N69" s="591" t="s">
        <v>406</v>
      </c>
      <c r="O69" s="568"/>
      <c r="P69" s="41">
        <f>P30</f>
        <v>87</v>
      </c>
      <c r="Q69" s="596" t="s">
        <v>408</v>
      </c>
      <c r="R69" s="597"/>
      <c r="S69" s="597"/>
      <c r="T69" s="595">
        <f>H69</f>
        <v>203305.63</v>
      </c>
      <c r="U69" s="595"/>
    </row>
    <row r="70" spans="1:22" x14ac:dyDescent="0.25">
      <c r="B70" s="69"/>
      <c r="G70" s="42" t="s">
        <v>12</v>
      </c>
      <c r="H70" s="114">
        <f>ROUND(C69/H69,6)</f>
        <v>4.28E-4</v>
      </c>
      <c r="I70" s="115"/>
      <c r="N70" s="568"/>
      <c r="O70" s="568"/>
      <c r="P70" s="568"/>
      <c r="Q70" s="568"/>
      <c r="R70" s="568"/>
      <c r="S70" s="568"/>
      <c r="T70" s="598">
        <f>ROUND(P69/T69,6)</f>
        <v>4.28E-4</v>
      </c>
      <c r="U70" s="598"/>
    </row>
    <row r="71" spans="1:22" x14ac:dyDescent="0.25">
      <c r="A71" s="444" t="s">
        <v>451</v>
      </c>
      <c r="N71" s="455" t="s">
        <v>459</v>
      </c>
      <c r="O71" s="51"/>
      <c r="P71" s="51"/>
      <c r="Q71" s="51"/>
      <c r="R71" s="51"/>
      <c r="S71" s="51"/>
      <c r="T71" s="51"/>
      <c r="U71" s="51"/>
    </row>
    <row r="72" spans="1:22" x14ac:dyDescent="0.25">
      <c r="A72" s="516" t="s">
        <v>403</v>
      </c>
      <c r="B72" s="517"/>
      <c r="C72" s="112">
        <f>H30</f>
        <v>392.69550000000004</v>
      </c>
      <c r="D72" s="530" t="s">
        <v>414</v>
      </c>
      <c r="E72" s="530"/>
      <c r="F72" s="530"/>
      <c r="G72" s="530"/>
      <c r="H72" s="302">
        <f>'1461'!H72</f>
        <v>227540.36</v>
      </c>
      <c r="I72" s="116"/>
      <c r="N72" s="591" t="s">
        <v>407</v>
      </c>
      <c r="O72" s="568"/>
      <c r="P72" s="41">
        <f>T30</f>
        <v>87</v>
      </c>
      <c r="Q72" s="596" t="s">
        <v>409</v>
      </c>
      <c r="R72" s="597"/>
      <c r="S72" s="597"/>
      <c r="T72" s="595">
        <f>H72</f>
        <v>227540.36</v>
      </c>
      <c r="U72" s="595"/>
    </row>
    <row r="73" spans="1:22" x14ac:dyDescent="0.25">
      <c r="G73" s="42" t="s">
        <v>12</v>
      </c>
      <c r="H73" s="114">
        <f>ROUND(C72/H72,6)</f>
        <v>1.7260000000000001E-3</v>
      </c>
      <c r="I73" s="114"/>
      <c r="N73" s="568"/>
      <c r="O73" s="568"/>
      <c r="P73" s="568"/>
      <c r="Q73" s="568"/>
      <c r="R73" s="568"/>
      <c r="S73" s="568"/>
      <c r="T73" s="598">
        <f>ROUND(P72/T72,6)</f>
        <v>3.8200000000000002E-4</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87</v>
      </c>
      <c r="D75" s="529" t="s">
        <v>415</v>
      </c>
      <c r="E75" s="529"/>
      <c r="F75" s="529"/>
      <c r="G75" s="529"/>
      <c r="H75" s="301">
        <f>'1461'!H75</f>
        <v>186907.73</v>
      </c>
      <c r="I75" s="113"/>
      <c r="N75" s="591" t="s">
        <v>405</v>
      </c>
      <c r="O75" s="568"/>
      <c r="P75" s="41">
        <f>P30</f>
        <v>87</v>
      </c>
      <c r="Q75" s="601" t="s">
        <v>410</v>
      </c>
      <c r="R75" s="602"/>
      <c r="S75" s="602"/>
      <c r="T75" s="595">
        <f>H75</f>
        <v>186907.73</v>
      </c>
      <c r="U75" s="595"/>
    </row>
    <row r="76" spans="1:22" x14ac:dyDescent="0.25">
      <c r="B76" s="69"/>
      <c r="G76" s="42" t="s">
        <v>12</v>
      </c>
      <c r="H76" s="114">
        <f>ROUND(C75/H75,6)</f>
        <v>4.6500000000000003E-4</v>
      </c>
      <c r="I76" s="115"/>
      <c r="N76" s="568"/>
      <c r="O76" s="568"/>
      <c r="P76" s="568"/>
      <c r="Q76" s="568"/>
      <c r="R76" s="568"/>
      <c r="S76" s="568"/>
      <c r="T76" s="598">
        <f>ROUND(P75/T75,6)</f>
        <v>4.6500000000000003E-4</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87</v>
      </c>
      <c r="D78" s="525" t="s">
        <v>416</v>
      </c>
      <c r="E78" s="525"/>
      <c r="F78" s="525"/>
      <c r="G78" s="525"/>
      <c r="H78" s="301">
        <f>'1461'!H78</f>
        <v>203080.55</v>
      </c>
      <c r="I78" s="113"/>
      <c r="N78" s="591" t="s">
        <v>405</v>
      </c>
      <c r="O78" s="568"/>
      <c r="P78" s="41">
        <f>P30</f>
        <v>87</v>
      </c>
      <c r="Q78" s="599" t="s">
        <v>411</v>
      </c>
      <c r="R78" s="600"/>
      <c r="S78" s="600"/>
      <c r="T78" s="595">
        <f>H78</f>
        <v>203080.55</v>
      </c>
      <c r="U78" s="595"/>
    </row>
    <row r="79" spans="1:22" x14ac:dyDescent="0.25">
      <c r="B79" s="69"/>
      <c r="G79" s="42" t="s">
        <v>12</v>
      </c>
      <c r="H79" s="114">
        <f>ROUND(C78/H78,6)</f>
        <v>4.28E-4</v>
      </c>
      <c r="I79" s="115"/>
      <c r="N79" s="568"/>
      <c r="O79" s="568"/>
      <c r="P79" s="568"/>
      <c r="Q79" s="568"/>
      <c r="R79" s="568"/>
      <c r="S79" s="568"/>
      <c r="T79" s="598">
        <f>ROUND(P78/T78,6)</f>
        <v>4.28E-4</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87</v>
      </c>
      <c r="D81" s="529" t="s">
        <v>417</v>
      </c>
      <c r="E81" s="529"/>
      <c r="F81" s="529"/>
      <c r="G81" s="529"/>
      <c r="H81" s="301">
        <f>'1461'!H81</f>
        <v>186682.65</v>
      </c>
      <c r="I81" s="113"/>
      <c r="N81" s="591" t="s">
        <v>418</v>
      </c>
      <c r="O81" s="568"/>
      <c r="P81" s="41">
        <f>P30</f>
        <v>87</v>
      </c>
      <c r="Q81" s="601" t="s">
        <v>419</v>
      </c>
      <c r="R81" s="602"/>
      <c r="S81" s="602"/>
      <c r="T81" s="595">
        <f>H81</f>
        <v>186682.65</v>
      </c>
      <c r="U81" s="595"/>
    </row>
    <row r="82" spans="1:21" x14ac:dyDescent="0.25">
      <c r="B82" s="69"/>
      <c r="G82" s="42" t="s">
        <v>12</v>
      </c>
      <c r="H82" s="114">
        <f>ROUND(C81/H81,6)</f>
        <v>4.66E-4</v>
      </c>
      <c r="I82" s="115"/>
      <c r="N82" s="568"/>
      <c r="O82" s="568"/>
      <c r="P82" s="568"/>
      <c r="Q82" s="568"/>
      <c r="R82" s="568"/>
      <c r="S82" s="568"/>
      <c r="T82" s="598">
        <f>ROUND(P81/T81,6)</f>
        <v>4.66E-4</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4.28E-4</v>
      </c>
      <c r="I85" s="101">
        <f>ROUND(F85*H85,2)</f>
        <v>19116.849999999999</v>
      </c>
      <c r="N85" s="455" t="s">
        <v>455</v>
      </c>
      <c r="O85" s="51"/>
      <c r="P85" s="51"/>
      <c r="Q85" s="44"/>
      <c r="R85" s="421">
        <f>F85</f>
        <v>44665536</v>
      </c>
      <c r="S85" s="38" t="s">
        <v>6</v>
      </c>
      <c r="T85" s="423">
        <f>T79</f>
        <v>4.28E-4</v>
      </c>
      <c r="U85" s="475">
        <f>ROUND(R85*T85,2)</f>
        <v>19116.849999999999</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53"/>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4.28E-4</v>
      </c>
      <c r="I88" s="101">
        <f>ROUND(F88*H88,2)</f>
        <v>0</v>
      </c>
      <c r="N88" s="603" t="s">
        <v>99</v>
      </c>
      <c r="O88" s="568"/>
      <c r="P88" s="568"/>
      <c r="Q88" s="44"/>
      <c r="R88" s="421">
        <f>F88</f>
        <v>0</v>
      </c>
      <c r="S88" s="38" t="s">
        <v>6</v>
      </c>
      <c r="T88" s="423">
        <f>T70</f>
        <v>4.28E-4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4.66E-4</v>
      </c>
      <c r="I90" s="101">
        <f>ROUND(F90*H90,2)</f>
        <v>7533.85</v>
      </c>
      <c r="N90" s="455" t="s">
        <v>456</v>
      </c>
      <c r="O90" s="51"/>
      <c r="P90" s="51"/>
      <c r="Q90" s="44"/>
      <c r="R90" s="421">
        <f>F90</f>
        <v>16167052</v>
      </c>
      <c r="S90" s="38" t="s">
        <v>6</v>
      </c>
      <c r="T90" s="423">
        <f>T82</f>
        <v>4.66E-4</v>
      </c>
      <c r="U90" s="475">
        <f>ROUND(R90*T90,2)</f>
        <v>7533.85</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4.6500000000000003E-4</v>
      </c>
      <c r="I92" s="101">
        <f t="shared" ref="I92:I96" si="14">ROUND(F92*H92,2)</f>
        <v>4668.6499999999996</v>
      </c>
      <c r="N92" s="455" t="s">
        <v>457</v>
      </c>
      <c r="O92" s="51"/>
      <c r="P92" s="51"/>
      <c r="Q92" s="44"/>
      <c r="R92" s="421">
        <f t="shared" ref="R92:R96" si="15">F92</f>
        <v>10040099</v>
      </c>
      <c r="S92" s="38" t="s">
        <v>6</v>
      </c>
      <c r="T92" s="423">
        <f>T76</f>
        <v>4.6500000000000003E-4</v>
      </c>
      <c r="U92" s="475">
        <f>ROUND(R92*T92,2)</f>
        <v>4668.6499999999996</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1.7260000000000001E-3</v>
      </c>
      <c r="I94" s="101">
        <f t="shared" si="14"/>
        <v>412509.99</v>
      </c>
      <c r="N94" s="568" t="s">
        <v>421</v>
      </c>
      <c r="O94" s="568"/>
      <c r="P94" s="568"/>
      <c r="Q94" s="44"/>
      <c r="R94" s="421">
        <f t="shared" si="15"/>
        <v>238997674</v>
      </c>
      <c r="S94" s="38" t="s">
        <v>6</v>
      </c>
      <c r="T94" s="423">
        <f>T73</f>
        <v>3.8200000000000002E-4</v>
      </c>
      <c r="U94" s="475">
        <f>ROUND(R94*T94,2)</f>
        <v>91297.11</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1.7260000000000001E-3</v>
      </c>
      <c r="I96" s="101">
        <f t="shared" si="14"/>
        <v>-2761.68</v>
      </c>
      <c r="N96" s="591" t="s">
        <v>422</v>
      </c>
      <c r="O96" s="568"/>
      <c r="P96" s="568"/>
      <c r="Q96" s="44"/>
      <c r="R96" s="421">
        <f t="shared" si="15"/>
        <v>-1600047</v>
      </c>
      <c r="S96" s="38" t="s">
        <v>6</v>
      </c>
      <c r="T96" s="423">
        <f>T73</f>
        <v>3.8200000000000002E-4</v>
      </c>
      <c r="U96" s="475">
        <f>ROUND(R96*T96,2)</f>
        <v>-611.22</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227.91300000000001</v>
      </c>
      <c r="D101" s="515"/>
      <c r="E101" s="46">
        <f>H8</f>
        <v>1.0442</v>
      </c>
      <c r="F101" s="304">
        <f>'1461'!F101</f>
        <v>947.59</v>
      </c>
      <c r="G101" s="39" t="s">
        <v>12</v>
      </c>
      <c r="H101" s="101">
        <f>ROUND(C101*E101*F101,2)</f>
        <v>225513.87</v>
      </c>
      <c r="I101" s="104"/>
      <c r="N101" s="28" t="s">
        <v>17</v>
      </c>
      <c r="O101" s="47">
        <f>T14+T15+T20+T23+T26</f>
        <v>48</v>
      </c>
      <c r="P101" s="606">
        <f>T8</f>
        <v>1.0442</v>
      </c>
      <c r="Q101" s="606"/>
      <c r="R101" s="48">
        <f>F101</f>
        <v>947.59</v>
      </c>
      <c r="S101" s="40" t="s">
        <v>12</v>
      </c>
      <c r="T101" s="481">
        <f>ROUND(O101*P101*R101,2)</f>
        <v>47494.73</v>
      </c>
      <c r="U101" s="102"/>
    </row>
    <row r="102" spans="1:21" x14ac:dyDescent="0.25">
      <c r="A102" s="49"/>
      <c r="B102" s="49" t="s">
        <v>104</v>
      </c>
      <c r="C102" s="515">
        <f>H16+H17+H21+H24+H27</f>
        <v>164.7825</v>
      </c>
      <c r="D102" s="515"/>
      <c r="E102" s="46">
        <f>H8</f>
        <v>1.0442</v>
      </c>
      <c r="F102" s="304">
        <f>'1461'!F102</f>
        <v>904.74</v>
      </c>
      <c r="G102" s="39" t="s">
        <v>12</v>
      </c>
      <c r="H102" s="101">
        <f>ROUND(C102*E102*F102,2)</f>
        <v>155674.89000000001</v>
      </c>
      <c r="N102" s="50" t="s">
        <v>13</v>
      </c>
      <c r="O102" s="47">
        <f>T16+T17+T21+T24+T27</f>
        <v>39</v>
      </c>
      <c r="P102" s="606">
        <f>T8</f>
        <v>1.0442</v>
      </c>
      <c r="Q102" s="606"/>
      <c r="R102" s="48">
        <f>F102</f>
        <v>904.74</v>
      </c>
      <c r="S102" s="40" t="s">
        <v>12</v>
      </c>
      <c r="T102" s="481">
        <f>ROUND(O102*P102*R102,2)</f>
        <v>36844.449999999997</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392.69550000000004</v>
      </c>
      <c r="D104" s="528"/>
      <c r="E104" s="123"/>
      <c r="F104" s="123"/>
      <c r="G104" s="123"/>
      <c r="H104" s="124" t="s">
        <v>100</v>
      </c>
      <c r="I104" s="101">
        <f>IF(A1=75,0,H103+H102+H101)</f>
        <v>381188.76</v>
      </c>
      <c r="N104" s="56" t="s">
        <v>89</v>
      </c>
      <c r="O104" s="57">
        <f>SUM(O101:O103)</f>
        <v>87</v>
      </c>
      <c r="P104" s="607" t="s">
        <v>16</v>
      </c>
      <c r="Q104" s="608"/>
      <c r="R104" s="608"/>
      <c r="S104" s="608"/>
      <c r="T104" s="608"/>
      <c r="U104" s="475">
        <f>IF(N1=75,0,T103+T102+T101)</f>
        <v>84339.18</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0</v>
      </c>
      <c r="E110" s="144">
        <f>(C110+D110)/2</f>
        <v>0</v>
      </c>
      <c r="F110" s="126" t="s">
        <v>30</v>
      </c>
      <c r="G110" s="305">
        <f>'1461'!G110</f>
        <v>565</v>
      </c>
      <c r="I110" s="101">
        <f>ROUND(G110*E110,2)</f>
        <v>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44">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42">
        <f>IF(D30=0,C118*2,C118+D118)</f>
        <v>0</v>
      </c>
      <c r="F118" s="628">
        <v>0</v>
      </c>
      <c r="G118" s="628"/>
      <c r="H118" s="61">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44">
        <f>IF(D31=0,C119*2,C119+D119)</f>
        <v>0</v>
      </c>
      <c r="F119" s="522">
        <f>ROUND(F118/2,2)</f>
        <v>0</v>
      </c>
      <c r="G119" s="522"/>
      <c r="H119" s="61">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44">
        <f>IF(D32=0,C120*2,C120+D120)</f>
        <v>0</v>
      </c>
      <c r="F120" s="523"/>
      <c r="G120" s="523"/>
      <c r="H120" s="63">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2947373.7800000003</v>
      </c>
      <c r="N125" s="455"/>
      <c r="O125" s="454"/>
      <c r="P125" s="454"/>
      <c r="Q125" s="307"/>
      <c r="R125" s="307"/>
      <c r="S125" s="307"/>
      <c r="T125" s="307"/>
      <c r="U125" s="482">
        <f>SUM(U30,U85,U88,U90,U92,U94,U96,U104,U110,U111,U121,U123)</f>
        <v>673265.25</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2822395.4800000004</v>
      </c>
      <c r="N127" s="613" t="s">
        <v>33</v>
      </c>
      <c r="O127" s="613"/>
      <c r="P127" s="613"/>
      <c r="Q127" s="613"/>
      <c r="R127" s="613"/>
      <c r="S127" s="613"/>
      <c r="T127" s="613"/>
      <c r="U127" s="132">
        <f>U125-U53</f>
        <v>645576.85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f>IF(E30=0,"",IF((E15+E17+SUM(E19:E25))/E30&gt;0.75,1,""))</f>
        <v>1</v>
      </c>
      <c r="I130" s="116">
        <f>U127</f>
        <v>645576.85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645576.85</v>
      </c>
      <c r="I132" s="94">
        <f>ROUND(IF(E30=0,0,IF(E30&gt;250,-(((250/E30)*H132)*IF(G132="H",0.02,0.05)),IF(G132="H",-0.02*H132,-0.05*H132))),2)</f>
        <v>-32278.84</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2915094.9400000004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-251719.1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2663375.8400000003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242125.08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2:U152"/>
    <mergeCell ref="N127:T127"/>
    <mergeCell ref="A125:H125"/>
    <mergeCell ref="A129:G129"/>
    <mergeCell ref="N132:U132"/>
    <mergeCell ref="A130:G130"/>
    <mergeCell ref="N133:U133"/>
    <mergeCell ref="A121:B121"/>
    <mergeCell ref="N121:O121"/>
    <mergeCell ref="A123:C123"/>
    <mergeCell ref="F123:H123"/>
    <mergeCell ref="N123:P123"/>
    <mergeCell ref="A119:B119"/>
    <mergeCell ref="F119:G119"/>
    <mergeCell ref="N119:O119"/>
    <mergeCell ref="P119:Q119"/>
    <mergeCell ref="R119:S119"/>
    <mergeCell ref="A120:B120"/>
    <mergeCell ref="F120:G120"/>
    <mergeCell ref="N120:O120"/>
    <mergeCell ref="P120:Q120"/>
    <mergeCell ref="R120:S12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CCCC"/>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285</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7"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32.61</v>
      </c>
      <c r="D14" s="141">
        <v>34.46</v>
      </c>
      <c r="E14" s="187">
        <f>IF(D$30=0,C14*2,C14+D14)</f>
        <v>67.069999999999993</v>
      </c>
      <c r="F14" s="558">
        <f>'1461'!F14:G14</f>
        <v>1.1220000000000001</v>
      </c>
      <c r="G14" s="558"/>
      <c r="H14" s="145">
        <f>ROUND(E14*F14,4)</f>
        <v>75.252499999999998</v>
      </c>
      <c r="I14" s="111">
        <f>ROUND(ROUND(ROUND(H14*$C$8,4)*($H$8),2)*(MAX($H$9,1)),2)</f>
        <v>403873.1</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4</v>
      </c>
      <c r="D15" s="143">
        <v>4.6500000000000004</v>
      </c>
      <c r="E15" s="116">
        <f t="shared" ref="E15:E29" si="1">IF(D$30=0,C15*2,C15+D15)</f>
        <v>8.65</v>
      </c>
      <c r="F15" s="555">
        <f>'1461'!F15:G15</f>
        <v>1.1220000000000001</v>
      </c>
      <c r="G15" s="555"/>
      <c r="H15" s="80">
        <f t="shared" ref="H15:H29" si="2">ROUND(E15*F15,4)</f>
        <v>9.7052999999999994</v>
      </c>
      <c r="I15" s="101">
        <f t="shared" ref="I15:I29" si="3">ROUND(ROUND(ROUND(H15*$C$8,4)*($H$8),2)*(MAX($H$9,1)),2)</f>
        <v>52087.43</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34.11</v>
      </c>
      <c r="D16" s="143">
        <v>34.01</v>
      </c>
      <c r="E16" s="116">
        <f t="shared" si="1"/>
        <v>68.12</v>
      </c>
      <c r="F16" s="555">
        <f>'1461'!F16:G16</f>
        <v>1</v>
      </c>
      <c r="G16" s="555"/>
      <c r="H16" s="80">
        <f t="shared" si="2"/>
        <v>68.12</v>
      </c>
      <c r="I16" s="101">
        <f t="shared" si="3"/>
        <v>365593.64</v>
      </c>
      <c r="N16" s="568" t="s">
        <v>22</v>
      </c>
      <c r="O16" s="568"/>
      <c r="P16" s="569">
        <f t="shared" si="0"/>
        <v>0</v>
      </c>
      <c r="Q16" s="569"/>
      <c r="R16" s="570">
        <v>1</v>
      </c>
      <c r="S16" s="570"/>
      <c r="T16" s="95">
        <f t="shared" si="4"/>
        <v>0</v>
      </c>
      <c r="U16" s="475">
        <f t="shared" si="5"/>
        <v>0</v>
      </c>
    </row>
    <row r="17" spans="1:21" x14ac:dyDescent="0.25">
      <c r="A17" s="517" t="s">
        <v>23</v>
      </c>
      <c r="B17" s="517"/>
      <c r="C17" s="143">
        <v>6.5</v>
      </c>
      <c r="D17" s="143">
        <v>6</v>
      </c>
      <c r="E17" s="116">
        <f t="shared" si="1"/>
        <v>12.5</v>
      </c>
      <c r="F17" s="555">
        <f>'1461'!F17:G17</f>
        <v>1</v>
      </c>
      <c r="G17" s="555"/>
      <c r="H17" s="80">
        <f t="shared" si="2"/>
        <v>12.5</v>
      </c>
      <c r="I17" s="101">
        <f t="shared" si="3"/>
        <v>67086.33</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4.8899999999999997</v>
      </c>
      <c r="D26" s="143">
        <v>5.49</v>
      </c>
      <c r="E26" s="116">
        <f t="shared" si="1"/>
        <v>10.379999999999999</v>
      </c>
      <c r="F26" s="555">
        <f>'1461'!F26:G26</f>
        <v>1.208</v>
      </c>
      <c r="G26" s="555"/>
      <c r="H26" s="80">
        <f t="shared" si="2"/>
        <v>12.539</v>
      </c>
      <c r="I26" s="101">
        <f t="shared" si="3"/>
        <v>67295.64</v>
      </c>
      <c r="N26" s="568" t="s">
        <v>85</v>
      </c>
      <c r="O26" s="568"/>
      <c r="P26" s="569">
        <f t="shared" si="0"/>
        <v>0</v>
      </c>
      <c r="Q26" s="569"/>
      <c r="R26" s="570">
        <v>1</v>
      </c>
      <c r="S26" s="570"/>
      <c r="T26" s="95">
        <f t="shared" si="4"/>
        <v>0</v>
      </c>
      <c r="U26" s="475">
        <f t="shared" si="5"/>
        <v>0</v>
      </c>
    </row>
    <row r="27" spans="1:21" x14ac:dyDescent="0.25">
      <c r="A27" s="517" t="s">
        <v>86</v>
      </c>
      <c r="B27" s="517"/>
      <c r="C27" s="143">
        <v>1.33</v>
      </c>
      <c r="D27" s="143">
        <v>1.55</v>
      </c>
      <c r="E27" s="116">
        <f t="shared" si="1"/>
        <v>2.88</v>
      </c>
      <c r="F27" s="555">
        <f>'1461'!F27:G27</f>
        <v>1.208</v>
      </c>
      <c r="G27" s="555"/>
      <c r="H27" s="80">
        <f t="shared" si="2"/>
        <v>3.4790000000000001</v>
      </c>
      <c r="I27" s="101">
        <f t="shared" si="3"/>
        <v>18671.47</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83.44</v>
      </c>
      <c r="D30" s="94">
        <f>SUM(D14:D29)</f>
        <v>86.16</v>
      </c>
      <c r="E30" s="94">
        <f>SUM(E14:E29)</f>
        <v>169.6</v>
      </c>
      <c r="F30" s="536"/>
      <c r="G30" s="536"/>
      <c r="H30" s="99">
        <f>SUM(H14:H29)</f>
        <v>181.5958</v>
      </c>
      <c r="I30" s="94">
        <f>SUM(I14:I29)</f>
        <v>974607.60999999987</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42">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44">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44">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44">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44">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36">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181.5958</v>
      </c>
      <c r="F46" s="34"/>
      <c r="G46" s="106"/>
      <c r="H46" s="107" t="s">
        <v>98</v>
      </c>
      <c r="I46" s="94">
        <f>SUM(I44,I30)</f>
        <v>974607.60999999987</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974607.60999999987</v>
      </c>
      <c r="G51" s="109" t="s">
        <v>6</v>
      </c>
      <c r="H51" s="403">
        <v>4.5199999999999997E-2</v>
      </c>
      <c r="I51" s="101">
        <f>ROUND(F51*H51,2)</f>
        <v>44052.26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974607.60999999987</v>
      </c>
      <c r="G52" s="109" t="s">
        <v>6</v>
      </c>
      <c r="H52" s="403">
        <v>1.41E-2</v>
      </c>
      <c r="I52" s="101">
        <f>ROUND(F52*H52,2)</f>
        <v>13741.97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57794.23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3.5</v>
      </c>
      <c r="D57" s="143">
        <v>4.6500000000000004</v>
      </c>
      <c r="E57" s="116">
        <f t="shared" ref="E57:E65" si="10">IF(D$72=0,C57*2,C57+D57)</f>
        <v>8.15</v>
      </c>
      <c r="F57" s="445" t="s">
        <v>439</v>
      </c>
      <c r="G57" s="445">
        <v>251</v>
      </c>
      <c r="H57" s="459">
        <f>'1461'!H57</f>
        <v>1047</v>
      </c>
      <c r="I57" s="101">
        <f>ROUND(E57*H57,2)</f>
        <v>8533.0499999999993</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0.5</v>
      </c>
      <c r="D59" s="143">
        <v>0</v>
      </c>
      <c r="E59" s="116">
        <f t="shared" si="10"/>
        <v>0.5</v>
      </c>
      <c r="F59" s="445" t="s">
        <v>439</v>
      </c>
      <c r="G59" s="445">
        <v>253</v>
      </c>
      <c r="H59" s="459">
        <f>'1461'!H59</f>
        <v>6896</v>
      </c>
      <c r="I59" s="101">
        <f t="shared" si="11"/>
        <v>3448</v>
      </c>
      <c r="N59" s="619"/>
      <c r="O59" s="619"/>
      <c r="P59" s="622"/>
      <c r="Q59" s="622"/>
      <c r="R59" s="451" t="s">
        <v>439</v>
      </c>
      <c r="S59" s="451">
        <v>253</v>
      </c>
      <c r="T59" s="462">
        <f t="shared" si="12"/>
        <v>6896</v>
      </c>
      <c r="U59" s="476">
        <f t="shared" si="13"/>
        <v>0</v>
      </c>
      <c r="V59" s="426"/>
    </row>
    <row r="60" spans="1:22" x14ac:dyDescent="0.25">
      <c r="A60" s="533"/>
      <c r="B60" s="533"/>
      <c r="C60" s="143">
        <v>4.5</v>
      </c>
      <c r="D60" s="143">
        <v>3.5</v>
      </c>
      <c r="E60" s="116">
        <f t="shared" si="10"/>
        <v>8</v>
      </c>
      <c r="F60" s="446" t="s">
        <v>13</v>
      </c>
      <c r="G60" s="445">
        <v>251</v>
      </c>
      <c r="H60" s="459">
        <f>'1461'!H60</f>
        <v>1173</v>
      </c>
      <c r="I60" s="101">
        <f t="shared" si="11"/>
        <v>9384</v>
      </c>
      <c r="N60" s="619"/>
      <c r="O60" s="619"/>
      <c r="P60" s="622"/>
      <c r="Q60" s="622"/>
      <c r="R60" s="40" t="s">
        <v>13</v>
      </c>
      <c r="S60" s="451">
        <v>251</v>
      </c>
      <c r="T60" s="462">
        <f t="shared" si="12"/>
        <v>1173</v>
      </c>
      <c r="U60" s="476">
        <f t="shared" si="13"/>
        <v>0</v>
      </c>
      <c r="V60" s="426"/>
    </row>
    <row r="61" spans="1:22" x14ac:dyDescent="0.25">
      <c r="A61" s="533"/>
      <c r="B61" s="533"/>
      <c r="C61" s="143">
        <v>2</v>
      </c>
      <c r="D61" s="143">
        <v>2.5</v>
      </c>
      <c r="E61" s="116">
        <f t="shared" si="10"/>
        <v>4.5</v>
      </c>
      <c r="F61" s="446" t="s">
        <v>13</v>
      </c>
      <c r="G61" s="445">
        <v>252</v>
      </c>
      <c r="H61" s="459">
        <f>'1461'!H61</f>
        <v>3506</v>
      </c>
      <c r="I61" s="101">
        <f t="shared" si="11"/>
        <v>15777</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10.5</v>
      </c>
      <c r="D66" s="97">
        <f>SUM(D57:D65)</f>
        <v>10.65</v>
      </c>
      <c r="E66" s="97">
        <f>SUM(E57:E65)</f>
        <v>21.15</v>
      </c>
      <c r="F66" s="520" t="s">
        <v>448</v>
      </c>
      <c r="G66" s="520"/>
      <c r="H66" s="520"/>
      <c r="I66" s="97">
        <f>SUM(I57:I65)</f>
        <v>37142.050000000003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169.6</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8.34E-4</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181.5958</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7.9799999999999999E-4</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169.6</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9.0700000000000004E-4</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169.6</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8.3500000000000002E-4</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169.6</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9.0799999999999995E-4</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8.3500000000000002E-4</v>
      </c>
      <c r="I85" s="101">
        <f>ROUND(F85*H85,2)</f>
        <v>37295.72</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53"/>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8.34E-4</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9.0799999999999995E-4</v>
      </c>
      <c r="I90" s="101">
        <f>ROUND(F90*H90,2)</f>
        <v>14679.68</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9.0700000000000004E-4</v>
      </c>
      <c r="I92" s="101">
        <f t="shared" ref="I92:I96" si="14">ROUND(F92*H92,2)</f>
        <v>9106.3700000000008</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7.9799999999999999E-4</v>
      </c>
      <c r="I94" s="101">
        <f t="shared" si="14"/>
        <v>190720.14</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7.9799999999999999E-4</v>
      </c>
      <c r="I96" s="101">
        <f t="shared" si="14"/>
        <v>-1276.8399999999999</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97.496799999999993</v>
      </c>
      <c r="D101" s="515"/>
      <c r="E101" s="46">
        <f>H8</f>
        <v>1.0442</v>
      </c>
      <c r="F101" s="304">
        <f>'1461'!F101</f>
        <v>947.59</v>
      </c>
      <c r="G101" s="39" t="s">
        <v>12</v>
      </c>
      <c r="H101" s="101">
        <f>ROUND(C101*E101*F101,2)</f>
        <v>96470.5</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84.099000000000004</v>
      </c>
      <c r="D102" s="515"/>
      <c r="E102" s="46">
        <f>H8</f>
        <v>1.0442</v>
      </c>
      <c r="F102" s="304">
        <f>'1461'!F102</f>
        <v>904.74</v>
      </c>
      <c r="G102" s="39" t="s">
        <v>12</v>
      </c>
      <c r="H102" s="101">
        <f>ROUND(C102*E102*F102,2)</f>
        <v>79450.81</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181.5958</v>
      </c>
      <c r="D104" s="528"/>
      <c r="E104" s="123"/>
      <c r="F104" s="123"/>
      <c r="G104" s="123"/>
      <c r="H104" s="124" t="s">
        <v>100</v>
      </c>
      <c r="I104" s="101">
        <f>IF(A1=75,0,H103+H102+H101)</f>
        <v>175921.31</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v>
      </c>
      <c r="D110" s="143">
        <v>0</v>
      </c>
      <c r="E110" s="144">
        <f>(C110+D110)/2</f>
        <v>0.5</v>
      </c>
      <c r="F110" s="126" t="s">
        <v>30</v>
      </c>
      <c r="G110" s="305">
        <f>'1461'!G110</f>
        <v>565</v>
      </c>
      <c r="I110" s="101">
        <f>ROUND(G110*E110,2)</f>
        <v>282.5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44">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42">
        <f>IF(D30=0,C118*2,C118+D118)</f>
        <v>0</v>
      </c>
      <c r="F118" s="628">
        <v>0</v>
      </c>
      <c r="G118" s="628"/>
      <c r="H118" s="61">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44">
        <f>IF(D31=0,C119*2,C119+D119)</f>
        <v>0</v>
      </c>
      <c r="F119" s="522">
        <f>ROUND(F118/2,2)</f>
        <v>0</v>
      </c>
      <c r="G119" s="522"/>
      <c r="H119" s="61">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44">
        <f>IF(D32=0,C120*2,C120+D120)</f>
        <v>0</v>
      </c>
      <c r="F120" s="523"/>
      <c r="G120" s="523"/>
      <c r="H120" s="63">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1438478.5399999998</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1380684.3099999998</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1380684.3099999998</v>
      </c>
      <c r="I132" s="94">
        <f>ROUND(IF(E30=0,0,IF(E30&gt;250,-(((250/E30)*H132)*IF(G132="H",0.02,0.05)),IF(G132="H",-0.02*H132,-0.05*H132))),2)</f>
        <v>-69034.22</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1369444.3199999998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-118832.36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1250611.9599999997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113692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2:U152"/>
    <mergeCell ref="N127:T127"/>
    <mergeCell ref="A125:H125"/>
    <mergeCell ref="A129:G129"/>
    <mergeCell ref="N132:U132"/>
    <mergeCell ref="A130:G130"/>
    <mergeCell ref="N133:U133"/>
    <mergeCell ref="A121:B121"/>
    <mergeCell ref="N121:O121"/>
    <mergeCell ref="A123:C123"/>
    <mergeCell ref="F123:H123"/>
    <mergeCell ref="N123:P123"/>
    <mergeCell ref="A119:B119"/>
    <mergeCell ref="F119:G119"/>
    <mergeCell ref="N119:O119"/>
    <mergeCell ref="P119:Q119"/>
    <mergeCell ref="R119:S119"/>
    <mergeCell ref="A120:B120"/>
    <mergeCell ref="F120:G120"/>
    <mergeCell ref="N120:O120"/>
    <mergeCell ref="P120:Q120"/>
    <mergeCell ref="R120:S12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CCC"/>
  </sheetPr>
  <dimension ref="A1:V218"/>
  <sheetViews>
    <sheetView showGridLines="0" zoomScaleNormal="100" workbookViewId="0">
      <pane ySplit="1" topLeftCell="A109"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300</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7"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195.19</v>
      </c>
      <c r="D16" s="143">
        <v>199.34</v>
      </c>
      <c r="E16" s="116">
        <f t="shared" si="1"/>
        <v>394.53</v>
      </c>
      <c r="F16" s="555">
        <f>'1461'!F16:G16</f>
        <v>1</v>
      </c>
      <c r="G16" s="555"/>
      <c r="H16" s="80">
        <f t="shared" si="2"/>
        <v>394.53</v>
      </c>
      <c r="I16" s="101">
        <f t="shared" si="3"/>
        <v>2117405.4500000002</v>
      </c>
      <c r="N16" s="568" t="s">
        <v>22</v>
      </c>
      <c r="O16" s="568"/>
      <c r="P16" s="569">
        <f t="shared" si="0"/>
        <v>0</v>
      </c>
      <c r="Q16" s="569"/>
      <c r="R16" s="570">
        <v>1</v>
      </c>
      <c r="S16" s="570"/>
      <c r="T16" s="95">
        <f t="shared" si="4"/>
        <v>0</v>
      </c>
      <c r="U16" s="475">
        <f t="shared" si="5"/>
        <v>0</v>
      </c>
    </row>
    <row r="17" spans="1:21" x14ac:dyDescent="0.25">
      <c r="A17" s="517" t="s">
        <v>23</v>
      </c>
      <c r="B17" s="517"/>
      <c r="C17" s="143">
        <v>30</v>
      </c>
      <c r="D17" s="143">
        <v>31.22</v>
      </c>
      <c r="E17" s="116">
        <f t="shared" si="1"/>
        <v>61.22</v>
      </c>
      <c r="F17" s="555">
        <f>'1461'!F17:G17</f>
        <v>1</v>
      </c>
      <c r="G17" s="555"/>
      <c r="H17" s="80">
        <f t="shared" si="2"/>
        <v>61.22</v>
      </c>
      <c r="I17" s="101">
        <f t="shared" si="3"/>
        <v>328561.99</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165.69</v>
      </c>
      <c r="D18" s="143">
        <v>160.24</v>
      </c>
      <c r="E18" s="116">
        <f t="shared" si="1"/>
        <v>325.93</v>
      </c>
      <c r="F18" s="555">
        <f>'1461'!F18:G18</f>
        <v>0.98799999999999999</v>
      </c>
      <c r="G18" s="555"/>
      <c r="H18" s="80">
        <f t="shared" si="2"/>
        <v>322.0188</v>
      </c>
      <c r="I18" s="101">
        <f t="shared" si="3"/>
        <v>1728244.65</v>
      </c>
      <c r="N18" s="568" t="s">
        <v>24</v>
      </c>
      <c r="O18" s="568"/>
      <c r="P18" s="569">
        <f t="shared" si="0"/>
        <v>0</v>
      </c>
      <c r="Q18" s="569"/>
      <c r="R18" s="570">
        <v>1</v>
      </c>
      <c r="S18" s="570"/>
      <c r="T18" s="95">
        <f t="shared" si="4"/>
        <v>0</v>
      </c>
      <c r="U18" s="475">
        <f t="shared" si="5"/>
        <v>0</v>
      </c>
    </row>
    <row r="19" spans="1:21" x14ac:dyDescent="0.25">
      <c r="A19" s="517" t="s">
        <v>25</v>
      </c>
      <c r="B19" s="517"/>
      <c r="C19" s="143">
        <v>18.5</v>
      </c>
      <c r="D19" s="143">
        <v>18.04</v>
      </c>
      <c r="E19" s="116">
        <f t="shared" si="1"/>
        <v>36.54</v>
      </c>
      <c r="F19" s="555">
        <f>'1461'!F19:G19</f>
        <v>0.98799999999999999</v>
      </c>
      <c r="G19" s="555"/>
      <c r="H19" s="80">
        <f t="shared" si="2"/>
        <v>36.101500000000001</v>
      </c>
      <c r="I19" s="101">
        <f t="shared" si="3"/>
        <v>193753.36</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39.479999999999997</v>
      </c>
      <c r="D27" s="143">
        <v>41.89</v>
      </c>
      <c r="E27" s="116">
        <f t="shared" si="1"/>
        <v>81.37</v>
      </c>
      <c r="F27" s="555">
        <f>'1461'!F27:G27</f>
        <v>1.208</v>
      </c>
      <c r="G27" s="555"/>
      <c r="H27" s="80">
        <f t="shared" si="2"/>
        <v>98.295000000000002</v>
      </c>
      <c r="I27" s="101">
        <f t="shared" si="3"/>
        <v>527540.03</v>
      </c>
      <c r="N27" s="568" t="s">
        <v>86</v>
      </c>
      <c r="O27" s="568"/>
      <c r="P27" s="569">
        <f t="shared" si="0"/>
        <v>0</v>
      </c>
      <c r="Q27" s="569"/>
      <c r="R27" s="570">
        <v>1</v>
      </c>
      <c r="S27" s="570"/>
      <c r="T27" s="95">
        <f t="shared" si="4"/>
        <v>0</v>
      </c>
      <c r="U27" s="475">
        <f t="shared" si="5"/>
        <v>0</v>
      </c>
    </row>
    <row r="28" spans="1:21" x14ac:dyDescent="0.25">
      <c r="A28" s="517" t="s">
        <v>87</v>
      </c>
      <c r="B28" s="517"/>
      <c r="C28" s="143">
        <v>34.840000000000003</v>
      </c>
      <c r="D28" s="143">
        <v>33.46</v>
      </c>
      <c r="E28" s="116">
        <f t="shared" si="1"/>
        <v>68.300000000000011</v>
      </c>
      <c r="F28" s="555">
        <f>'1461'!F28:G28</f>
        <v>1.208</v>
      </c>
      <c r="G28" s="555"/>
      <c r="H28" s="80">
        <f t="shared" si="2"/>
        <v>82.506399999999999</v>
      </c>
      <c r="I28" s="101">
        <f t="shared" si="3"/>
        <v>442804.1</v>
      </c>
      <c r="N28" s="568" t="s">
        <v>87</v>
      </c>
      <c r="O28" s="568"/>
      <c r="P28" s="569">
        <f t="shared" si="0"/>
        <v>0</v>
      </c>
      <c r="Q28" s="569"/>
      <c r="R28" s="570">
        <v>1</v>
      </c>
      <c r="S28" s="570"/>
      <c r="T28" s="95">
        <f t="shared" si="4"/>
        <v>0</v>
      </c>
      <c r="U28" s="475">
        <f t="shared" si="5"/>
        <v>0</v>
      </c>
    </row>
    <row r="29" spans="1:21" x14ac:dyDescent="0.25">
      <c r="A29" s="517" t="s">
        <v>88</v>
      </c>
      <c r="B29" s="517"/>
      <c r="C29" s="110">
        <v>19.239999999999998</v>
      </c>
      <c r="D29" s="110">
        <v>20.22</v>
      </c>
      <c r="E29" s="154">
        <f t="shared" si="1"/>
        <v>39.459999999999994</v>
      </c>
      <c r="F29" s="555">
        <f>'1461'!F29:G29</f>
        <v>1.0720000000000001</v>
      </c>
      <c r="G29" s="555"/>
      <c r="H29" s="93">
        <f t="shared" si="2"/>
        <v>42.301099999999998</v>
      </c>
      <c r="I29" s="94">
        <f t="shared" si="3"/>
        <v>227026.03</v>
      </c>
      <c r="N29" s="585" t="s">
        <v>88</v>
      </c>
      <c r="O29" s="585"/>
      <c r="P29" s="569">
        <f t="shared" si="0"/>
        <v>0</v>
      </c>
      <c r="Q29" s="569"/>
      <c r="R29" s="586">
        <v>1</v>
      </c>
      <c r="S29" s="586"/>
      <c r="T29" s="95">
        <f t="shared" si="4"/>
        <v>0</v>
      </c>
      <c r="U29" s="475">
        <f t="shared" si="5"/>
        <v>0</v>
      </c>
    </row>
    <row r="30" spans="1:21" x14ac:dyDescent="0.25">
      <c r="A30" s="520" t="s">
        <v>5</v>
      </c>
      <c r="B30" s="520"/>
      <c r="C30" s="94">
        <f>SUM(C14:C29)</f>
        <v>502.94000000000005</v>
      </c>
      <c r="D30" s="94">
        <f>SUM(D14:D29)</f>
        <v>504.40999999999997</v>
      </c>
      <c r="E30" s="94">
        <f>SUM(E14:E29)</f>
        <v>1007.3500000000001</v>
      </c>
      <c r="F30" s="536"/>
      <c r="G30" s="536"/>
      <c r="H30" s="99">
        <f>SUM(H14:H29)</f>
        <v>1036.9728</v>
      </c>
      <c r="I30" s="94">
        <f>SUM(I14:I29)</f>
        <v>5565335.6100000003</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42">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44">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44">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44">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44">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36">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1036.9728</v>
      </c>
      <c r="F46" s="34"/>
      <c r="G46" s="106"/>
      <c r="H46" s="107" t="s">
        <v>98</v>
      </c>
      <c r="I46" s="94">
        <f>SUM(I44,I30)</f>
        <v>5565335.6100000003</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5565335.6100000003</v>
      </c>
      <c r="G51" s="109" t="s">
        <v>6</v>
      </c>
      <c r="H51" s="403">
        <v>4.5199999999999997E-2</v>
      </c>
      <c r="I51" s="101">
        <f>ROUND(F51*H51,2)</f>
        <v>251553.17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5565335.6100000003</v>
      </c>
      <c r="G52" s="109" t="s">
        <v>6</v>
      </c>
      <c r="H52" s="403">
        <v>1.41E-2</v>
      </c>
      <c r="I52" s="101">
        <f>ROUND(F52*H52,2)</f>
        <v>78471.23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330024.40000000002</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28</v>
      </c>
      <c r="D60" s="143">
        <v>29.22</v>
      </c>
      <c r="E60" s="116">
        <f t="shared" si="10"/>
        <v>57.22</v>
      </c>
      <c r="F60" s="446" t="s">
        <v>13</v>
      </c>
      <c r="G60" s="445">
        <v>251</v>
      </c>
      <c r="H60" s="459">
        <f>'1461'!H60</f>
        <v>1173</v>
      </c>
      <c r="I60" s="101">
        <f t="shared" si="11"/>
        <v>67119.06</v>
      </c>
      <c r="N60" s="619"/>
      <c r="O60" s="619"/>
      <c r="P60" s="622"/>
      <c r="Q60" s="622"/>
      <c r="R60" s="40" t="s">
        <v>13</v>
      </c>
      <c r="S60" s="451">
        <v>251</v>
      </c>
      <c r="T60" s="462">
        <f t="shared" si="12"/>
        <v>1173</v>
      </c>
      <c r="U60" s="476">
        <f t="shared" si="13"/>
        <v>0</v>
      </c>
      <c r="V60" s="426"/>
    </row>
    <row r="61" spans="1:22" x14ac:dyDescent="0.25">
      <c r="A61" s="533"/>
      <c r="B61" s="533"/>
      <c r="C61" s="143">
        <v>1.5</v>
      </c>
      <c r="D61" s="143">
        <v>2</v>
      </c>
      <c r="E61" s="116">
        <f t="shared" si="10"/>
        <v>3.5</v>
      </c>
      <c r="F61" s="446" t="s">
        <v>13</v>
      </c>
      <c r="G61" s="445">
        <v>252</v>
      </c>
      <c r="H61" s="459">
        <f>'1461'!H61</f>
        <v>3506</v>
      </c>
      <c r="I61" s="101">
        <f t="shared" si="11"/>
        <v>12271</v>
      </c>
      <c r="N61" s="619"/>
      <c r="O61" s="619"/>
      <c r="P61" s="622"/>
      <c r="Q61" s="622"/>
      <c r="R61" s="40" t="s">
        <v>13</v>
      </c>
      <c r="S61" s="451">
        <v>252</v>
      </c>
      <c r="T61" s="462">
        <f t="shared" si="12"/>
        <v>3506</v>
      </c>
      <c r="U61" s="476">
        <f t="shared" si="13"/>
        <v>0</v>
      </c>
      <c r="V61" s="426"/>
    </row>
    <row r="62" spans="1:22" x14ac:dyDescent="0.25">
      <c r="A62" s="533"/>
      <c r="B62" s="533"/>
      <c r="C62" s="143">
        <v>0.5</v>
      </c>
      <c r="D62" s="143">
        <v>0</v>
      </c>
      <c r="E62" s="116">
        <f t="shared" si="10"/>
        <v>0.5</v>
      </c>
      <c r="F62" s="446" t="s">
        <v>13</v>
      </c>
      <c r="G62" s="445">
        <v>253</v>
      </c>
      <c r="H62" s="459">
        <f>'1461'!H62</f>
        <v>7023</v>
      </c>
      <c r="I62" s="101">
        <f t="shared" si="11"/>
        <v>3511.5</v>
      </c>
      <c r="N62" s="619"/>
      <c r="O62" s="619"/>
      <c r="P62" s="622"/>
      <c r="Q62" s="622"/>
      <c r="R62" s="40" t="s">
        <v>13</v>
      </c>
      <c r="S62" s="451">
        <v>253</v>
      </c>
      <c r="T62" s="462">
        <f t="shared" si="12"/>
        <v>7023</v>
      </c>
      <c r="U62" s="476">
        <f t="shared" si="13"/>
        <v>0</v>
      </c>
      <c r="V62" s="426"/>
    </row>
    <row r="63" spans="1:22" x14ac:dyDescent="0.25">
      <c r="A63" s="533"/>
      <c r="B63" s="533"/>
      <c r="C63" s="143">
        <v>16</v>
      </c>
      <c r="D63" s="143">
        <v>16.54</v>
      </c>
      <c r="E63" s="116">
        <f t="shared" si="10"/>
        <v>32.54</v>
      </c>
      <c r="F63" s="446" t="s">
        <v>14</v>
      </c>
      <c r="G63" s="445">
        <v>251</v>
      </c>
      <c r="H63" s="459">
        <f>'1461'!H63</f>
        <v>835</v>
      </c>
      <c r="I63" s="101">
        <f t="shared" si="11"/>
        <v>27170.9</v>
      </c>
      <c r="N63" s="619"/>
      <c r="O63" s="619"/>
      <c r="P63" s="622"/>
      <c r="Q63" s="622"/>
      <c r="R63" s="40" t="s">
        <v>14</v>
      </c>
      <c r="S63" s="451">
        <v>251</v>
      </c>
      <c r="T63" s="462">
        <f t="shared" si="12"/>
        <v>835</v>
      </c>
      <c r="U63" s="476">
        <f t="shared" si="13"/>
        <v>0</v>
      </c>
      <c r="V63" s="426"/>
    </row>
    <row r="64" spans="1:22" x14ac:dyDescent="0.25">
      <c r="A64" s="533"/>
      <c r="B64" s="533"/>
      <c r="C64" s="143">
        <v>2.5</v>
      </c>
      <c r="D64" s="143">
        <v>1.5</v>
      </c>
      <c r="E64" s="116">
        <f t="shared" si="10"/>
        <v>4</v>
      </c>
      <c r="F64" s="446" t="s">
        <v>14</v>
      </c>
      <c r="G64" s="445">
        <v>252</v>
      </c>
      <c r="H64" s="459">
        <f>'1461'!H64</f>
        <v>3168</v>
      </c>
      <c r="I64" s="101">
        <f t="shared" si="11"/>
        <v>12672</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48.5</v>
      </c>
      <c r="D66" s="97">
        <f>SUM(D57:D65)</f>
        <v>49.26</v>
      </c>
      <c r="E66" s="97">
        <f>SUM(E57:E65)</f>
        <v>97.759999999999991</v>
      </c>
      <c r="F66" s="520" t="s">
        <v>448</v>
      </c>
      <c r="G66" s="520"/>
      <c r="H66" s="520"/>
      <c r="I66" s="97">
        <f>SUM(I57:I65)</f>
        <v>122744.45999999999</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1007.3500000000001</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4.9550000000000002E-3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1036.9728</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4.5570000000000003E-3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1007.3500000000001</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5.3899999999999998E-3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1007.3500000000001</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4.96E-3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1007.3500000000001</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5.3959999999999998E-3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4.96E-3</v>
      </c>
      <c r="I85" s="101">
        <f>ROUND(F85*H85,2)</f>
        <v>221541.06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53"/>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4.9550000000000002E-3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5.3959999999999998E-3</v>
      </c>
      <c r="I90" s="101">
        <f>ROUND(F90*H90,2)</f>
        <v>87237.41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5.3899999999999998E-3</v>
      </c>
      <c r="I92" s="101">
        <f t="shared" ref="I92:I96" si="14">ROUND(F92*H92,2)</f>
        <v>54116.13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4.5570000000000003E-3</v>
      </c>
      <c r="I94" s="101">
        <f t="shared" si="14"/>
        <v>1089112.3999999999</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4.5570000000000003E-3</v>
      </c>
      <c r="I96" s="101">
        <f t="shared" si="14"/>
        <v>-7291.41</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554.04499999999996</v>
      </c>
      <c r="D102" s="515"/>
      <c r="E102" s="46">
        <f>H8</f>
        <v>1.0442</v>
      </c>
      <c r="F102" s="304">
        <f>'1461'!F102</f>
        <v>904.74</v>
      </c>
      <c r="G102" s="39" t="s">
        <v>12</v>
      </c>
      <c r="H102" s="101">
        <f>ROUND(C102*E102*F102,2)</f>
        <v>523422.66</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482.92779999999999</v>
      </c>
      <c r="D103" s="515"/>
      <c r="E103" s="46">
        <f>H8</f>
        <v>1.0442</v>
      </c>
      <c r="F103" s="304">
        <f>'1461'!F103</f>
        <v>906.93</v>
      </c>
      <c r="G103" s="39" t="s">
        <v>12</v>
      </c>
      <c r="H103" s="94">
        <f>ROUND(C103*E103*F103,2)</f>
        <v>457340.5</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1036.9728</v>
      </c>
      <c r="D104" s="528"/>
      <c r="E104" s="123"/>
      <c r="F104" s="123"/>
      <c r="G104" s="123"/>
      <c r="H104" s="124" t="s">
        <v>100</v>
      </c>
      <c r="I104" s="101">
        <f>IF(A1=75,0,H103+H102+H101)</f>
        <v>980763.15999999992</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5</v>
      </c>
      <c r="D110" s="143">
        <v>0</v>
      </c>
      <c r="E110" s="144">
        <f>(C110+D110)/2</f>
        <v>2.5</v>
      </c>
      <c r="F110" s="126" t="s">
        <v>30</v>
      </c>
      <c r="G110" s="305">
        <f>'1461'!G110</f>
        <v>565</v>
      </c>
      <c r="I110" s="101">
        <f>ROUND(G110*E110,2)</f>
        <v>1412.5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44">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42">
        <f>IF(D30=0,C118*2,C118+D118)</f>
        <v>0</v>
      </c>
      <c r="F118" s="628">
        <v>0</v>
      </c>
      <c r="G118" s="628"/>
      <c r="H118" s="61">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44">
        <f>IF(D31=0,C119*2,C119+D119)</f>
        <v>0</v>
      </c>
      <c r="F119" s="522">
        <f>ROUND(F118/2,2)</f>
        <v>0</v>
      </c>
      <c r="G119" s="522"/>
      <c r="H119" s="61">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44">
        <f>IF(D32=0,C120*2,C120+D120)</f>
        <v>0</v>
      </c>
      <c r="F120" s="523"/>
      <c r="G120" s="523"/>
      <c r="H120" s="63">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8114971.3200000003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7784946.9199999999</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7784946.9199999999</v>
      </c>
      <c r="I132" s="94">
        <f>ROUND(IF(E30=0,0,IF(E30&gt;250,-(((250/E30)*H132)*IF(G132="H",0.02,0.05)),IF(G132="H",-0.02*H132,-0.05*H132))),2)</f>
        <v>-96601.81</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8018369.5100000007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-699826.9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7318542.6100000003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665322.06000000006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292645.53999999998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309</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7"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91.76</v>
      </c>
      <c r="D18" s="143">
        <v>87.5</v>
      </c>
      <c r="E18" s="116">
        <f t="shared" si="1"/>
        <v>179.26</v>
      </c>
      <c r="F18" s="555">
        <f>'1461'!F18:G18</f>
        <v>0.98799999999999999</v>
      </c>
      <c r="G18" s="555"/>
      <c r="H18" s="80">
        <f t="shared" si="2"/>
        <v>177.10890000000001</v>
      </c>
      <c r="I18" s="101">
        <f t="shared" si="3"/>
        <v>950526.83</v>
      </c>
      <c r="N18" s="568" t="s">
        <v>24</v>
      </c>
      <c r="O18" s="568"/>
      <c r="P18" s="569">
        <f t="shared" si="0"/>
        <v>0</v>
      </c>
      <c r="Q18" s="569"/>
      <c r="R18" s="570">
        <v>1</v>
      </c>
      <c r="S18" s="570"/>
      <c r="T18" s="95">
        <f t="shared" si="4"/>
        <v>0</v>
      </c>
      <c r="U18" s="475">
        <f t="shared" si="5"/>
        <v>0</v>
      </c>
    </row>
    <row r="19" spans="1:21" x14ac:dyDescent="0.25">
      <c r="A19" s="517" t="s">
        <v>25</v>
      </c>
      <c r="B19" s="517"/>
      <c r="C19" s="143">
        <v>24.44</v>
      </c>
      <c r="D19" s="143">
        <v>24.61</v>
      </c>
      <c r="E19" s="116">
        <f t="shared" si="1"/>
        <v>49.05</v>
      </c>
      <c r="F19" s="555">
        <f>'1461'!F19:G19</f>
        <v>0.98799999999999999</v>
      </c>
      <c r="G19" s="555"/>
      <c r="H19" s="80">
        <f t="shared" si="2"/>
        <v>48.461399999999998</v>
      </c>
      <c r="I19" s="101">
        <f t="shared" si="3"/>
        <v>260087.78</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15.59</v>
      </c>
      <c r="D28" s="143">
        <v>15.98</v>
      </c>
      <c r="E28" s="116">
        <f t="shared" si="1"/>
        <v>31.57</v>
      </c>
      <c r="F28" s="555">
        <f>'1461'!F28:G28</f>
        <v>1.208</v>
      </c>
      <c r="G28" s="555"/>
      <c r="H28" s="80">
        <f t="shared" si="2"/>
        <v>38.136600000000001</v>
      </c>
      <c r="I28" s="101">
        <f t="shared" si="3"/>
        <v>204675.55</v>
      </c>
      <c r="N28" s="568" t="s">
        <v>87</v>
      </c>
      <c r="O28" s="568"/>
      <c r="P28" s="569">
        <f t="shared" si="0"/>
        <v>0</v>
      </c>
      <c r="Q28" s="569"/>
      <c r="R28" s="570">
        <v>1</v>
      </c>
      <c r="S28" s="570"/>
      <c r="T28" s="95">
        <f t="shared" si="4"/>
        <v>0</v>
      </c>
      <c r="U28" s="475">
        <f t="shared" si="5"/>
        <v>0</v>
      </c>
    </row>
    <row r="29" spans="1:21" x14ac:dyDescent="0.25">
      <c r="A29" s="517" t="s">
        <v>88</v>
      </c>
      <c r="B29" s="517"/>
      <c r="C29" s="110">
        <v>25.21</v>
      </c>
      <c r="D29" s="110">
        <v>27.65</v>
      </c>
      <c r="E29" s="116">
        <f t="shared" si="1"/>
        <v>52.86</v>
      </c>
      <c r="F29" s="555">
        <f>'1461'!F29:G29</f>
        <v>1.0720000000000001</v>
      </c>
      <c r="G29" s="555"/>
      <c r="H29" s="93">
        <f t="shared" si="2"/>
        <v>56.665900000000001</v>
      </c>
      <c r="I29" s="94">
        <f t="shared" si="3"/>
        <v>304120.56</v>
      </c>
      <c r="N29" s="585" t="s">
        <v>88</v>
      </c>
      <c r="O29" s="585"/>
      <c r="P29" s="569">
        <f t="shared" si="0"/>
        <v>0</v>
      </c>
      <c r="Q29" s="569"/>
      <c r="R29" s="586">
        <v>1</v>
      </c>
      <c r="S29" s="586"/>
      <c r="T29" s="95">
        <f t="shared" si="4"/>
        <v>0</v>
      </c>
      <c r="U29" s="475">
        <f t="shared" si="5"/>
        <v>0</v>
      </c>
    </row>
    <row r="30" spans="1:21" x14ac:dyDescent="0.25">
      <c r="A30" s="520" t="s">
        <v>5</v>
      </c>
      <c r="B30" s="520"/>
      <c r="C30" s="94">
        <f>SUM(C14:C29)</f>
        <v>157</v>
      </c>
      <c r="D30" s="94">
        <f>SUM(D14:D29)</f>
        <v>155.74</v>
      </c>
      <c r="E30" s="97">
        <f>SUM(E14:E29)</f>
        <v>312.74</v>
      </c>
      <c r="F30" s="536"/>
      <c r="G30" s="536"/>
      <c r="H30" s="99">
        <f>SUM(H14:H29)</f>
        <v>320.37280000000004</v>
      </c>
      <c r="I30" s="94">
        <f>SUM(I14:I29)</f>
        <v>1719410.72</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42">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44">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44">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44">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44">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36">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320.37280000000004</v>
      </c>
      <c r="F46" s="34"/>
      <c r="G46" s="106"/>
      <c r="H46" s="107" t="s">
        <v>98</v>
      </c>
      <c r="I46" s="94">
        <f>SUM(I44,I30)</f>
        <v>1719410.72</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1719410.72</v>
      </c>
      <c r="G51" s="109" t="s">
        <v>6</v>
      </c>
      <c r="H51" s="403">
        <v>4.5199999999999997E-2</v>
      </c>
      <c r="I51" s="101">
        <f>ROUND(F51*H51,2)</f>
        <v>77717.36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1719410.72</v>
      </c>
      <c r="G52" s="109" t="s">
        <v>6</v>
      </c>
      <c r="H52" s="403">
        <v>1.41E-2</v>
      </c>
      <c r="I52" s="101">
        <f>ROUND(F52*H52,2)</f>
        <v>24243.69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101961.05</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22.94</v>
      </c>
      <c r="D63" s="143">
        <v>23.61</v>
      </c>
      <c r="E63" s="116">
        <f t="shared" si="10"/>
        <v>46.55</v>
      </c>
      <c r="F63" s="446" t="s">
        <v>14</v>
      </c>
      <c r="G63" s="445">
        <v>251</v>
      </c>
      <c r="H63" s="459">
        <f>'1461'!H63</f>
        <v>835</v>
      </c>
      <c r="I63" s="101">
        <f t="shared" si="11"/>
        <v>38869.25</v>
      </c>
      <c r="N63" s="619"/>
      <c r="O63" s="619"/>
      <c r="P63" s="622"/>
      <c r="Q63" s="622"/>
      <c r="R63" s="40" t="s">
        <v>14</v>
      </c>
      <c r="S63" s="451">
        <v>251</v>
      </c>
      <c r="T63" s="462">
        <f t="shared" si="12"/>
        <v>835</v>
      </c>
      <c r="U63" s="476">
        <f t="shared" si="13"/>
        <v>0</v>
      </c>
      <c r="V63" s="426"/>
    </row>
    <row r="64" spans="1:22" x14ac:dyDescent="0.25">
      <c r="A64" s="533"/>
      <c r="B64" s="533"/>
      <c r="C64" s="143">
        <v>1.5</v>
      </c>
      <c r="D64" s="143">
        <v>1</v>
      </c>
      <c r="E64" s="116">
        <f t="shared" si="10"/>
        <v>2.5</v>
      </c>
      <c r="F64" s="446" t="s">
        <v>14</v>
      </c>
      <c r="G64" s="445">
        <v>252</v>
      </c>
      <c r="H64" s="459">
        <f>'1461'!H64</f>
        <v>3168</v>
      </c>
      <c r="I64" s="101">
        <f t="shared" si="11"/>
        <v>7920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24.44</v>
      </c>
      <c r="D66" s="97">
        <f>SUM(D57:D65)</f>
        <v>24.61</v>
      </c>
      <c r="E66" s="97">
        <f>SUM(E57:E65)</f>
        <v>49.05</v>
      </c>
      <c r="F66" s="520" t="s">
        <v>448</v>
      </c>
      <c r="G66" s="520"/>
      <c r="H66" s="520"/>
      <c r="I66" s="97">
        <f>SUM(I57:I65)</f>
        <v>46789.25</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312.74</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1.5380000000000001E-3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320.37280000000004</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1.408E-3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312.74</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1.673E-3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312.74</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1.5399999999999999E-3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312.74</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1.6750000000000001E-3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1.5399999999999999E-3</v>
      </c>
      <c r="I85" s="101">
        <f>ROUND(F85*H85,2)</f>
        <v>68784.929999999993</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53"/>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1.5380000000000001E-3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1.6750000000000001E-3</v>
      </c>
      <c r="I90" s="101">
        <f>ROUND(F90*H90,2)</f>
        <v>27079.81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1.673E-3</v>
      </c>
      <c r="I92" s="101">
        <f t="shared" ref="I92:I96" si="14">ROUND(F92*H92,2)</f>
        <v>16797.09</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1.408E-3</v>
      </c>
      <c r="I94" s="101">
        <f t="shared" si="14"/>
        <v>336508.72</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1.408E-3</v>
      </c>
      <c r="I96" s="101">
        <f t="shared" si="14"/>
        <v>-2252.87</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320.37280000000004</v>
      </c>
      <c r="D103" s="515"/>
      <c r="E103" s="46">
        <f>H8</f>
        <v>1.0442</v>
      </c>
      <c r="F103" s="304">
        <f>'1461'!F103</f>
        <v>906.93</v>
      </c>
      <c r="G103" s="39" t="s">
        <v>12</v>
      </c>
      <c r="H103" s="94">
        <f>ROUND(C103*E103*F103,2)</f>
        <v>303398.27</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320.37280000000004</v>
      </c>
      <c r="D104" s="528"/>
      <c r="E104" s="123"/>
      <c r="F104" s="123"/>
      <c r="G104" s="123"/>
      <c r="H104" s="124" t="s">
        <v>100</v>
      </c>
      <c r="I104" s="101">
        <f>IF(A1=75,0,H103+H102+H101)</f>
        <v>303398.27</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0</v>
      </c>
      <c r="E110" s="144">
        <f>(C110+D110)/2</f>
        <v>0</v>
      </c>
      <c r="F110" s="126" t="s">
        <v>30</v>
      </c>
      <c r="G110" s="305">
        <f>'1461'!G110</f>
        <v>565</v>
      </c>
      <c r="I110" s="101">
        <f>ROUND(G110*E110,2)</f>
        <v>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44">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42">
        <f>IF(D30=0,C118*2,C118+D118)</f>
        <v>0</v>
      </c>
      <c r="F118" s="628">
        <v>0</v>
      </c>
      <c r="G118" s="628"/>
      <c r="H118" s="61">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44">
        <f>IF(D31=0,C119*2,C119+D119)</f>
        <v>0</v>
      </c>
      <c r="F119" s="522">
        <f>ROUND(F118/2,2)</f>
        <v>0</v>
      </c>
      <c r="G119" s="522"/>
      <c r="H119" s="61">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44">
        <f>IF(D32=0,C120*2,C120+D120)</f>
        <v>0</v>
      </c>
      <c r="F120" s="523"/>
      <c r="G120" s="523"/>
      <c r="H120" s="63">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2516515.92</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2414554.87</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2414554.87</v>
      </c>
      <c r="I132" s="94">
        <f>ROUND(IF(E30=0,0,IF(E30&gt;250,-(((250/E30)*H132)*IF(G132="H",0.02,0.05)),IF(G132="H",-0.02*H132,-0.05*H132))),2)</f>
        <v>-96508.08</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2420007.84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-213399.23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2206608.61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200600.78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24219.66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369"/>
      <c r="Q146" s="73"/>
      <c r="R146" s="73"/>
      <c r="S146" s="73"/>
      <c r="T146" s="73"/>
      <c r="U146" s="73"/>
    </row>
    <row r="147" spans="1:21" x14ac:dyDescent="0.25">
      <c r="B147" s="69"/>
      <c r="C147" s="69"/>
      <c r="D147" s="69"/>
      <c r="E147" s="69"/>
      <c r="F147" s="69"/>
      <c r="G147" s="69"/>
      <c r="H147" s="65"/>
      <c r="I147" s="134"/>
      <c r="N147" s="73"/>
      <c r="O147" s="73"/>
      <c r="P147" s="369"/>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CCC"/>
  </sheetPr>
  <dimension ref="A1:V218"/>
  <sheetViews>
    <sheetView showGridLines="0" zoomScaleNormal="100" workbookViewId="0">
      <pane ySplit="1" topLeftCell="A108" activePane="bottomLeft" state="frozen"/>
      <selection activeCell="F97" sqref="F97"/>
      <selection pane="bottomLeft" activeCell="F138" sqref="F138"/>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110</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326.99</v>
      </c>
      <c r="D18" s="143">
        <v>314.5</v>
      </c>
      <c r="E18" s="116">
        <f t="shared" si="1"/>
        <v>641.49</v>
      </c>
      <c r="F18" s="555">
        <f>'1461'!F18:G18</f>
        <v>0.98799999999999999</v>
      </c>
      <c r="G18" s="555"/>
      <c r="H18" s="80">
        <f t="shared" si="2"/>
        <v>633.7921</v>
      </c>
      <c r="I18" s="101">
        <f t="shared" si="3"/>
        <v>3401502.67</v>
      </c>
      <c r="N18" s="568" t="s">
        <v>24</v>
      </c>
      <c r="O18" s="568"/>
      <c r="P18" s="569">
        <f t="shared" si="0"/>
        <v>0</v>
      </c>
      <c r="Q18" s="569"/>
      <c r="R18" s="570">
        <v>1</v>
      </c>
      <c r="S18" s="570"/>
      <c r="T18" s="95">
        <f t="shared" si="4"/>
        <v>0</v>
      </c>
      <c r="U18" s="475">
        <f t="shared" si="5"/>
        <v>0</v>
      </c>
    </row>
    <row r="19" spans="1:21" x14ac:dyDescent="0.25">
      <c r="A19" s="517" t="s">
        <v>25</v>
      </c>
      <c r="B19" s="517"/>
      <c r="C19" s="143">
        <v>113.58</v>
      </c>
      <c r="D19" s="143">
        <v>107.86</v>
      </c>
      <c r="E19" s="116">
        <f t="shared" si="1"/>
        <v>221.44</v>
      </c>
      <c r="F19" s="555">
        <f>'1461'!F19:G19</f>
        <v>0.98799999999999999</v>
      </c>
      <c r="G19" s="555"/>
      <c r="H19" s="80">
        <f t="shared" si="2"/>
        <v>218.78270000000001</v>
      </c>
      <c r="I19" s="101">
        <f t="shared" si="3"/>
        <v>1174186.2</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4.04</v>
      </c>
      <c r="D28" s="143">
        <v>3.35</v>
      </c>
      <c r="E28" s="116">
        <f t="shared" si="1"/>
        <v>7.3900000000000006</v>
      </c>
      <c r="F28" s="555">
        <f>'1461'!F28:G28</f>
        <v>1.208</v>
      </c>
      <c r="G28" s="555"/>
      <c r="H28" s="80">
        <f t="shared" si="2"/>
        <v>8.9270999999999994</v>
      </c>
      <c r="I28" s="101">
        <f t="shared" si="3"/>
        <v>47910.91</v>
      </c>
      <c r="N28" s="568" t="s">
        <v>87</v>
      </c>
      <c r="O28" s="568"/>
      <c r="P28" s="569">
        <f t="shared" si="0"/>
        <v>0</v>
      </c>
      <c r="Q28" s="569"/>
      <c r="R28" s="570">
        <v>1</v>
      </c>
      <c r="S28" s="570"/>
      <c r="T28" s="95">
        <f t="shared" si="4"/>
        <v>0</v>
      </c>
      <c r="U28" s="475">
        <f t="shared" si="5"/>
        <v>0</v>
      </c>
    </row>
    <row r="29" spans="1:21" x14ac:dyDescent="0.25">
      <c r="A29" s="517" t="s">
        <v>88</v>
      </c>
      <c r="B29" s="517"/>
      <c r="C29" s="110">
        <v>125.3</v>
      </c>
      <c r="D29" s="110">
        <v>127.2</v>
      </c>
      <c r="E29" s="154">
        <f t="shared" si="1"/>
        <v>252.5</v>
      </c>
      <c r="F29" s="555">
        <f>'1461'!F29:G29</f>
        <v>1.0720000000000001</v>
      </c>
      <c r="G29" s="555"/>
      <c r="H29" s="93">
        <f t="shared" si="2"/>
        <v>270.68</v>
      </c>
      <c r="I29" s="94">
        <f t="shared" si="3"/>
        <v>1452714.13</v>
      </c>
      <c r="N29" s="585" t="s">
        <v>88</v>
      </c>
      <c r="O29" s="585"/>
      <c r="P29" s="569">
        <f t="shared" si="0"/>
        <v>0</v>
      </c>
      <c r="Q29" s="569"/>
      <c r="R29" s="586">
        <v>1</v>
      </c>
      <c r="S29" s="586"/>
      <c r="T29" s="95">
        <f t="shared" si="4"/>
        <v>0</v>
      </c>
      <c r="U29" s="475">
        <f t="shared" si="5"/>
        <v>0</v>
      </c>
    </row>
    <row r="30" spans="1:21" x14ac:dyDescent="0.25">
      <c r="A30" s="520" t="s">
        <v>5</v>
      </c>
      <c r="B30" s="520"/>
      <c r="C30" s="94">
        <f>SUM(C14:C29)</f>
        <v>569.91</v>
      </c>
      <c r="D30" s="94">
        <f>SUM(D14:D29)</f>
        <v>552.91000000000008</v>
      </c>
      <c r="E30" s="94">
        <f>SUM(E14:E29)</f>
        <v>1122.8200000000002</v>
      </c>
      <c r="F30" s="536"/>
      <c r="G30" s="536"/>
      <c r="H30" s="99">
        <f>SUM(H14:H29)</f>
        <v>1132.1819</v>
      </c>
      <c r="I30" s="94">
        <f>SUM(I14:I29)</f>
        <v>6076313.9100000001</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1132.1819</v>
      </c>
      <c r="F46" s="34"/>
      <c r="G46" s="106"/>
      <c r="H46" s="107" t="s">
        <v>98</v>
      </c>
      <c r="I46" s="94">
        <f>SUM(I44,I30)</f>
        <v>6076313.9100000001</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6076313.9100000001</v>
      </c>
      <c r="G51" s="109" t="s">
        <v>6</v>
      </c>
      <c r="H51" s="403">
        <v>4.5199999999999997E-2</v>
      </c>
      <c r="I51" s="101">
        <f>ROUND(F51*H51,2)</f>
        <v>274649.39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6076313.9100000001</v>
      </c>
      <c r="G52" s="109" t="s">
        <v>6</v>
      </c>
      <c r="H52" s="403">
        <v>1.41E-2</v>
      </c>
      <c r="I52" s="101">
        <f>ROUND(F52*H52,2)</f>
        <v>85676.03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360325.42000000004</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106.58</v>
      </c>
      <c r="D63" s="143">
        <v>101.45</v>
      </c>
      <c r="E63" s="116">
        <f t="shared" si="10"/>
        <v>208.03</v>
      </c>
      <c r="F63" s="446" t="s">
        <v>14</v>
      </c>
      <c r="G63" s="445">
        <v>251</v>
      </c>
      <c r="H63" s="459">
        <f>'1461'!H63</f>
        <v>835</v>
      </c>
      <c r="I63" s="101">
        <f t="shared" si="11"/>
        <v>173705.05</v>
      </c>
      <c r="N63" s="619"/>
      <c r="O63" s="619"/>
      <c r="P63" s="622"/>
      <c r="Q63" s="622"/>
      <c r="R63" s="40" t="s">
        <v>14</v>
      </c>
      <c r="S63" s="451">
        <v>251</v>
      </c>
      <c r="T63" s="462">
        <f t="shared" si="12"/>
        <v>835</v>
      </c>
      <c r="U63" s="476">
        <f t="shared" si="13"/>
        <v>0</v>
      </c>
      <c r="V63" s="426"/>
    </row>
    <row r="64" spans="1:22" x14ac:dyDescent="0.25">
      <c r="A64" s="533"/>
      <c r="B64" s="533"/>
      <c r="C64" s="143">
        <v>7</v>
      </c>
      <c r="D64" s="143">
        <v>6.41</v>
      </c>
      <c r="E64" s="116">
        <f t="shared" si="10"/>
        <v>13.41</v>
      </c>
      <c r="F64" s="446" t="s">
        <v>14</v>
      </c>
      <c r="G64" s="445">
        <v>252</v>
      </c>
      <c r="H64" s="459">
        <f>'1461'!H64</f>
        <v>3168</v>
      </c>
      <c r="I64" s="101">
        <f t="shared" si="11"/>
        <v>42482.879999999997</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113.58</v>
      </c>
      <c r="D66" s="97">
        <f>SUM(D57:D65)</f>
        <v>107.86</v>
      </c>
      <c r="E66" s="97">
        <f>SUM(E57:E65)</f>
        <v>221.44</v>
      </c>
      <c r="F66" s="520" t="s">
        <v>448</v>
      </c>
      <c r="G66" s="520"/>
      <c r="H66" s="520"/>
      <c r="I66" s="97">
        <f>SUM(I57:I65)</f>
        <v>216187.93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1122.8200000000002</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5.5230000000000001E-3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1132.1819</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4.9760000000000004E-3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1122.8200000000002</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6.0070000000000002E-3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1122.8200000000002</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5.5290000000000001E-3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1122.8200000000002</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6.0150000000000004E-3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5.5290000000000001E-3</v>
      </c>
      <c r="I85" s="101">
        <f>ROUND(F85*H85,2)</f>
        <v>246955.75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5.5230000000000001E-3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6.0150000000000004E-3</v>
      </c>
      <c r="I90" s="101">
        <f>ROUND(F90*H90,2)</f>
        <v>97244.82</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6.0070000000000002E-3</v>
      </c>
      <c r="I92" s="101">
        <f t="shared" ref="I92:I96" si="14">ROUND(F92*H92,2)</f>
        <v>60310.87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4.9760000000000004E-3</v>
      </c>
      <c r="I94" s="101">
        <f t="shared" si="14"/>
        <v>1189252.43</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4.9760000000000004E-3</v>
      </c>
      <c r="I96" s="101">
        <f t="shared" si="14"/>
        <v>-7961.83</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1132.1819</v>
      </c>
      <c r="D103" s="515"/>
      <c r="E103" s="46">
        <f>H8</f>
        <v>1.0442</v>
      </c>
      <c r="F103" s="304">
        <f>'1461'!F103</f>
        <v>906.93</v>
      </c>
      <c r="G103" s="39" t="s">
        <v>12</v>
      </c>
      <c r="H103" s="94">
        <f>ROUND(C103*E103*F103,2)</f>
        <v>1072194.72</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1132.1819</v>
      </c>
      <c r="D104" s="528"/>
      <c r="E104" s="123"/>
      <c r="F104" s="123"/>
      <c r="G104" s="123"/>
      <c r="H104" s="124" t="s">
        <v>100</v>
      </c>
      <c r="I104" s="101">
        <f>IF(A1=75,0,H103+H102+H101)</f>
        <v>1072194.72</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8"/>
      <c r="D107" s="8"/>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656</v>
      </c>
      <c r="D110" s="143">
        <v>644</v>
      </c>
      <c r="E110" s="116">
        <f>(C110+D110)/2</f>
        <v>650</v>
      </c>
      <c r="F110" s="126" t="s">
        <v>30</v>
      </c>
      <c r="G110" s="305">
        <f>'1461'!G110</f>
        <v>565</v>
      </c>
      <c r="I110" s="101">
        <f>ROUND(G110*E110,2)</f>
        <v>367250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9317748.5999999996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8957423.1799999997</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8957423.1799999997</v>
      </c>
      <c r="I132" s="94">
        <f>ROUND(IF(E30=0,0,IF(E30&gt;250,-(((250/E30)*H132)*IF(G132="H",0.02,0.05)),IF(G132="H",-0.02*H132,-0.05*H132))),2)</f>
        <v>-39888.06</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9277860.5399999991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-819717.67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8458142.8699999992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768922.08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139260.40359999999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370</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372</v>
      </c>
      <c r="B152" s="348"/>
      <c r="C152" s="348"/>
      <c r="D152" s="348"/>
      <c r="E152" s="348"/>
      <c r="F152" s="348"/>
      <c r="G152" s="348"/>
      <c r="H152" s="348"/>
      <c r="I152" s="348"/>
      <c r="N152" s="612"/>
      <c r="O152" s="612"/>
      <c r="P152" s="612"/>
      <c r="Q152" s="612"/>
      <c r="R152" s="612"/>
      <c r="S152" s="612"/>
      <c r="T152" s="612"/>
      <c r="U152" s="612"/>
    </row>
    <row r="153" spans="1:21" s="76" customFormat="1" x14ac:dyDescent="0.2">
      <c r="A153" s="346" t="s">
        <v>373</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374</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375</v>
      </c>
      <c r="B155" s="348"/>
      <c r="C155" s="348"/>
      <c r="D155" s="348"/>
      <c r="E155" s="348"/>
      <c r="F155" s="348"/>
      <c r="G155" s="348"/>
      <c r="H155" s="348"/>
      <c r="I155" s="348"/>
      <c r="N155" s="78"/>
    </row>
    <row r="156" spans="1:21" s="76" customFormat="1" x14ac:dyDescent="0.2">
      <c r="A156" s="346" t="s">
        <v>377</v>
      </c>
      <c r="B156" s="348"/>
      <c r="C156" s="348"/>
      <c r="D156" s="348"/>
      <c r="E156" s="348"/>
      <c r="F156" s="348"/>
      <c r="G156" s="348"/>
      <c r="H156" s="348"/>
      <c r="I156" s="348"/>
      <c r="N156" s="78"/>
    </row>
    <row r="157" spans="1:21" s="76" customFormat="1" x14ac:dyDescent="0.2">
      <c r="A157" s="352" t="s">
        <v>376</v>
      </c>
      <c r="B157" s="348"/>
      <c r="C157" s="348"/>
      <c r="D157" s="348"/>
      <c r="E157" s="348"/>
      <c r="F157" s="348"/>
      <c r="G157" s="348"/>
      <c r="H157" s="348"/>
      <c r="I157" s="348"/>
      <c r="N157" s="78"/>
    </row>
    <row r="158" spans="1:21" s="76" customFormat="1" x14ac:dyDescent="0.2">
      <c r="A158" s="346" t="s">
        <v>378</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381</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383</v>
      </c>
      <c r="B162" s="348"/>
      <c r="C162" s="348"/>
      <c r="D162" s="348"/>
      <c r="E162" s="348"/>
      <c r="F162" s="348"/>
      <c r="G162" s="348"/>
      <c r="H162" s="348"/>
      <c r="I162" s="348"/>
      <c r="N162" s="78"/>
    </row>
    <row r="163" spans="1:21" s="76" customFormat="1" ht="15.75" customHeight="1" x14ac:dyDescent="0.2">
      <c r="A163" s="352" t="s">
        <v>382</v>
      </c>
      <c r="B163" s="348"/>
      <c r="C163" s="348"/>
      <c r="D163" s="348"/>
      <c r="E163" s="348"/>
      <c r="F163" s="348"/>
      <c r="G163" s="348"/>
      <c r="H163" s="348"/>
      <c r="I163" s="348"/>
      <c r="N163" s="78"/>
    </row>
    <row r="164" spans="1:21" s="76" customFormat="1" ht="15.75" customHeight="1" x14ac:dyDescent="0.2">
      <c r="A164" s="346" t="s">
        <v>384</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386</v>
      </c>
      <c r="B166" s="348"/>
      <c r="C166" s="348"/>
      <c r="D166" s="348"/>
      <c r="E166" s="348"/>
      <c r="F166" s="348"/>
      <c r="G166" s="348"/>
      <c r="H166" s="348"/>
      <c r="I166" s="348"/>
      <c r="N166" s="78"/>
    </row>
    <row r="167" spans="1:21" s="76" customFormat="1" ht="15.75" customHeight="1" x14ac:dyDescent="0.2">
      <c r="A167" s="352" t="s">
        <v>385</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387</v>
      </c>
      <c r="B172" s="358"/>
      <c r="C172" s="358"/>
      <c r="D172" s="358"/>
      <c r="E172" s="358"/>
      <c r="F172" s="358"/>
      <c r="G172" s="358"/>
      <c r="H172" s="358"/>
      <c r="I172" s="358"/>
      <c r="J172" s="3"/>
      <c r="K172" s="3"/>
      <c r="L172" s="3"/>
      <c r="M172" s="3"/>
      <c r="N172" s="78"/>
    </row>
    <row r="173" spans="1:21" s="76" customFormat="1" ht="15.75" customHeight="1" x14ac:dyDescent="0.2">
      <c r="A173" s="364" t="s">
        <v>388</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CCC"/>
  </sheetPr>
  <dimension ref="A1:V218"/>
  <sheetViews>
    <sheetView showGridLines="0" zoomScaleNormal="100" workbookViewId="0">
      <pane ySplit="1" topLeftCell="A112" activePane="bottomLeft" state="frozen"/>
      <selection activeCell="F97" sqref="F97"/>
      <selection pane="bottomLeft" activeCell="J148" sqref="J148"/>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352</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151"/>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7"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14.88</v>
      </c>
      <c r="D18" s="143">
        <v>13.47</v>
      </c>
      <c r="E18" s="116">
        <f t="shared" si="1"/>
        <v>28.35</v>
      </c>
      <c r="F18" s="555">
        <f>'1461'!F18:G18</f>
        <v>0.98799999999999999</v>
      </c>
      <c r="G18" s="555"/>
      <c r="H18" s="80">
        <f t="shared" si="2"/>
        <v>28.009799999999998</v>
      </c>
      <c r="I18" s="101">
        <f t="shared" si="3"/>
        <v>150325.97</v>
      </c>
      <c r="N18" s="568" t="s">
        <v>24</v>
      </c>
      <c r="O18" s="568"/>
      <c r="P18" s="569">
        <f t="shared" si="0"/>
        <v>0</v>
      </c>
      <c r="Q18" s="569"/>
      <c r="R18" s="570">
        <v>1</v>
      </c>
      <c r="S18" s="570"/>
      <c r="T18" s="95">
        <f t="shared" si="4"/>
        <v>0</v>
      </c>
      <c r="U18" s="475">
        <f t="shared" si="5"/>
        <v>0</v>
      </c>
    </row>
    <row r="19" spans="1:21" x14ac:dyDescent="0.25">
      <c r="A19" s="517" t="s">
        <v>25</v>
      </c>
      <c r="B19" s="517"/>
      <c r="C19" s="143">
        <v>2</v>
      </c>
      <c r="D19" s="143">
        <v>2</v>
      </c>
      <c r="E19" s="116">
        <f t="shared" si="1"/>
        <v>4</v>
      </c>
      <c r="F19" s="555">
        <f>'1461'!F19:G19</f>
        <v>0.98799999999999999</v>
      </c>
      <c r="G19" s="555"/>
      <c r="H19" s="80">
        <f t="shared" si="2"/>
        <v>3.952</v>
      </c>
      <c r="I19" s="101">
        <f t="shared" si="3"/>
        <v>21210.01</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2.19</v>
      </c>
      <c r="D28" s="143">
        <v>1.81</v>
      </c>
      <c r="E28" s="116">
        <f t="shared" si="1"/>
        <v>4</v>
      </c>
      <c r="F28" s="555">
        <f>'1461'!F28:G28</f>
        <v>1.208</v>
      </c>
      <c r="G28" s="555"/>
      <c r="H28" s="80">
        <f t="shared" si="2"/>
        <v>4.8319999999999999</v>
      </c>
      <c r="I28" s="101">
        <f t="shared" si="3"/>
        <v>25932.89</v>
      </c>
      <c r="N28" s="568" t="s">
        <v>87</v>
      </c>
      <c r="O28" s="568"/>
      <c r="P28" s="569">
        <f t="shared" si="0"/>
        <v>0</v>
      </c>
      <c r="Q28" s="569"/>
      <c r="R28" s="570">
        <v>1</v>
      </c>
      <c r="S28" s="570"/>
      <c r="T28" s="95">
        <f t="shared" si="4"/>
        <v>0</v>
      </c>
      <c r="U28" s="475">
        <f t="shared" si="5"/>
        <v>0</v>
      </c>
    </row>
    <row r="29" spans="1:21" x14ac:dyDescent="0.25">
      <c r="A29" s="517" t="s">
        <v>88</v>
      </c>
      <c r="B29" s="517"/>
      <c r="C29" s="110">
        <v>0.88</v>
      </c>
      <c r="D29" s="110">
        <v>1.01</v>
      </c>
      <c r="E29" s="154">
        <f t="shared" si="1"/>
        <v>1.8900000000000001</v>
      </c>
      <c r="F29" s="555">
        <f>'1461'!F29:G29</f>
        <v>1.0720000000000001</v>
      </c>
      <c r="G29" s="555"/>
      <c r="H29" s="93">
        <f t="shared" si="2"/>
        <v>2.0261</v>
      </c>
      <c r="I29" s="94">
        <f t="shared" si="3"/>
        <v>10873.89</v>
      </c>
      <c r="N29" s="585" t="s">
        <v>88</v>
      </c>
      <c r="O29" s="585"/>
      <c r="P29" s="569">
        <f t="shared" si="0"/>
        <v>0</v>
      </c>
      <c r="Q29" s="569"/>
      <c r="R29" s="586">
        <v>1</v>
      </c>
      <c r="S29" s="586"/>
      <c r="T29" s="95">
        <f t="shared" si="4"/>
        <v>0</v>
      </c>
      <c r="U29" s="475">
        <f t="shared" si="5"/>
        <v>0</v>
      </c>
    </row>
    <row r="30" spans="1:21" x14ac:dyDescent="0.25">
      <c r="A30" s="520" t="s">
        <v>5</v>
      </c>
      <c r="B30" s="520"/>
      <c r="C30" s="94">
        <f>SUM(C14:C29)</f>
        <v>19.950000000000003</v>
      </c>
      <c r="D30" s="94">
        <f>SUM(D14:D29)</f>
        <v>18.290000000000003</v>
      </c>
      <c r="E30" s="94">
        <f>SUM(E14:E29)</f>
        <v>38.24</v>
      </c>
      <c r="F30" s="536"/>
      <c r="G30" s="536"/>
      <c r="H30" s="99">
        <f>SUM(H14:H29)</f>
        <v>38.819899999999997</v>
      </c>
      <c r="I30" s="94">
        <f>SUM(I14:I29)</f>
        <v>208342.76</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38.819899999999997</v>
      </c>
      <c r="F46" s="34"/>
      <c r="G46" s="106"/>
      <c r="H46" s="107" t="s">
        <v>98</v>
      </c>
      <c r="I46" s="94">
        <f>SUM(I44,I30)</f>
        <v>208342.76</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208342.76</v>
      </c>
      <c r="G51" s="109" t="s">
        <v>6</v>
      </c>
      <c r="H51" s="403">
        <v>4.5199999999999997E-2</v>
      </c>
      <c r="I51" s="101">
        <f>ROUND(F51*H51,2)</f>
        <v>9417.09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208342.76</v>
      </c>
      <c r="G52" s="109" t="s">
        <v>6</v>
      </c>
      <c r="H52" s="403">
        <v>1.41E-2</v>
      </c>
      <c r="I52" s="101">
        <f>ROUND(F52*H52,2)</f>
        <v>2937.63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12354.720000000001</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1</v>
      </c>
      <c r="D63" s="143">
        <v>1</v>
      </c>
      <c r="E63" s="116">
        <f t="shared" si="10"/>
        <v>2</v>
      </c>
      <c r="F63" s="446" t="s">
        <v>14</v>
      </c>
      <c r="G63" s="445">
        <v>251</v>
      </c>
      <c r="H63" s="459">
        <f>'1461'!H63</f>
        <v>835</v>
      </c>
      <c r="I63" s="101">
        <f t="shared" si="11"/>
        <v>1670</v>
      </c>
      <c r="N63" s="619"/>
      <c r="O63" s="619"/>
      <c r="P63" s="622"/>
      <c r="Q63" s="622"/>
      <c r="R63" s="40" t="s">
        <v>14</v>
      </c>
      <c r="S63" s="451">
        <v>251</v>
      </c>
      <c r="T63" s="462">
        <f t="shared" si="12"/>
        <v>835</v>
      </c>
      <c r="U63" s="476">
        <f t="shared" si="13"/>
        <v>0</v>
      </c>
      <c r="V63" s="426"/>
    </row>
    <row r="64" spans="1:22" x14ac:dyDescent="0.25">
      <c r="A64" s="533"/>
      <c r="B64" s="533"/>
      <c r="C64" s="143">
        <v>1</v>
      </c>
      <c r="D64" s="143">
        <v>1</v>
      </c>
      <c r="E64" s="116">
        <f t="shared" si="10"/>
        <v>2</v>
      </c>
      <c r="F64" s="446" t="s">
        <v>14</v>
      </c>
      <c r="G64" s="445">
        <v>252</v>
      </c>
      <c r="H64" s="459">
        <f>'1461'!H64</f>
        <v>3168</v>
      </c>
      <c r="I64" s="101">
        <f t="shared" si="11"/>
        <v>6336</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2</v>
      </c>
      <c r="D66" s="97">
        <f>SUM(D57:D65)</f>
        <v>2</v>
      </c>
      <c r="E66" s="97">
        <f>SUM(E57:E65)</f>
        <v>4</v>
      </c>
      <c r="F66" s="520" t="s">
        <v>448</v>
      </c>
      <c r="G66" s="520"/>
      <c r="H66" s="520"/>
      <c r="I66" s="97">
        <f>SUM(I57:I65)</f>
        <v>8006</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38.24</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1.8799999999999999E-4</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38.819899999999997</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1.7100000000000001E-4</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38.24</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2.05E-4</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38.24</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1.8799999999999999E-4</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38.24</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2.05E-4</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1.8799999999999999E-4</v>
      </c>
      <c r="I85" s="101">
        <f>ROUND(F85*H85,2)</f>
        <v>8397.1200000000008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1.8799999999999999E-4</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2.05E-4</v>
      </c>
      <c r="I90" s="101">
        <f>ROUND(F90*H90,2)</f>
        <v>3314.25</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2.05E-4</v>
      </c>
      <c r="I92" s="101">
        <f t="shared" ref="I92:I96" si="14">ROUND(F92*H92,2)</f>
        <v>2058.2199999999998</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1.7100000000000001E-4</v>
      </c>
      <c r="I94" s="101">
        <f t="shared" si="14"/>
        <v>40868.6</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1.7100000000000001E-4</v>
      </c>
      <c r="I96" s="101">
        <f t="shared" si="14"/>
        <v>-273.61</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38.819899999999997</v>
      </c>
      <c r="D103" s="515"/>
      <c r="E103" s="46">
        <f>H8</f>
        <v>1.0442</v>
      </c>
      <c r="F103" s="304">
        <f>'1461'!F103</f>
        <v>906.93</v>
      </c>
      <c r="G103" s="39" t="s">
        <v>12</v>
      </c>
      <c r="H103" s="94">
        <f>ROUND(C103*E103*F103,2)</f>
        <v>36763.08</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38.819899999999997</v>
      </c>
      <c r="D104" s="528"/>
      <c r="E104" s="123"/>
      <c r="F104" s="123"/>
      <c r="G104" s="123"/>
      <c r="H104" s="124" t="s">
        <v>100</v>
      </c>
      <c r="I104" s="101">
        <f>IF(A1=75,0,H103+H102+H101)</f>
        <v>36763.08</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v>44829</v>
      </c>
      <c r="D109" s="325"/>
      <c r="E109" s="325" t="s">
        <v>2</v>
      </c>
      <c r="F109" s="43"/>
      <c r="G109" s="43"/>
      <c r="H109" s="43"/>
      <c r="I109" s="43"/>
      <c r="N109" s="45"/>
      <c r="O109" s="45"/>
      <c r="P109" s="45"/>
      <c r="Q109" s="125"/>
      <c r="R109" s="125"/>
      <c r="S109" s="125"/>
      <c r="T109" s="125"/>
      <c r="U109" s="103"/>
    </row>
    <row r="110" spans="1:21" x14ac:dyDescent="0.25">
      <c r="A110" s="529" t="s">
        <v>379</v>
      </c>
      <c r="B110" s="550"/>
      <c r="C110" s="143">
        <v>2</v>
      </c>
      <c r="D110" s="143">
        <v>0</v>
      </c>
      <c r="E110" s="116">
        <f>(C110+D110)/2</f>
        <v>1</v>
      </c>
      <c r="F110" s="126" t="s">
        <v>30</v>
      </c>
      <c r="G110" s="305">
        <f>'1461'!G110</f>
        <v>565</v>
      </c>
      <c r="I110" s="101">
        <f>ROUND(G110*E110,2)</f>
        <v>565</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308041.42000000004</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295686.70000000007</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295686.70000000007</v>
      </c>
      <c r="I132" s="94">
        <f>ROUND(IF(E30=0,0,IF(E30&gt;250,-(((250/E30)*H132)*IF(G132="H",0.02,0.05)),IF(G132="H",-0.02*H132,-0.05*H132))),2)</f>
        <v>-14784.34</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293257.08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-25359.53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267897.55000000005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24354.32</v>
      </c>
      <c r="J142" s="237"/>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42"/>
  <sheetViews>
    <sheetView zoomScale="90" zoomScaleNormal="90" workbookViewId="0">
      <selection activeCell="K8" sqref="K8"/>
    </sheetView>
  </sheetViews>
  <sheetFormatPr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275</v>
      </c>
      <c r="C2" s="171"/>
      <c r="D2" s="171"/>
      <c r="E2" s="161"/>
      <c r="F2" s="161"/>
      <c r="G2" s="161"/>
      <c r="H2" s="161"/>
    </row>
    <row r="3" spans="1:11" x14ac:dyDescent="0.25">
      <c r="B3" s="172" t="s">
        <v>260</v>
      </c>
      <c r="C3" s="172"/>
      <c r="D3" s="172"/>
      <c r="E3" s="284" t="str">
        <f>'1461'!F4</f>
        <v>Aug 2023</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268</v>
      </c>
    </row>
    <row r="9" spans="1:11" x14ac:dyDescent="0.25">
      <c r="A9" s="158"/>
      <c r="B9" s="173" t="s">
        <v>238</v>
      </c>
      <c r="C9" s="173"/>
      <c r="D9" s="173"/>
      <c r="E9" s="245">
        <v>0</v>
      </c>
      <c r="F9" s="158"/>
      <c r="G9" s="158"/>
      <c r="H9" s="158"/>
      <c r="K9" s="249" t="s">
        <v>268</v>
      </c>
    </row>
    <row r="10" spans="1:11" x14ac:dyDescent="0.25">
      <c r="A10" s="158"/>
      <c r="B10" s="162" t="s">
        <v>138</v>
      </c>
      <c r="C10" s="162"/>
      <c r="D10" s="162"/>
      <c r="E10" s="245">
        <v>126865223</v>
      </c>
      <c r="F10" s="158"/>
      <c r="G10" s="158"/>
      <c r="H10" s="158"/>
      <c r="K10" s="249" t="s">
        <v>268</v>
      </c>
    </row>
    <row r="11" spans="1:11" x14ac:dyDescent="0.25">
      <c r="A11" s="158"/>
      <c r="B11" s="162" t="s">
        <v>139</v>
      </c>
      <c r="C11" s="162"/>
      <c r="D11" s="162"/>
      <c r="E11" s="245">
        <v>0</v>
      </c>
      <c r="F11" s="158"/>
      <c r="G11" s="158"/>
      <c r="H11" s="158"/>
      <c r="K11" s="249" t="s">
        <v>268</v>
      </c>
    </row>
    <row r="12" spans="1:11" x14ac:dyDescent="0.25">
      <c r="A12" s="158"/>
      <c r="B12" s="162" t="s">
        <v>140</v>
      </c>
      <c r="C12" s="162"/>
      <c r="D12" s="162"/>
      <c r="E12" s="245">
        <v>8613749</v>
      </c>
      <c r="F12" s="158"/>
      <c r="G12" s="158"/>
      <c r="H12" s="158"/>
      <c r="K12" s="249" t="s">
        <v>268</v>
      </c>
    </row>
    <row r="13" spans="1:11" x14ac:dyDescent="0.25">
      <c r="A13" s="158"/>
      <c r="B13" s="162" t="s">
        <v>141</v>
      </c>
      <c r="C13" s="162"/>
      <c r="D13" s="162"/>
      <c r="E13" s="245">
        <v>14865036</v>
      </c>
      <c r="F13" s="158"/>
      <c r="G13" s="158"/>
      <c r="H13" s="158"/>
      <c r="K13" s="249" t="s">
        <v>268</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268</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246</v>
      </c>
      <c r="C22" s="167"/>
      <c r="D22" s="167"/>
      <c r="E22" s="247">
        <v>0</v>
      </c>
      <c r="F22" s="158"/>
      <c r="G22" s="158"/>
      <c r="H22" s="158"/>
    </row>
    <row r="23" spans="1:8" x14ac:dyDescent="0.25">
      <c r="A23" s="158"/>
      <c r="B23" s="259" t="s">
        <v>247</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248</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250</v>
      </c>
      <c r="C36" s="185"/>
      <c r="D36" s="185"/>
      <c r="E36" s="276">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5" t="s">
        <v>271</v>
      </c>
      <c r="B41" s="296"/>
      <c r="C41" s="296"/>
      <c r="D41" s="296"/>
      <c r="E41" s="296"/>
    </row>
    <row r="42" spans="1:8" x14ac:dyDescent="0.25">
      <c r="A42" s="295" t="s">
        <v>272</v>
      </c>
      <c r="B42" s="296"/>
      <c r="C42" s="296"/>
      <c r="D42" s="296"/>
      <c r="E42" s="2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CCC"/>
  </sheetPr>
  <dimension ref="A1:V218"/>
  <sheetViews>
    <sheetView showGridLines="0" zoomScaleNormal="100" workbookViewId="0">
      <pane ySplit="1" topLeftCell="A105" activePane="bottomLeft" state="frozen"/>
      <selection activeCell="F97" sqref="F97"/>
      <selection pane="bottomLeft" activeCell="H9" sqref="H9"/>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111</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20.440000000000001</v>
      </c>
      <c r="D19" s="143">
        <v>25</v>
      </c>
      <c r="E19" s="116">
        <f t="shared" si="1"/>
        <v>45.44</v>
      </c>
      <c r="F19" s="555">
        <f>'1461'!F19:G19</f>
        <v>0.98799999999999999</v>
      </c>
      <c r="G19" s="555"/>
      <c r="H19" s="80">
        <f t="shared" si="2"/>
        <v>44.8947</v>
      </c>
      <c r="I19" s="101">
        <f t="shared" si="3"/>
        <v>240945.64</v>
      </c>
      <c r="J19" s="65" t="str">
        <f>IF(ROUND(E19,2)=ROUND(SUM(E63:E65),2)," ","CHECK 4-8 LINES BELOW")</f>
        <v xml:space="preserve"> </v>
      </c>
      <c r="N19" s="568" t="s">
        <v>25</v>
      </c>
      <c r="O19" s="568"/>
      <c r="P19" s="569">
        <f t="shared" si="0"/>
        <v>45.44</v>
      </c>
      <c r="Q19" s="569"/>
      <c r="R19" s="570">
        <v>1</v>
      </c>
      <c r="S19" s="570"/>
      <c r="T19" s="95">
        <f t="shared" si="4"/>
        <v>45.44</v>
      </c>
      <c r="U19" s="474">
        <f t="shared" si="5"/>
        <v>243872.21</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13.44</v>
      </c>
      <c r="D22" s="143">
        <v>10.29</v>
      </c>
      <c r="E22" s="116">
        <f t="shared" si="1"/>
        <v>23.729999999999997</v>
      </c>
      <c r="F22" s="555">
        <f>'1461'!F22:G22</f>
        <v>3.706</v>
      </c>
      <c r="G22" s="555"/>
      <c r="H22" s="80">
        <f t="shared" si="2"/>
        <v>87.943399999999997</v>
      </c>
      <c r="I22" s="101">
        <f t="shared" si="3"/>
        <v>471983.97</v>
      </c>
      <c r="N22" s="568" t="s">
        <v>81</v>
      </c>
      <c r="O22" s="568"/>
      <c r="P22" s="569">
        <f t="shared" si="0"/>
        <v>23.729999999999997</v>
      </c>
      <c r="Q22" s="569"/>
      <c r="R22" s="570">
        <v>1</v>
      </c>
      <c r="S22" s="570"/>
      <c r="T22" s="95">
        <f t="shared" si="4"/>
        <v>23.73</v>
      </c>
      <c r="U22" s="475">
        <f t="shared" si="5"/>
        <v>127356.68</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33.880000000000003</v>
      </c>
      <c r="D30" s="94">
        <f>SUM(D14:D29)</f>
        <v>35.29</v>
      </c>
      <c r="E30" s="94">
        <f>SUM(E14:E29)</f>
        <v>69.169999999999987</v>
      </c>
      <c r="F30" s="536"/>
      <c r="G30" s="536"/>
      <c r="H30" s="99">
        <f>SUM(H14:H29)</f>
        <v>132.8381</v>
      </c>
      <c r="I30" s="94">
        <f>SUM(I14:I29)</f>
        <v>712929.61</v>
      </c>
      <c r="N30" s="587" t="s">
        <v>5</v>
      </c>
      <c r="O30" s="587"/>
      <c r="P30" s="588">
        <f>SUM(P14:P29)</f>
        <v>69.169999999999987</v>
      </c>
      <c r="Q30" s="588"/>
      <c r="R30" s="589"/>
      <c r="S30" s="589"/>
      <c r="T30" s="100">
        <f>SUM(T14:T29)</f>
        <v>69.17</v>
      </c>
      <c r="U30" s="475">
        <f>SUM(U14:U29)</f>
        <v>371228.89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132.8381</v>
      </c>
      <c r="F46" s="34"/>
      <c r="G46" s="106"/>
      <c r="H46" s="107" t="s">
        <v>98</v>
      </c>
      <c r="I46" s="94">
        <f>SUM(I44,I30)</f>
        <v>712929.61</v>
      </c>
      <c r="N46" s="613" t="s">
        <v>44</v>
      </c>
      <c r="O46" s="613"/>
      <c r="P46" s="613"/>
      <c r="Q46" s="613"/>
      <c r="R46" s="35">
        <f>R44+T30</f>
        <v>69.17</v>
      </c>
      <c r="S46" s="589" t="s">
        <v>42</v>
      </c>
      <c r="T46" s="589"/>
      <c r="U46" s="108">
        <f>SUM(U44,U30)</f>
        <v>371228.89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712929.61</v>
      </c>
      <c r="G51" s="109" t="s">
        <v>6</v>
      </c>
      <c r="H51" s="403">
        <v>4.5199999999999997E-2</v>
      </c>
      <c r="I51" s="101">
        <f>ROUND(F51*H51,2)</f>
        <v>32224.42</v>
      </c>
      <c r="N51" s="408"/>
      <c r="O51" s="409" t="s">
        <v>398</v>
      </c>
      <c r="P51" s="28"/>
      <c r="Q51" s="44" t="s">
        <v>399</v>
      </c>
      <c r="R51" s="410">
        <f>U30</f>
        <v>371228.89</v>
      </c>
      <c r="S51" s="411" t="s">
        <v>6</v>
      </c>
      <c r="T51" s="412">
        <v>4.5199999999999997E-2</v>
      </c>
      <c r="U51" s="404">
        <f>ROUND(R51*T51,2)</f>
        <v>16779.55</v>
      </c>
    </row>
    <row r="52" spans="1:22" x14ac:dyDescent="0.25">
      <c r="A52" s="26"/>
      <c r="B52" s="81" t="s">
        <v>400</v>
      </c>
      <c r="C52" s="26"/>
      <c r="D52" s="26"/>
      <c r="E52" s="43" t="s">
        <v>399</v>
      </c>
      <c r="F52" s="402">
        <f>I46</f>
        <v>712929.61</v>
      </c>
      <c r="G52" s="109" t="s">
        <v>6</v>
      </c>
      <c r="H52" s="403">
        <v>1.41E-2</v>
      </c>
      <c r="I52" s="101">
        <f>ROUND(F52*H52,2)</f>
        <v>10052.31</v>
      </c>
      <c r="N52" s="28"/>
      <c r="O52" s="385" t="s">
        <v>400</v>
      </c>
      <c r="P52" s="28"/>
      <c r="Q52" s="44" t="s">
        <v>399</v>
      </c>
      <c r="R52" s="410">
        <f>U30</f>
        <v>371228.89</v>
      </c>
      <c r="S52" s="411" t="s">
        <v>6</v>
      </c>
      <c r="T52" s="412">
        <v>1.41E-2</v>
      </c>
      <c r="U52" s="413">
        <f>ROUND(R52*T52,2)</f>
        <v>5234.33</v>
      </c>
    </row>
    <row r="53" spans="1:22" x14ac:dyDescent="0.25">
      <c r="A53" s="26"/>
      <c r="B53" s="81" t="s">
        <v>401</v>
      </c>
      <c r="C53" s="26"/>
      <c r="D53" s="26"/>
      <c r="E53" s="43"/>
      <c r="F53" s="402"/>
      <c r="G53" s="109"/>
      <c r="H53" s="403"/>
      <c r="I53" s="97">
        <f>SUM(I51:I52)</f>
        <v>42276.729999999996</v>
      </c>
      <c r="N53" s="28"/>
      <c r="O53" s="385" t="s">
        <v>401</v>
      </c>
      <c r="P53" s="28"/>
      <c r="Q53" s="44"/>
      <c r="R53" s="410"/>
      <c r="S53" s="411"/>
      <c r="T53" s="412"/>
      <c r="U53" s="404">
        <f>SUM(U51:U52)</f>
        <v>22013.879999999997</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0.5</v>
      </c>
      <c r="D64" s="143">
        <v>1.41</v>
      </c>
      <c r="E64" s="116">
        <f t="shared" si="10"/>
        <v>1.91</v>
      </c>
      <c r="F64" s="446" t="s">
        <v>14</v>
      </c>
      <c r="G64" s="445">
        <v>252</v>
      </c>
      <c r="H64" s="459">
        <f>'1461'!H64</f>
        <v>3168</v>
      </c>
      <c r="I64" s="101">
        <f t="shared" si="11"/>
        <v>6050.88</v>
      </c>
      <c r="N64" s="619"/>
      <c r="O64" s="619"/>
      <c r="P64" s="622"/>
      <c r="Q64" s="622"/>
      <c r="R64" s="40" t="s">
        <v>14</v>
      </c>
      <c r="S64" s="451">
        <v>252</v>
      </c>
      <c r="T64" s="462">
        <f t="shared" si="12"/>
        <v>3168</v>
      </c>
      <c r="U64" s="476">
        <f t="shared" si="13"/>
        <v>0</v>
      </c>
      <c r="V64" s="426"/>
    </row>
    <row r="65" spans="1:22" ht="16.5" thickBot="1" x14ac:dyDescent="0.3">
      <c r="A65" s="533"/>
      <c r="B65" s="533"/>
      <c r="C65" s="143">
        <v>19.940000000000001</v>
      </c>
      <c r="D65" s="143">
        <v>23.59</v>
      </c>
      <c r="E65" s="116">
        <f t="shared" si="10"/>
        <v>43.53</v>
      </c>
      <c r="F65" s="446" t="s">
        <v>14</v>
      </c>
      <c r="G65" s="445">
        <v>253</v>
      </c>
      <c r="H65" s="459">
        <f>'1461'!H65</f>
        <v>6685</v>
      </c>
      <c r="I65" s="101">
        <f t="shared" si="11"/>
        <v>290998.05</v>
      </c>
      <c r="N65" s="619"/>
      <c r="O65" s="619"/>
      <c r="P65" s="623"/>
      <c r="Q65" s="623"/>
      <c r="R65" s="40" t="s">
        <v>14</v>
      </c>
      <c r="S65" s="451">
        <v>253</v>
      </c>
      <c r="T65" s="462">
        <f t="shared" si="12"/>
        <v>6685</v>
      </c>
      <c r="U65" s="477">
        <f t="shared" si="13"/>
        <v>0</v>
      </c>
      <c r="V65" s="426"/>
    </row>
    <row r="66" spans="1:22" ht="16.5" thickBot="1" x14ac:dyDescent="0.3">
      <c r="A66" s="442"/>
      <c r="C66" s="97">
        <f>SUM(C57:C65)</f>
        <v>20.440000000000001</v>
      </c>
      <c r="D66" s="97">
        <f>SUM(D57:D65)</f>
        <v>25</v>
      </c>
      <c r="E66" s="97">
        <f>SUM(E57:E65)</f>
        <v>45.44</v>
      </c>
      <c r="F66" s="520" t="s">
        <v>448</v>
      </c>
      <c r="G66" s="520"/>
      <c r="H66" s="520"/>
      <c r="I66" s="97">
        <f>SUM(I57:I65)</f>
        <v>297048.93</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69.169999999999987</v>
      </c>
      <c r="D69" s="530" t="s">
        <v>413</v>
      </c>
      <c r="E69" s="530"/>
      <c r="F69" s="530"/>
      <c r="G69" s="530"/>
      <c r="H69" s="301">
        <f>'1461'!H69</f>
        <v>203305.63</v>
      </c>
      <c r="I69" s="113"/>
      <c r="N69" s="591" t="s">
        <v>406</v>
      </c>
      <c r="O69" s="568"/>
      <c r="P69" s="41">
        <f>P30</f>
        <v>69.169999999999987</v>
      </c>
      <c r="Q69" s="596" t="s">
        <v>408</v>
      </c>
      <c r="R69" s="597"/>
      <c r="S69" s="597"/>
      <c r="T69" s="595">
        <f>H69</f>
        <v>203305.63</v>
      </c>
      <c r="U69" s="595"/>
    </row>
    <row r="70" spans="1:22" x14ac:dyDescent="0.25">
      <c r="B70" s="69"/>
      <c r="G70" s="42" t="s">
        <v>12</v>
      </c>
      <c r="H70" s="114">
        <f>ROUND(C69/H69,6)</f>
        <v>3.4000000000000002E-4</v>
      </c>
      <c r="I70" s="115"/>
      <c r="N70" s="568"/>
      <c r="O70" s="568"/>
      <c r="P70" s="568"/>
      <c r="Q70" s="568"/>
      <c r="R70" s="568"/>
      <c r="S70" s="568"/>
      <c r="T70" s="598">
        <f>ROUND(P69/T69,6)</f>
        <v>3.4000000000000002E-4</v>
      </c>
      <c r="U70" s="598"/>
    </row>
    <row r="71" spans="1:22" x14ac:dyDescent="0.25">
      <c r="A71" s="444" t="s">
        <v>451</v>
      </c>
      <c r="N71" s="455" t="s">
        <v>459</v>
      </c>
      <c r="O71" s="51"/>
      <c r="P71" s="51"/>
      <c r="Q71" s="51"/>
      <c r="R71" s="51"/>
      <c r="S71" s="51"/>
      <c r="T71" s="51"/>
      <c r="U71" s="51"/>
    </row>
    <row r="72" spans="1:22" x14ac:dyDescent="0.25">
      <c r="A72" s="516" t="s">
        <v>403</v>
      </c>
      <c r="B72" s="517"/>
      <c r="C72" s="112">
        <f>H30</f>
        <v>132.8381</v>
      </c>
      <c r="D72" s="530" t="s">
        <v>414</v>
      </c>
      <c r="E72" s="530"/>
      <c r="F72" s="530"/>
      <c r="G72" s="530"/>
      <c r="H72" s="302">
        <f>'1461'!H72</f>
        <v>227540.36</v>
      </c>
      <c r="I72" s="116"/>
      <c r="N72" s="591" t="s">
        <v>407</v>
      </c>
      <c r="O72" s="568"/>
      <c r="P72" s="41">
        <f>T30</f>
        <v>69.17</v>
      </c>
      <c r="Q72" s="596" t="s">
        <v>409</v>
      </c>
      <c r="R72" s="597"/>
      <c r="S72" s="597"/>
      <c r="T72" s="595">
        <f>H72</f>
        <v>227540.36</v>
      </c>
      <c r="U72" s="595"/>
    </row>
    <row r="73" spans="1:22" x14ac:dyDescent="0.25">
      <c r="G73" s="42" t="s">
        <v>12</v>
      </c>
      <c r="H73" s="114">
        <f>ROUND(C72/H72,6)</f>
        <v>5.8399999999999999E-4</v>
      </c>
      <c r="I73" s="114"/>
      <c r="N73" s="568"/>
      <c r="O73" s="568"/>
      <c r="P73" s="568"/>
      <c r="Q73" s="568"/>
      <c r="R73" s="568"/>
      <c r="S73" s="568"/>
      <c r="T73" s="598">
        <f>ROUND(P72/T72,6)</f>
        <v>3.0400000000000002E-4</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69.169999999999987</v>
      </c>
      <c r="D75" s="529" t="s">
        <v>415</v>
      </c>
      <c r="E75" s="529"/>
      <c r="F75" s="529"/>
      <c r="G75" s="529"/>
      <c r="H75" s="301">
        <f>'1461'!H75</f>
        <v>186907.73</v>
      </c>
      <c r="I75" s="113"/>
      <c r="N75" s="591" t="s">
        <v>405</v>
      </c>
      <c r="O75" s="568"/>
      <c r="P75" s="41">
        <f>P30</f>
        <v>69.169999999999987</v>
      </c>
      <c r="Q75" s="601" t="s">
        <v>410</v>
      </c>
      <c r="R75" s="602"/>
      <c r="S75" s="602"/>
      <c r="T75" s="595">
        <f>H75</f>
        <v>186907.73</v>
      </c>
      <c r="U75" s="595"/>
    </row>
    <row r="76" spans="1:22" x14ac:dyDescent="0.25">
      <c r="B76" s="69"/>
      <c r="G76" s="42" t="s">
        <v>12</v>
      </c>
      <c r="H76" s="114">
        <f>ROUND(C75/H75,6)</f>
        <v>3.6999999999999999E-4</v>
      </c>
      <c r="I76" s="115"/>
      <c r="N76" s="568"/>
      <c r="O76" s="568"/>
      <c r="P76" s="568"/>
      <c r="Q76" s="568"/>
      <c r="R76" s="568"/>
      <c r="S76" s="568"/>
      <c r="T76" s="598">
        <f>ROUND(P75/T75,6)</f>
        <v>3.6999999999999999E-4</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69.169999999999987</v>
      </c>
      <c r="D78" s="525" t="s">
        <v>416</v>
      </c>
      <c r="E78" s="525"/>
      <c r="F78" s="525"/>
      <c r="G78" s="525"/>
      <c r="H78" s="301">
        <f>'1461'!H78</f>
        <v>203080.55</v>
      </c>
      <c r="I78" s="113"/>
      <c r="N78" s="591" t="s">
        <v>405</v>
      </c>
      <c r="O78" s="568"/>
      <c r="P78" s="41">
        <f>P30</f>
        <v>69.169999999999987</v>
      </c>
      <c r="Q78" s="599" t="s">
        <v>411</v>
      </c>
      <c r="R78" s="600"/>
      <c r="S78" s="600"/>
      <c r="T78" s="595">
        <f>H78</f>
        <v>203080.55</v>
      </c>
      <c r="U78" s="595"/>
    </row>
    <row r="79" spans="1:22" x14ac:dyDescent="0.25">
      <c r="B79" s="69"/>
      <c r="G79" s="42" t="s">
        <v>12</v>
      </c>
      <c r="H79" s="114">
        <f>ROUND(C78/H78,6)</f>
        <v>3.4099999999999999E-4</v>
      </c>
      <c r="I79" s="115"/>
      <c r="N79" s="568"/>
      <c r="O79" s="568"/>
      <c r="P79" s="568"/>
      <c r="Q79" s="568"/>
      <c r="R79" s="568"/>
      <c r="S79" s="568"/>
      <c r="T79" s="598">
        <f>ROUND(P78/T78,6)</f>
        <v>3.4099999999999999E-4</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69.169999999999987</v>
      </c>
      <c r="D81" s="529" t="s">
        <v>417</v>
      </c>
      <c r="E81" s="529"/>
      <c r="F81" s="529"/>
      <c r="G81" s="529"/>
      <c r="H81" s="301">
        <f>'1461'!H81</f>
        <v>186682.65</v>
      </c>
      <c r="I81" s="113"/>
      <c r="N81" s="591" t="s">
        <v>418</v>
      </c>
      <c r="O81" s="568"/>
      <c r="P81" s="41">
        <f>P30</f>
        <v>69.169999999999987</v>
      </c>
      <c r="Q81" s="601" t="s">
        <v>419</v>
      </c>
      <c r="R81" s="602"/>
      <c r="S81" s="602"/>
      <c r="T81" s="595">
        <f>H81</f>
        <v>186682.65</v>
      </c>
      <c r="U81" s="595"/>
    </row>
    <row r="82" spans="1:21" x14ac:dyDescent="0.25">
      <c r="B82" s="69"/>
      <c r="G82" s="42" t="s">
        <v>12</v>
      </c>
      <c r="H82" s="114">
        <f>ROUND(C81/H81,6)</f>
        <v>3.7100000000000002E-4</v>
      </c>
      <c r="I82" s="115"/>
      <c r="N82" s="568"/>
      <c r="O82" s="568"/>
      <c r="P82" s="568"/>
      <c r="Q82" s="568"/>
      <c r="R82" s="568"/>
      <c r="S82" s="568"/>
      <c r="T82" s="598">
        <f>ROUND(P81/T81,6)</f>
        <v>3.7100000000000002E-4</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3.4099999999999999E-4</v>
      </c>
      <c r="I85" s="101">
        <f>ROUND(F85*H85,2)</f>
        <v>15230.95</v>
      </c>
      <c r="N85" s="455" t="s">
        <v>455</v>
      </c>
      <c r="O85" s="51"/>
      <c r="P85" s="51"/>
      <c r="Q85" s="44"/>
      <c r="R85" s="421">
        <f>F85</f>
        <v>44665536</v>
      </c>
      <c r="S85" s="38" t="s">
        <v>6</v>
      </c>
      <c r="T85" s="423">
        <f>T79</f>
        <v>3.4099999999999999E-4</v>
      </c>
      <c r="U85" s="475">
        <f>ROUND(R85*T85,2)</f>
        <v>15230.95</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3.4000000000000002E-4</v>
      </c>
      <c r="I88" s="101">
        <f>ROUND(F88*H88,2)</f>
        <v>0</v>
      </c>
      <c r="N88" s="603" t="s">
        <v>99</v>
      </c>
      <c r="O88" s="568"/>
      <c r="P88" s="568"/>
      <c r="Q88" s="44"/>
      <c r="R88" s="421">
        <f>F88</f>
        <v>0</v>
      </c>
      <c r="S88" s="38" t="s">
        <v>6</v>
      </c>
      <c r="T88" s="423">
        <f>T70</f>
        <v>3.4000000000000002E-4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3.7100000000000002E-4</v>
      </c>
      <c r="I90" s="101">
        <f>ROUND(F90*H90,2)</f>
        <v>5997.98</v>
      </c>
      <c r="N90" s="455" t="s">
        <v>456</v>
      </c>
      <c r="O90" s="51"/>
      <c r="P90" s="51"/>
      <c r="Q90" s="44"/>
      <c r="R90" s="421">
        <f>F90</f>
        <v>16167052</v>
      </c>
      <c r="S90" s="38" t="s">
        <v>6</v>
      </c>
      <c r="T90" s="423">
        <f>T82</f>
        <v>3.7100000000000002E-4</v>
      </c>
      <c r="U90" s="475">
        <f>ROUND(R90*T90,2)</f>
        <v>5997.98</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3.6999999999999999E-4</v>
      </c>
      <c r="I92" s="101">
        <f t="shared" ref="I92:I96" si="14">ROUND(F92*H92,2)</f>
        <v>3714.84</v>
      </c>
      <c r="N92" s="455" t="s">
        <v>457</v>
      </c>
      <c r="O92" s="51"/>
      <c r="P92" s="51"/>
      <c r="Q92" s="44"/>
      <c r="R92" s="421">
        <f t="shared" ref="R92:R96" si="15">F92</f>
        <v>10040099</v>
      </c>
      <c r="S92" s="38" t="s">
        <v>6</v>
      </c>
      <c r="T92" s="423">
        <f>T76</f>
        <v>3.6999999999999999E-4</v>
      </c>
      <c r="U92" s="475">
        <f>ROUND(R92*T92,2)</f>
        <v>3714.84</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5.8399999999999999E-4</v>
      </c>
      <c r="I94" s="101">
        <f t="shared" si="14"/>
        <v>139574.64000000001</v>
      </c>
      <c r="N94" s="568" t="s">
        <v>421</v>
      </c>
      <c r="O94" s="568"/>
      <c r="P94" s="568"/>
      <c r="Q94" s="44"/>
      <c r="R94" s="421">
        <f t="shared" si="15"/>
        <v>238997674</v>
      </c>
      <c r="S94" s="38" t="s">
        <v>6</v>
      </c>
      <c r="T94" s="423">
        <f>T73</f>
        <v>3.0400000000000002E-4</v>
      </c>
      <c r="U94" s="475">
        <f>ROUND(R94*T94,2)</f>
        <v>72655.289999999994</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5.8399999999999999E-4</v>
      </c>
      <c r="I96" s="101">
        <f t="shared" si="14"/>
        <v>-934.43</v>
      </c>
      <c r="N96" s="591" t="s">
        <v>422</v>
      </c>
      <c r="O96" s="568"/>
      <c r="P96" s="568"/>
      <c r="Q96" s="44"/>
      <c r="R96" s="421">
        <f t="shared" si="15"/>
        <v>-1600047</v>
      </c>
      <c r="S96" s="38" t="s">
        <v>6</v>
      </c>
      <c r="T96" s="423">
        <f>T73</f>
        <v>3.0400000000000002E-4</v>
      </c>
      <c r="U96" s="475">
        <f>ROUND(R96*T96,2)</f>
        <v>-486.41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0</v>
      </c>
      <c r="D101" s="515"/>
      <c r="E101" s="46">
        <f>H8</f>
        <v>1.0442</v>
      </c>
      <c r="F101" s="304">
        <f>'1461'!F101</f>
        <v>947.59</v>
      </c>
      <c r="G101" s="39" t="s">
        <v>12</v>
      </c>
      <c r="H101" s="101">
        <f>ROUND(C101*E101*F101,2)</f>
        <v>0</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0</v>
      </c>
      <c r="D102" s="515"/>
      <c r="E102" s="46">
        <f>H8</f>
        <v>1.0442</v>
      </c>
      <c r="F102" s="304">
        <f>'1461'!F102</f>
        <v>904.74</v>
      </c>
      <c r="G102" s="39" t="s">
        <v>12</v>
      </c>
      <c r="H102" s="101">
        <f>ROUND(C102*E102*F102,2)</f>
        <v>0</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132.8381</v>
      </c>
      <c r="D103" s="515"/>
      <c r="E103" s="46">
        <f>H8</f>
        <v>1.0442</v>
      </c>
      <c r="F103" s="304">
        <f>'1461'!F103</f>
        <v>906.93</v>
      </c>
      <c r="G103" s="39" t="s">
        <v>12</v>
      </c>
      <c r="H103" s="94">
        <f>ROUND(C103*E103*F103,2)</f>
        <v>125799.85</v>
      </c>
      <c r="N103" s="53" t="s">
        <v>14</v>
      </c>
      <c r="O103" s="54">
        <f>T18+T19+T22+T25+T28+T29</f>
        <v>69.17</v>
      </c>
      <c r="P103" s="606">
        <f>T8</f>
        <v>1.0442</v>
      </c>
      <c r="Q103" s="606"/>
      <c r="R103" s="48">
        <f>F103</f>
        <v>906.93</v>
      </c>
      <c r="S103" s="40" t="s">
        <v>12</v>
      </c>
      <c r="T103" s="481">
        <f>ROUND(O103*P103*R103,2)</f>
        <v>65505.120000000003</v>
      </c>
      <c r="U103" s="51"/>
    </row>
    <row r="104" spans="1:21" ht="16.5" thickBot="1" x14ac:dyDescent="0.3">
      <c r="A104" s="55"/>
      <c r="B104" s="122" t="s">
        <v>102</v>
      </c>
      <c r="C104" s="528">
        <f>SUM(C101:C103)</f>
        <v>132.8381</v>
      </c>
      <c r="D104" s="528"/>
      <c r="E104" s="123"/>
      <c r="F104" s="123"/>
      <c r="G104" s="123"/>
      <c r="H104" s="124" t="s">
        <v>100</v>
      </c>
      <c r="I104" s="101">
        <f>IF(A1=75,0,H103+H102+H101)</f>
        <v>125799.85</v>
      </c>
      <c r="N104" s="56" t="s">
        <v>89</v>
      </c>
      <c r="O104" s="57">
        <f>SUM(O101:O103)</f>
        <v>69.17</v>
      </c>
      <c r="P104" s="607" t="s">
        <v>16</v>
      </c>
      <c r="Q104" s="608"/>
      <c r="R104" s="608"/>
      <c r="S104" s="608"/>
      <c r="T104" s="608"/>
      <c r="U104" s="475">
        <f>IF(N1=75,0,T103+T102+T101)</f>
        <v>65505.120000000003</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8"/>
      <c r="D107" s="8"/>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35</v>
      </c>
      <c r="D110" s="143">
        <v>36</v>
      </c>
      <c r="E110" s="116">
        <f>(C110+D110)/2</f>
        <v>35.5</v>
      </c>
      <c r="F110" s="126" t="s">
        <v>30</v>
      </c>
      <c r="G110" s="305">
        <f>'1461'!G110</f>
        <v>565</v>
      </c>
      <c r="I110" s="101">
        <f>ROUND(G110*E110,2)</f>
        <v>20057.5</v>
      </c>
      <c r="N110" s="617" t="s">
        <v>52</v>
      </c>
      <c r="O110" s="617"/>
      <c r="P110" s="605">
        <f>IF(H130=1,E110,0)</f>
        <v>35.5</v>
      </c>
      <c r="Q110" s="605"/>
      <c r="R110" s="605"/>
      <c r="S110" s="83" t="s">
        <v>30</v>
      </c>
      <c r="T110" s="58">
        <f>G110</f>
        <v>565</v>
      </c>
      <c r="U110" s="475">
        <f>ROUND(T110*P110,2)</f>
        <v>20057.5</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1319419.8700000001</v>
      </c>
      <c r="N125" s="455"/>
      <c r="O125" s="454"/>
      <c r="P125" s="454"/>
      <c r="Q125" s="307"/>
      <c r="R125" s="307"/>
      <c r="S125" s="307"/>
      <c r="T125" s="307"/>
      <c r="U125" s="482">
        <f>SUM(U30,U85,U88,U90,U92,U94,U96,U104,U110,U111,U121,U123)</f>
        <v>553904.16</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1277143.1400000001</v>
      </c>
      <c r="N127" s="613" t="s">
        <v>33</v>
      </c>
      <c r="O127" s="613"/>
      <c r="P127" s="613"/>
      <c r="Q127" s="613"/>
      <c r="R127" s="613"/>
      <c r="S127" s="613"/>
      <c r="T127" s="613"/>
      <c r="U127" s="132">
        <f>U125-U53</f>
        <v>531890.28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f>IF(E30=0,"",IF((E15+E17+SUM(E19:E25))/E30&gt;0.75,1,""))</f>
        <v>1</v>
      </c>
      <c r="I130" s="116">
        <f>U127</f>
        <v>531890.28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531890.28</v>
      </c>
      <c r="I132" s="94">
        <f>ROUND(IF(E30=0,0,IF(E30&gt;250,-(((250/E30)*H132)*IF(G132="H",0.02,0.05)),IF(G132="H",-0.02*H132,-0.05*H132))),2)</f>
        <v>-26594.51</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1292825.3600000001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-93289.4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1199535.9600000002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109048.72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370</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372</v>
      </c>
      <c r="B152" s="348"/>
      <c r="C152" s="348"/>
      <c r="D152" s="348"/>
      <c r="E152" s="348"/>
      <c r="F152" s="348"/>
      <c r="G152" s="348"/>
      <c r="H152" s="348"/>
      <c r="I152" s="348"/>
      <c r="N152" s="612"/>
      <c r="O152" s="612"/>
      <c r="P152" s="612"/>
      <c r="Q152" s="612"/>
      <c r="R152" s="612"/>
      <c r="S152" s="612"/>
      <c r="T152" s="612"/>
      <c r="U152" s="612"/>
    </row>
    <row r="153" spans="1:21" s="76" customFormat="1" x14ac:dyDescent="0.2">
      <c r="A153" s="346" t="s">
        <v>373</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374</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375</v>
      </c>
      <c r="B155" s="348"/>
      <c r="C155" s="348"/>
      <c r="D155" s="348"/>
      <c r="E155" s="348"/>
      <c r="F155" s="348"/>
      <c r="G155" s="348"/>
      <c r="H155" s="348"/>
      <c r="I155" s="348"/>
      <c r="N155" s="78"/>
    </row>
    <row r="156" spans="1:21" s="76" customFormat="1" x14ac:dyDescent="0.2">
      <c r="A156" s="346" t="s">
        <v>377</v>
      </c>
      <c r="B156" s="348"/>
      <c r="C156" s="348"/>
      <c r="D156" s="348"/>
      <c r="E156" s="348"/>
      <c r="F156" s="348"/>
      <c r="G156" s="348"/>
      <c r="H156" s="348"/>
      <c r="I156" s="348"/>
      <c r="N156" s="78"/>
    </row>
    <row r="157" spans="1:21" s="76" customFormat="1" x14ac:dyDescent="0.2">
      <c r="A157" s="352" t="s">
        <v>376</v>
      </c>
      <c r="B157" s="348"/>
      <c r="C157" s="348"/>
      <c r="D157" s="348"/>
      <c r="E157" s="348"/>
      <c r="F157" s="348"/>
      <c r="G157" s="348"/>
      <c r="H157" s="348"/>
      <c r="I157" s="348"/>
      <c r="N157" s="78"/>
    </row>
    <row r="158" spans="1:21" s="76" customFormat="1" x14ac:dyDescent="0.2">
      <c r="A158" s="346" t="s">
        <v>378</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381</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383</v>
      </c>
      <c r="B162" s="348"/>
      <c r="C162" s="348"/>
      <c r="D162" s="348"/>
      <c r="E162" s="348"/>
      <c r="F162" s="348"/>
      <c r="G162" s="348"/>
      <c r="H162" s="348"/>
      <c r="I162" s="348"/>
      <c r="N162" s="78"/>
    </row>
    <row r="163" spans="1:21" s="76" customFormat="1" ht="15.75" customHeight="1" x14ac:dyDescent="0.2">
      <c r="A163" s="352" t="s">
        <v>382</v>
      </c>
      <c r="B163" s="348"/>
      <c r="C163" s="348"/>
      <c r="D163" s="348"/>
      <c r="E163" s="348"/>
      <c r="F163" s="348"/>
      <c r="G163" s="348"/>
      <c r="H163" s="348"/>
      <c r="I163" s="348"/>
      <c r="N163" s="78"/>
    </row>
    <row r="164" spans="1:21" s="76" customFormat="1" ht="15.75" customHeight="1" x14ac:dyDescent="0.2">
      <c r="A164" s="346" t="s">
        <v>384</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386</v>
      </c>
      <c r="B166" s="348"/>
      <c r="C166" s="348"/>
      <c r="D166" s="348"/>
      <c r="E166" s="348"/>
      <c r="F166" s="348"/>
      <c r="G166" s="348"/>
      <c r="H166" s="348"/>
      <c r="I166" s="348"/>
      <c r="N166" s="78"/>
    </row>
    <row r="167" spans="1:21" s="76" customFormat="1" ht="15.75" customHeight="1" x14ac:dyDescent="0.2">
      <c r="A167" s="352" t="s">
        <v>385</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387</v>
      </c>
      <c r="B172" s="358"/>
      <c r="C172" s="358"/>
      <c r="D172" s="358"/>
      <c r="E172" s="358"/>
      <c r="F172" s="358"/>
      <c r="G172" s="358"/>
      <c r="H172" s="358"/>
      <c r="I172" s="358"/>
      <c r="J172" s="3"/>
      <c r="K172" s="3"/>
      <c r="L172" s="3"/>
      <c r="M172" s="3"/>
      <c r="N172" s="78"/>
    </row>
    <row r="173" spans="1:21" s="76" customFormat="1" ht="15.75" customHeight="1" x14ac:dyDescent="0.2">
      <c r="A173" s="364" t="s">
        <v>388</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CCC"/>
    <pageSetUpPr fitToPage="1"/>
  </sheetPr>
  <dimension ref="A1:V218"/>
  <sheetViews>
    <sheetView showGridLines="0" zoomScaleNormal="100" workbookViewId="0">
      <pane ySplit="1" topLeftCell="A102"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112</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0.5</v>
      </c>
      <c r="D15" s="143">
        <v>0.55000000000000004</v>
      </c>
      <c r="E15" s="116">
        <f t="shared" ref="E15:E29" si="1">IF(D$30=0,C15*2,C15+D15)</f>
        <v>1.05</v>
      </c>
      <c r="F15" s="555">
        <f>'1461'!F15:G15</f>
        <v>1.1220000000000001</v>
      </c>
      <c r="G15" s="555"/>
      <c r="H15" s="80">
        <f t="shared" ref="H15:H29" si="2">ROUND(E15*F15,4)</f>
        <v>1.1780999999999999</v>
      </c>
      <c r="I15" s="101">
        <f t="shared" ref="I15:I29" si="3">ROUND(ROUND(ROUND(H15*$C$8,4)*($H$8),2)*(MAX($H$9,1)),2)</f>
        <v>6322.75</v>
      </c>
      <c r="J15" s="65" t="str">
        <f>IF(ROUND(E15,2)=ROUND(SUM(E57:E59),2)," ","CHECK PK-3 LINES BELOW")</f>
        <v xml:space="preserve"> </v>
      </c>
      <c r="N15" s="568" t="s">
        <v>21</v>
      </c>
      <c r="O15" s="568"/>
      <c r="P15" s="569">
        <f t="shared" si="0"/>
        <v>1.05</v>
      </c>
      <c r="Q15" s="569"/>
      <c r="R15" s="570">
        <v>1</v>
      </c>
      <c r="S15" s="570"/>
      <c r="T15" s="95">
        <f t="shared" ref="T15:T29" si="4">ROUND(P15*R15,4)</f>
        <v>1.05</v>
      </c>
      <c r="U15" s="475">
        <f t="shared" ref="U15:U29" si="5">ROUND(ROUND(ROUND(T15*$C$8,4)*($H$8),2)*(MAX($H$9,1)),2)</f>
        <v>5635.25</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1.5</v>
      </c>
      <c r="D20" s="143">
        <v>1.5</v>
      </c>
      <c r="E20" s="116">
        <f t="shared" si="1"/>
        <v>3</v>
      </c>
      <c r="F20" s="555">
        <f>'1461'!F20:G20</f>
        <v>3.706</v>
      </c>
      <c r="G20" s="555"/>
      <c r="H20" s="80">
        <f t="shared" si="2"/>
        <v>11.118</v>
      </c>
      <c r="I20" s="101">
        <f t="shared" si="3"/>
        <v>59669.26</v>
      </c>
      <c r="N20" s="568" t="s">
        <v>79</v>
      </c>
      <c r="O20" s="568"/>
      <c r="P20" s="569">
        <f t="shared" si="0"/>
        <v>3</v>
      </c>
      <c r="Q20" s="569"/>
      <c r="R20" s="570">
        <v>1</v>
      </c>
      <c r="S20" s="570"/>
      <c r="T20" s="95">
        <f t="shared" si="4"/>
        <v>3</v>
      </c>
      <c r="U20" s="475">
        <f t="shared" si="5"/>
        <v>16100.72</v>
      </c>
    </row>
    <row r="21" spans="1:21" x14ac:dyDescent="0.25">
      <c r="A21" s="517" t="s">
        <v>80</v>
      </c>
      <c r="B21" s="517"/>
      <c r="C21" s="143">
        <v>4</v>
      </c>
      <c r="D21" s="143">
        <v>4</v>
      </c>
      <c r="E21" s="116">
        <f t="shared" si="1"/>
        <v>8</v>
      </c>
      <c r="F21" s="555">
        <f>'1461'!F21:G21</f>
        <v>3.706</v>
      </c>
      <c r="G21" s="555"/>
      <c r="H21" s="80">
        <f t="shared" si="2"/>
        <v>29.648</v>
      </c>
      <c r="I21" s="101">
        <f t="shared" si="3"/>
        <v>159118.03</v>
      </c>
      <c r="N21" s="568" t="s">
        <v>80</v>
      </c>
      <c r="O21" s="568"/>
      <c r="P21" s="569">
        <f t="shared" si="0"/>
        <v>8</v>
      </c>
      <c r="Q21" s="569"/>
      <c r="R21" s="570">
        <v>1</v>
      </c>
      <c r="S21" s="570"/>
      <c r="T21" s="95">
        <f t="shared" si="4"/>
        <v>8</v>
      </c>
      <c r="U21" s="475">
        <f t="shared" si="5"/>
        <v>42935.25</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2.5</v>
      </c>
      <c r="D23" s="143">
        <v>3</v>
      </c>
      <c r="E23" s="116">
        <f t="shared" si="1"/>
        <v>5.5</v>
      </c>
      <c r="F23" s="555">
        <f>'1461'!F23:G23</f>
        <v>5.7069999999999999</v>
      </c>
      <c r="G23" s="555"/>
      <c r="H23" s="80">
        <f t="shared" si="2"/>
        <v>31.388500000000001</v>
      </c>
      <c r="I23" s="101">
        <f t="shared" si="3"/>
        <v>168459.13</v>
      </c>
      <c r="N23" s="568" t="s">
        <v>82</v>
      </c>
      <c r="O23" s="568"/>
      <c r="P23" s="569">
        <f t="shared" si="0"/>
        <v>5.5</v>
      </c>
      <c r="Q23" s="569"/>
      <c r="R23" s="570">
        <v>1</v>
      </c>
      <c r="S23" s="570"/>
      <c r="T23" s="95">
        <f t="shared" si="4"/>
        <v>5.5</v>
      </c>
      <c r="U23" s="475">
        <f t="shared" si="5"/>
        <v>29517.98</v>
      </c>
    </row>
    <row r="24" spans="1:21" x14ac:dyDescent="0.25">
      <c r="A24" s="517" t="s">
        <v>83</v>
      </c>
      <c r="B24" s="517"/>
      <c r="C24" s="143">
        <v>5</v>
      </c>
      <c r="D24" s="143">
        <v>4.5</v>
      </c>
      <c r="E24" s="116">
        <f t="shared" si="1"/>
        <v>9.5</v>
      </c>
      <c r="F24" s="555">
        <f>'1461'!F24:G24</f>
        <v>5.7069999999999999</v>
      </c>
      <c r="G24" s="555"/>
      <c r="H24" s="80">
        <f t="shared" si="2"/>
        <v>54.216500000000003</v>
      </c>
      <c r="I24" s="101">
        <f t="shared" si="3"/>
        <v>290974.86</v>
      </c>
      <c r="N24" s="568" t="s">
        <v>83</v>
      </c>
      <c r="O24" s="568"/>
      <c r="P24" s="569">
        <f t="shared" si="0"/>
        <v>9.5</v>
      </c>
      <c r="Q24" s="569"/>
      <c r="R24" s="570">
        <v>1</v>
      </c>
      <c r="S24" s="570"/>
      <c r="T24" s="95">
        <f t="shared" si="4"/>
        <v>9.5</v>
      </c>
      <c r="U24" s="475">
        <f t="shared" si="5"/>
        <v>50985.61</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13.5</v>
      </c>
      <c r="D30" s="94">
        <f>SUM(D14:D29)</f>
        <v>13.55</v>
      </c>
      <c r="E30" s="94">
        <f>SUM(E14:E29)</f>
        <v>27.05</v>
      </c>
      <c r="F30" s="536"/>
      <c r="G30" s="536"/>
      <c r="H30" s="99">
        <f>SUM(H14:H29)</f>
        <v>127.54910000000001</v>
      </c>
      <c r="I30" s="94">
        <f>SUM(I14:I29)</f>
        <v>684544.03</v>
      </c>
      <c r="N30" s="587" t="s">
        <v>5</v>
      </c>
      <c r="O30" s="587"/>
      <c r="P30" s="588">
        <f>SUM(P14:P29)</f>
        <v>27.05</v>
      </c>
      <c r="Q30" s="588"/>
      <c r="R30" s="589"/>
      <c r="S30" s="589"/>
      <c r="T30" s="100">
        <f>SUM(T14:T29)</f>
        <v>27.05</v>
      </c>
      <c r="U30" s="475">
        <f>SUM(U14:U29)</f>
        <v>145174.81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127.54910000000001</v>
      </c>
      <c r="F46" s="34"/>
      <c r="G46" s="106"/>
      <c r="H46" s="107" t="s">
        <v>98</v>
      </c>
      <c r="I46" s="94">
        <f>SUM(I44,I30)</f>
        <v>684544.03</v>
      </c>
      <c r="N46" s="613" t="s">
        <v>44</v>
      </c>
      <c r="O46" s="613"/>
      <c r="P46" s="613"/>
      <c r="Q46" s="613"/>
      <c r="R46" s="35">
        <f>R44+T30</f>
        <v>27.05</v>
      </c>
      <c r="S46" s="589" t="s">
        <v>42</v>
      </c>
      <c r="T46" s="589"/>
      <c r="U46" s="108">
        <f>SUM(U44,U30)</f>
        <v>145174.81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684544.03</v>
      </c>
      <c r="G51" s="109" t="s">
        <v>6</v>
      </c>
      <c r="H51" s="403">
        <v>4.5199999999999997E-2</v>
      </c>
      <c r="I51" s="101">
        <f>ROUND(F51*H51,2)</f>
        <v>30941.39</v>
      </c>
      <c r="N51" s="408"/>
      <c r="O51" s="409" t="s">
        <v>398</v>
      </c>
      <c r="P51" s="28"/>
      <c r="Q51" s="44" t="s">
        <v>399</v>
      </c>
      <c r="R51" s="410">
        <f>U30</f>
        <v>145174.81</v>
      </c>
      <c r="S51" s="411" t="s">
        <v>6</v>
      </c>
      <c r="T51" s="412">
        <v>4.5199999999999997E-2</v>
      </c>
      <c r="U51" s="404">
        <f>ROUND(R51*T51,2)</f>
        <v>6561.9</v>
      </c>
    </row>
    <row r="52" spans="1:22" x14ac:dyDescent="0.25">
      <c r="A52" s="26"/>
      <c r="B52" s="81" t="s">
        <v>400</v>
      </c>
      <c r="C52" s="26"/>
      <c r="D52" s="26"/>
      <c r="E52" s="43" t="s">
        <v>399</v>
      </c>
      <c r="F52" s="402">
        <f>I46</f>
        <v>684544.03</v>
      </c>
      <c r="G52" s="109" t="s">
        <v>6</v>
      </c>
      <c r="H52" s="403">
        <v>1.41E-2</v>
      </c>
      <c r="I52" s="101">
        <f>ROUND(F52*H52,2)</f>
        <v>9652.07</v>
      </c>
      <c r="N52" s="28"/>
      <c r="O52" s="385" t="s">
        <v>400</v>
      </c>
      <c r="P52" s="28"/>
      <c r="Q52" s="44" t="s">
        <v>399</v>
      </c>
      <c r="R52" s="410">
        <f>U30</f>
        <v>145174.81</v>
      </c>
      <c r="S52" s="411" t="s">
        <v>6</v>
      </c>
      <c r="T52" s="412">
        <v>1.41E-2</v>
      </c>
      <c r="U52" s="413">
        <f>ROUND(R52*T52,2)</f>
        <v>2046.96</v>
      </c>
    </row>
    <row r="53" spans="1:22" x14ac:dyDescent="0.25">
      <c r="A53" s="26"/>
      <c r="B53" s="81" t="s">
        <v>401</v>
      </c>
      <c r="C53" s="26"/>
      <c r="D53" s="26"/>
      <c r="E53" s="43"/>
      <c r="F53" s="402"/>
      <c r="G53" s="109"/>
      <c r="H53" s="403"/>
      <c r="I53" s="97">
        <f>SUM(I51:I52)</f>
        <v>40593.46</v>
      </c>
      <c r="N53" s="28"/>
      <c r="O53" s="385" t="s">
        <v>401</v>
      </c>
      <c r="P53" s="28"/>
      <c r="Q53" s="44"/>
      <c r="R53" s="410"/>
      <c r="S53" s="411"/>
      <c r="T53" s="412"/>
      <c r="U53" s="404">
        <f>SUM(U51:U52)</f>
        <v>8608.86</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0.5</v>
      </c>
      <c r="D59" s="143">
        <v>0.55000000000000004</v>
      </c>
      <c r="E59" s="116">
        <f t="shared" si="10"/>
        <v>1.05</v>
      </c>
      <c r="F59" s="445" t="s">
        <v>439</v>
      </c>
      <c r="G59" s="445">
        <v>253</v>
      </c>
      <c r="H59" s="459">
        <f>'1461'!H59</f>
        <v>6896</v>
      </c>
      <c r="I59" s="101">
        <f t="shared" si="11"/>
        <v>7240.8</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0.5</v>
      </c>
      <c r="D66" s="97">
        <f>SUM(D57:D65)</f>
        <v>0.55000000000000004</v>
      </c>
      <c r="E66" s="97">
        <f>SUM(E57:E65)</f>
        <v>1.05</v>
      </c>
      <c r="F66" s="520" t="s">
        <v>448</v>
      </c>
      <c r="G66" s="520"/>
      <c r="H66" s="520"/>
      <c r="I66" s="97">
        <f>SUM(I57:I65)</f>
        <v>7240.8</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27.05</v>
      </c>
      <c r="D69" s="530" t="s">
        <v>413</v>
      </c>
      <c r="E69" s="530"/>
      <c r="F69" s="530"/>
      <c r="G69" s="530"/>
      <c r="H69" s="301">
        <f>'1461'!H69</f>
        <v>203305.63</v>
      </c>
      <c r="I69" s="113"/>
      <c r="N69" s="591" t="s">
        <v>406</v>
      </c>
      <c r="O69" s="568"/>
      <c r="P69" s="41">
        <f>P30</f>
        <v>27.05</v>
      </c>
      <c r="Q69" s="596" t="s">
        <v>408</v>
      </c>
      <c r="R69" s="597"/>
      <c r="S69" s="597"/>
      <c r="T69" s="595">
        <f>H69</f>
        <v>203305.63</v>
      </c>
      <c r="U69" s="595"/>
    </row>
    <row r="70" spans="1:22" x14ac:dyDescent="0.25">
      <c r="B70" s="69"/>
      <c r="G70" s="42" t="s">
        <v>12</v>
      </c>
      <c r="H70" s="114">
        <f>ROUND(C69/H69,6)</f>
        <v>1.3300000000000001E-4</v>
      </c>
      <c r="I70" s="115"/>
      <c r="N70" s="568"/>
      <c r="O70" s="568"/>
      <c r="P70" s="568"/>
      <c r="Q70" s="568"/>
      <c r="R70" s="568"/>
      <c r="S70" s="568"/>
      <c r="T70" s="598">
        <f>ROUND(P69/T69,6)</f>
        <v>1.3300000000000001E-4</v>
      </c>
      <c r="U70" s="598"/>
    </row>
    <row r="71" spans="1:22" x14ac:dyDescent="0.25">
      <c r="A71" s="444" t="s">
        <v>451</v>
      </c>
      <c r="N71" s="455" t="s">
        <v>459</v>
      </c>
      <c r="O71" s="51"/>
      <c r="P71" s="51"/>
      <c r="Q71" s="51"/>
      <c r="R71" s="51"/>
      <c r="S71" s="51"/>
      <c r="T71" s="51"/>
      <c r="U71" s="51"/>
    </row>
    <row r="72" spans="1:22" x14ac:dyDescent="0.25">
      <c r="A72" s="516" t="s">
        <v>403</v>
      </c>
      <c r="B72" s="517"/>
      <c r="C72" s="112">
        <f>H30</f>
        <v>127.54910000000001</v>
      </c>
      <c r="D72" s="530" t="s">
        <v>414</v>
      </c>
      <c r="E72" s="530"/>
      <c r="F72" s="530"/>
      <c r="G72" s="530"/>
      <c r="H72" s="302">
        <f>'1461'!H72</f>
        <v>227540.36</v>
      </c>
      <c r="I72" s="116"/>
      <c r="N72" s="591" t="s">
        <v>407</v>
      </c>
      <c r="O72" s="568"/>
      <c r="P72" s="41">
        <f>T30</f>
        <v>27.05</v>
      </c>
      <c r="Q72" s="596" t="s">
        <v>409</v>
      </c>
      <c r="R72" s="597"/>
      <c r="S72" s="597"/>
      <c r="T72" s="595">
        <f>H72</f>
        <v>227540.36</v>
      </c>
      <c r="U72" s="595"/>
    </row>
    <row r="73" spans="1:22" x14ac:dyDescent="0.25">
      <c r="G73" s="42" t="s">
        <v>12</v>
      </c>
      <c r="H73" s="114">
        <f>ROUND(C72/H72,6)</f>
        <v>5.6099999999999998E-4</v>
      </c>
      <c r="I73" s="114"/>
      <c r="N73" s="568"/>
      <c r="O73" s="568"/>
      <c r="P73" s="568"/>
      <c r="Q73" s="568"/>
      <c r="R73" s="568"/>
      <c r="S73" s="568"/>
      <c r="T73" s="598">
        <f>ROUND(P72/T72,6)</f>
        <v>1.1900000000000001E-4</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27.05</v>
      </c>
      <c r="D75" s="529" t="s">
        <v>415</v>
      </c>
      <c r="E75" s="529"/>
      <c r="F75" s="529"/>
      <c r="G75" s="529"/>
      <c r="H75" s="301">
        <f>'1461'!H75</f>
        <v>186907.73</v>
      </c>
      <c r="I75" s="113"/>
      <c r="N75" s="591" t="s">
        <v>405</v>
      </c>
      <c r="O75" s="568"/>
      <c r="P75" s="41">
        <f>P30</f>
        <v>27.05</v>
      </c>
      <c r="Q75" s="601" t="s">
        <v>410</v>
      </c>
      <c r="R75" s="602"/>
      <c r="S75" s="602"/>
      <c r="T75" s="595">
        <f>H75</f>
        <v>186907.73</v>
      </c>
      <c r="U75" s="595"/>
    </row>
    <row r="76" spans="1:22" x14ac:dyDescent="0.25">
      <c r="B76" s="69"/>
      <c r="G76" s="42" t="s">
        <v>12</v>
      </c>
      <c r="H76" s="114">
        <f>ROUND(C75/H75,6)</f>
        <v>1.45E-4</v>
      </c>
      <c r="I76" s="115"/>
      <c r="N76" s="568"/>
      <c r="O76" s="568"/>
      <c r="P76" s="568"/>
      <c r="Q76" s="568"/>
      <c r="R76" s="568"/>
      <c r="S76" s="568"/>
      <c r="T76" s="598">
        <f>ROUND(P75/T75,6)</f>
        <v>1.45E-4</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27.05</v>
      </c>
      <c r="D78" s="525" t="s">
        <v>416</v>
      </c>
      <c r="E78" s="525"/>
      <c r="F78" s="525"/>
      <c r="G78" s="525"/>
      <c r="H78" s="301">
        <f>'1461'!H78</f>
        <v>203080.55</v>
      </c>
      <c r="I78" s="113"/>
      <c r="N78" s="591" t="s">
        <v>405</v>
      </c>
      <c r="O78" s="568"/>
      <c r="P78" s="41">
        <f>P30</f>
        <v>27.05</v>
      </c>
      <c r="Q78" s="599" t="s">
        <v>411</v>
      </c>
      <c r="R78" s="600"/>
      <c r="S78" s="600"/>
      <c r="T78" s="595">
        <f>H78</f>
        <v>203080.55</v>
      </c>
      <c r="U78" s="595"/>
    </row>
    <row r="79" spans="1:22" x14ac:dyDescent="0.25">
      <c r="B79" s="69"/>
      <c r="G79" s="42" t="s">
        <v>12</v>
      </c>
      <c r="H79" s="114">
        <f>ROUND(C78/H78,6)</f>
        <v>1.3300000000000001E-4</v>
      </c>
      <c r="I79" s="115"/>
      <c r="N79" s="568"/>
      <c r="O79" s="568"/>
      <c r="P79" s="568"/>
      <c r="Q79" s="568"/>
      <c r="R79" s="568"/>
      <c r="S79" s="568"/>
      <c r="T79" s="598">
        <f>ROUND(P78/T78,6)</f>
        <v>1.3300000000000001E-4</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27.05</v>
      </c>
      <c r="D81" s="529" t="s">
        <v>417</v>
      </c>
      <c r="E81" s="529"/>
      <c r="F81" s="529"/>
      <c r="G81" s="529"/>
      <c r="H81" s="301">
        <f>'1461'!H81</f>
        <v>186682.65</v>
      </c>
      <c r="I81" s="113"/>
      <c r="N81" s="591" t="s">
        <v>418</v>
      </c>
      <c r="O81" s="568"/>
      <c r="P81" s="41">
        <f>P30</f>
        <v>27.05</v>
      </c>
      <c r="Q81" s="601" t="s">
        <v>419</v>
      </c>
      <c r="R81" s="602"/>
      <c r="S81" s="602"/>
      <c r="T81" s="595">
        <f>H81</f>
        <v>186682.65</v>
      </c>
      <c r="U81" s="595"/>
    </row>
    <row r="82" spans="1:21" x14ac:dyDescent="0.25">
      <c r="B82" s="69"/>
      <c r="G82" s="42" t="s">
        <v>12</v>
      </c>
      <c r="H82" s="114">
        <f>ROUND(C81/H81,6)</f>
        <v>1.45E-4</v>
      </c>
      <c r="I82" s="115"/>
      <c r="N82" s="568"/>
      <c r="O82" s="568"/>
      <c r="P82" s="568"/>
      <c r="Q82" s="568"/>
      <c r="R82" s="568"/>
      <c r="S82" s="568"/>
      <c r="T82" s="598">
        <f>ROUND(P81/T81,6)</f>
        <v>1.45E-4</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1.3300000000000001E-4</v>
      </c>
      <c r="I85" s="101">
        <f>ROUND(F85*H85,2)</f>
        <v>5940.52</v>
      </c>
      <c r="N85" s="455" t="s">
        <v>455</v>
      </c>
      <c r="O85" s="51"/>
      <c r="P85" s="51"/>
      <c r="Q85" s="44"/>
      <c r="R85" s="421">
        <f>F85</f>
        <v>44665536</v>
      </c>
      <c r="S85" s="38" t="s">
        <v>6</v>
      </c>
      <c r="T85" s="423">
        <f>T79</f>
        <v>1.3300000000000001E-4</v>
      </c>
      <c r="U85" s="475">
        <f>ROUND(R85*T85,2)</f>
        <v>5940.52</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1.3300000000000001E-4</v>
      </c>
      <c r="I88" s="101">
        <f>ROUND(F88*H88,2)</f>
        <v>0</v>
      </c>
      <c r="N88" s="603" t="s">
        <v>99</v>
      </c>
      <c r="O88" s="568"/>
      <c r="P88" s="568"/>
      <c r="Q88" s="44"/>
      <c r="R88" s="421">
        <f>F88</f>
        <v>0</v>
      </c>
      <c r="S88" s="38" t="s">
        <v>6</v>
      </c>
      <c r="T88" s="423">
        <f>T70</f>
        <v>1.3300000000000001E-4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1.45E-4</v>
      </c>
      <c r="I90" s="101">
        <f>ROUND(F90*H90,2)</f>
        <v>2344.2199999999998</v>
      </c>
      <c r="N90" s="455" t="s">
        <v>456</v>
      </c>
      <c r="O90" s="51"/>
      <c r="P90" s="51"/>
      <c r="Q90" s="44"/>
      <c r="R90" s="421">
        <f>F90</f>
        <v>16167052</v>
      </c>
      <c r="S90" s="38" t="s">
        <v>6</v>
      </c>
      <c r="T90" s="423">
        <f>T82</f>
        <v>1.45E-4</v>
      </c>
      <c r="U90" s="475">
        <f>ROUND(R90*T90,2)</f>
        <v>2344.2199999999998</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1.45E-4</v>
      </c>
      <c r="I92" s="101">
        <f t="shared" ref="I92:I96" si="14">ROUND(F92*H92,2)</f>
        <v>1455.81</v>
      </c>
      <c r="N92" s="455" t="s">
        <v>457</v>
      </c>
      <c r="O92" s="51"/>
      <c r="P92" s="51"/>
      <c r="Q92" s="44"/>
      <c r="R92" s="421">
        <f t="shared" ref="R92:R96" si="15">F92</f>
        <v>10040099</v>
      </c>
      <c r="S92" s="38" t="s">
        <v>6</v>
      </c>
      <c r="T92" s="423">
        <f>T76</f>
        <v>1.45E-4</v>
      </c>
      <c r="U92" s="475">
        <f>ROUND(R92*T92,2)</f>
        <v>1455.81</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5.6099999999999998E-4</v>
      </c>
      <c r="I94" s="101">
        <f t="shared" si="14"/>
        <v>134077.70000000001</v>
      </c>
      <c r="N94" s="568" t="s">
        <v>421</v>
      </c>
      <c r="O94" s="568"/>
      <c r="P94" s="568"/>
      <c r="Q94" s="44"/>
      <c r="R94" s="421">
        <f t="shared" si="15"/>
        <v>238997674</v>
      </c>
      <c r="S94" s="38" t="s">
        <v>6</v>
      </c>
      <c r="T94" s="423">
        <f>T73</f>
        <v>1.1900000000000001E-4</v>
      </c>
      <c r="U94" s="475">
        <f>ROUND(R94*T94,2)</f>
        <v>28440.720000000001</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5.6099999999999998E-4</v>
      </c>
      <c r="I96" s="101">
        <f t="shared" si="14"/>
        <v>-897.63</v>
      </c>
      <c r="N96" s="591" t="s">
        <v>422</v>
      </c>
      <c r="O96" s="568"/>
      <c r="P96" s="568"/>
      <c r="Q96" s="44"/>
      <c r="R96" s="421">
        <f t="shared" si="15"/>
        <v>-1600047</v>
      </c>
      <c r="S96" s="38" t="s">
        <v>6</v>
      </c>
      <c r="T96" s="423">
        <f>T73</f>
        <v>1.1900000000000001E-4</v>
      </c>
      <c r="U96" s="475">
        <f>ROUND(R96*T96,2)</f>
        <v>-190.41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43.684600000000003</v>
      </c>
      <c r="D101" s="515"/>
      <c r="E101" s="46">
        <f>H8</f>
        <v>1.0442</v>
      </c>
      <c r="F101" s="304">
        <f>'1461'!F101</f>
        <v>947.59</v>
      </c>
      <c r="G101" s="39" t="s">
        <v>12</v>
      </c>
      <c r="H101" s="101">
        <f>ROUND(C101*E101*F101,2)</f>
        <v>43224.75</v>
      </c>
      <c r="I101" s="104"/>
      <c r="N101" s="28" t="s">
        <v>17</v>
      </c>
      <c r="O101" s="47">
        <f>T14+T15+T20+T23+T26</f>
        <v>9.5500000000000007</v>
      </c>
      <c r="P101" s="606">
        <f>T8</f>
        <v>1.0442</v>
      </c>
      <c r="Q101" s="606"/>
      <c r="R101" s="48">
        <f>F101</f>
        <v>947.59</v>
      </c>
      <c r="S101" s="40" t="s">
        <v>12</v>
      </c>
      <c r="T101" s="481">
        <f>ROUND(O101*P101*R101,2)</f>
        <v>9449.4699999999993</v>
      </c>
      <c r="U101" s="102"/>
    </row>
    <row r="102" spans="1:21" x14ac:dyDescent="0.25">
      <c r="A102" s="49"/>
      <c r="B102" s="49" t="s">
        <v>104</v>
      </c>
      <c r="C102" s="515">
        <f>H16+H17+H21+H24+H27</f>
        <v>83.864500000000007</v>
      </c>
      <c r="D102" s="515"/>
      <c r="E102" s="46">
        <f>H8</f>
        <v>1.0442</v>
      </c>
      <c r="F102" s="304">
        <f>'1461'!F102</f>
        <v>904.74</v>
      </c>
      <c r="G102" s="39" t="s">
        <v>12</v>
      </c>
      <c r="H102" s="101">
        <f>ROUND(C102*E102*F102,2)</f>
        <v>79229.27</v>
      </c>
      <c r="N102" s="50" t="s">
        <v>13</v>
      </c>
      <c r="O102" s="47">
        <f>T16+T17+T21+T24+T27</f>
        <v>17.5</v>
      </c>
      <c r="P102" s="606">
        <f>T8</f>
        <v>1.0442</v>
      </c>
      <c r="Q102" s="606"/>
      <c r="R102" s="48">
        <f>F102</f>
        <v>904.74</v>
      </c>
      <c r="S102" s="40" t="s">
        <v>12</v>
      </c>
      <c r="T102" s="481">
        <f>ROUND(O102*P102*R102,2)</f>
        <v>16532.77</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127.54910000000001</v>
      </c>
      <c r="D104" s="528"/>
      <c r="E104" s="123"/>
      <c r="F104" s="123"/>
      <c r="G104" s="123"/>
      <c r="H104" s="124" t="s">
        <v>100</v>
      </c>
      <c r="I104" s="101">
        <f>IF(A1=75,0,H103+H102+H101)</f>
        <v>122454.02</v>
      </c>
      <c r="N104" s="56" t="s">
        <v>89</v>
      </c>
      <c r="O104" s="57">
        <f>SUM(O101:O103)</f>
        <v>27.05</v>
      </c>
      <c r="P104" s="607" t="s">
        <v>16</v>
      </c>
      <c r="Q104" s="608"/>
      <c r="R104" s="608"/>
      <c r="S104" s="608"/>
      <c r="T104" s="608"/>
      <c r="U104" s="475">
        <f>IF(N1=75,0,T103+T102+T101)</f>
        <v>25982.239999999998</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9</v>
      </c>
      <c r="E110" s="116">
        <f>(C110+D110)/2</f>
        <v>4.5</v>
      </c>
      <c r="F110" s="126" t="s">
        <v>30</v>
      </c>
      <c r="G110" s="305">
        <f>'1461'!G110</f>
        <v>565</v>
      </c>
      <c r="I110" s="101">
        <f>ROUND(G110*E110,2)</f>
        <v>2542.5</v>
      </c>
      <c r="N110" s="617" t="s">
        <v>52</v>
      </c>
      <c r="O110" s="617"/>
      <c r="P110" s="605">
        <f>IF(H130=1,E110,0)</f>
        <v>4.5</v>
      </c>
      <c r="Q110" s="605"/>
      <c r="R110" s="605"/>
      <c r="S110" s="83" t="s">
        <v>30</v>
      </c>
      <c r="T110" s="58">
        <f>G110</f>
        <v>565</v>
      </c>
      <c r="U110" s="475">
        <f>ROUND(T110*P110,2)</f>
        <v>2542.5</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959701.97000000009</v>
      </c>
      <c r="N125" s="455"/>
      <c r="O125" s="454"/>
      <c r="P125" s="454"/>
      <c r="Q125" s="307"/>
      <c r="R125" s="307"/>
      <c r="S125" s="307"/>
      <c r="T125" s="307"/>
      <c r="U125" s="482">
        <f>SUM(U30,U85,U88,U90,U92,U94,U96,U104,U110,U111,U121,U123)</f>
        <v>211690.40999999997</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919108.51000000013</v>
      </c>
      <c r="N127" s="613" t="s">
        <v>33</v>
      </c>
      <c r="O127" s="613"/>
      <c r="P127" s="613"/>
      <c r="Q127" s="613"/>
      <c r="R127" s="613"/>
      <c r="S127" s="613"/>
      <c r="T127" s="613"/>
      <c r="U127" s="132">
        <f>U125-U53</f>
        <v>203081.55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f>IF(E30=0,"",IF((E15+E17+SUM(E19:E25))/E30&gt;0.75,1,""))</f>
        <v>1</v>
      </c>
      <c r="I130" s="116">
        <f>U127</f>
        <v>203081.55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203081.55</v>
      </c>
      <c r="I132" s="94">
        <f>ROUND(IF(E30=0,0,IF(E30&gt;250,-(((250/E30)*H132)*IF(G132="H",0.02,0.05)),IF(G132="H",-0.02*H132,-0.05*H132))),2)</f>
        <v>-10154.08</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949547.89000000013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-81895.520000000004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867652.37000000011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78877.490000000005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370</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372</v>
      </c>
      <c r="B152" s="348"/>
      <c r="C152" s="348"/>
      <c r="D152" s="348"/>
      <c r="E152" s="348"/>
      <c r="F152" s="348"/>
      <c r="G152" s="348"/>
      <c r="H152" s="348"/>
      <c r="I152" s="348"/>
      <c r="N152" s="612"/>
      <c r="O152" s="612"/>
      <c r="P152" s="612"/>
      <c r="Q152" s="612"/>
      <c r="R152" s="612"/>
      <c r="S152" s="612"/>
      <c r="T152" s="612"/>
      <c r="U152" s="612"/>
    </row>
    <row r="153" spans="1:21" s="76" customFormat="1" x14ac:dyDescent="0.2">
      <c r="A153" s="346" t="s">
        <v>373</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374</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375</v>
      </c>
      <c r="B155" s="348"/>
      <c r="C155" s="348"/>
      <c r="D155" s="348"/>
      <c r="E155" s="348"/>
      <c r="F155" s="348"/>
      <c r="G155" s="348"/>
      <c r="H155" s="348"/>
      <c r="I155" s="348"/>
      <c r="N155" s="78"/>
    </row>
    <row r="156" spans="1:21" s="76" customFormat="1" x14ac:dyDescent="0.2">
      <c r="A156" s="346" t="s">
        <v>377</v>
      </c>
      <c r="B156" s="348"/>
      <c r="C156" s="348"/>
      <c r="D156" s="348"/>
      <c r="E156" s="348"/>
      <c r="F156" s="348"/>
      <c r="G156" s="348"/>
      <c r="H156" s="348"/>
      <c r="I156" s="348"/>
      <c r="N156" s="78"/>
    </row>
    <row r="157" spans="1:21" s="76" customFormat="1" x14ac:dyDescent="0.2">
      <c r="A157" s="352" t="s">
        <v>376</v>
      </c>
      <c r="B157" s="348"/>
      <c r="C157" s="348"/>
      <c r="D157" s="348"/>
      <c r="E157" s="348"/>
      <c r="F157" s="348"/>
      <c r="G157" s="348"/>
      <c r="H157" s="348"/>
      <c r="I157" s="348"/>
      <c r="N157" s="78"/>
    </row>
    <row r="158" spans="1:21" s="76" customFormat="1" x14ac:dyDescent="0.2">
      <c r="A158" s="346" t="s">
        <v>378</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381</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383</v>
      </c>
      <c r="B162" s="348"/>
      <c r="C162" s="348"/>
      <c r="D162" s="348"/>
      <c r="E162" s="348"/>
      <c r="F162" s="348"/>
      <c r="G162" s="348"/>
      <c r="H162" s="348"/>
      <c r="I162" s="348"/>
      <c r="N162" s="78"/>
    </row>
    <row r="163" spans="1:21" s="76" customFormat="1" ht="15.75" customHeight="1" x14ac:dyDescent="0.2">
      <c r="A163" s="352" t="s">
        <v>382</v>
      </c>
      <c r="B163" s="348"/>
      <c r="C163" s="348"/>
      <c r="D163" s="348"/>
      <c r="E163" s="348"/>
      <c r="F163" s="348"/>
      <c r="G163" s="348"/>
      <c r="H163" s="348"/>
      <c r="I163" s="348"/>
      <c r="N163" s="78"/>
    </row>
    <row r="164" spans="1:21" s="76" customFormat="1" ht="15.75" customHeight="1" x14ac:dyDescent="0.2">
      <c r="A164" s="346" t="s">
        <v>384</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386</v>
      </c>
      <c r="B166" s="348"/>
      <c r="C166" s="348"/>
      <c r="D166" s="348"/>
      <c r="E166" s="348"/>
      <c r="F166" s="348"/>
      <c r="G166" s="348"/>
      <c r="H166" s="348"/>
      <c r="I166" s="348"/>
      <c r="N166" s="78"/>
    </row>
    <row r="167" spans="1:21" s="76" customFormat="1" ht="15.75" customHeight="1" x14ac:dyDescent="0.2">
      <c r="A167" s="352" t="s">
        <v>385</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387</v>
      </c>
      <c r="B172" s="358"/>
      <c r="C172" s="358"/>
      <c r="D172" s="358"/>
      <c r="E172" s="358"/>
      <c r="F172" s="358"/>
      <c r="G172" s="358"/>
      <c r="H172" s="358"/>
      <c r="I172" s="358"/>
      <c r="J172" s="3"/>
      <c r="K172" s="3"/>
      <c r="L172" s="3"/>
      <c r="M172" s="3"/>
      <c r="N172" s="78"/>
    </row>
    <row r="173" spans="1:21" s="76" customFormat="1" ht="15.75" customHeight="1" x14ac:dyDescent="0.2">
      <c r="A173" s="364" t="s">
        <v>388</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5" right="0.1" top="0.5" bottom="0.5" header="0" footer="0.1"/>
  <pageSetup scale="32"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258</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0</v>
      </c>
      <c r="D14" s="141">
        <v>0</v>
      </c>
      <c r="E14" s="187">
        <f>IF(D$30=0,C14*2,C14+D14)</f>
        <v>0</v>
      </c>
      <c r="F14" s="558">
        <f>'1461'!F14:G14</f>
        <v>1.1220000000000001</v>
      </c>
      <c r="G14" s="558"/>
      <c r="H14" s="145">
        <f>ROUND(E14*F14,4)</f>
        <v>0</v>
      </c>
      <c r="I14" s="111">
        <f>ROUND(ROUND(ROUND(H14*$C$8,4)*($H$8),2)*(MAX($H$9,1)),2)</f>
        <v>0</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0</v>
      </c>
      <c r="D15" s="143">
        <v>0</v>
      </c>
      <c r="E15" s="116">
        <f t="shared" ref="E15:E29" si="1">IF(D$30=0,C15*2,C15+D15)</f>
        <v>0</v>
      </c>
      <c r="F15" s="555">
        <f>'1461'!F15:G15</f>
        <v>1.1220000000000001</v>
      </c>
      <c r="G15" s="555"/>
      <c r="H15" s="80">
        <f t="shared" ref="H15:H29" si="2">ROUND(E15*F15,4)</f>
        <v>0</v>
      </c>
      <c r="I15" s="101">
        <f t="shared" ref="I15:I29" si="3">ROUND(ROUND(ROUND(H15*$C$8,4)*($H$8),2)*(MAX($H$9,1)),2)</f>
        <v>0</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0</v>
      </c>
      <c r="D16" s="143">
        <v>0</v>
      </c>
      <c r="E16" s="116">
        <f t="shared" si="1"/>
        <v>0</v>
      </c>
      <c r="F16" s="555">
        <f>'1461'!F16:G16</f>
        <v>1</v>
      </c>
      <c r="G16" s="555"/>
      <c r="H16" s="80">
        <f t="shared" si="2"/>
        <v>0</v>
      </c>
      <c r="I16" s="101">
        <f t="shared" si="3"/>
        <v>0</v>
      </c>
      <c r="N16" s="568" t="s">
        <v>22</v>
      </c>
      <c r="O16" s="568"/>
      <c r="P16" s="569">
        <f t="shared" si="0"/>
        <v>0</v>
      </c>
      <c r="Q16" s="569"/>
      <c r="R16" s="570">
        <v>1</v>
      </c>
      <c r="S16" s="570"/>
      <c r="T16" s="95">
        <f t="shared" si="4"/>
        <v>0</v>
      </c>
      <c r="U16" s="475">
        <f t="shared" si="5"/>
        <v>0</v>
      </c>
    </row>
    <row r="17" spans="1:21" x14ac:dyDescent="0.25">
      <c r="A17" s="517" t="s">
        <v>23</v>
      </c>
      <c r="B17" s="517"/>
      <c r="C17" s="143">
        <v>0</v>
      </c>
      <c r="D17" s="143">
        <v>0</v>
      </c>
      <c r="E17" s="116">
        <f t="shared" si="1"/>
        <v>0</v>
      </c>
      <c r="F17" s="555">
        <f>'1461'!F17:G17</f>
        <v>1</v>
      </c>
      <c r="G17" s="555"/>
      <c r="H17" s="80">
        <f t="shared" si="2"/>
        <v>0</v>
      </c>
      <c r="I17" s="101">
        <f t="shared" si="3"/>
        <v>0</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22.5</v>
      </c>
      <c r="D20" s="143">
        <v>23.52</v>
      </c>
      <c r="E20" s="116">
        <f t="shared" si="1"/>
        <v>46.019999999999996</v>
      </c>
      <c r="F20" s="555">
        <f>'1461'!F20:G20</f>
        <v>3.706</v>
      </c>
      <c r="G20" s="555"/>
      <c r="H20" s="80">
        <f t="shared" si="2"/>
        <v>170.55009999999999</v>
      </c>
      <c r="I20" s="101">
        <f t="shared" si="3"/>
        <v>915326.37</v>
      </c>
      <c r="N20" s="568" t="s">
        <v>79</v>
      </c>
      <c r="O20" s="568"/>
      <c r="P20" s="569">
        <f t="shared" si="0"/>
        <v>46.019999999999996</v>
      </c>
      <c r="Q20" s="569"/>
      <c r="R20" s="570">
        <v>1</v>
      </c>
      <c r="S20" s="570"/>
      <c r="T20" s="95">
        <f t="shared" si="4"/>
        <v>46.02</v>
      </c>
      <c r="U20" s="475">
        <f t="shared" si="5"/>
        <v>246985.02</v>
      </c>
    </row>
    <row r="21" spans="1:21" x14ac:dyDescent="0.25">
      <c r="A21" s="517" t="s">
        <v>80</v>
      </c>
      <c r="B21" s="517"/>
      <c r="C21" s="143">
        <v>25.5</v>
      </c>
      <c r="D21" s="143">
        <v>25.5</v>
      </c>
      <c r="E21" s="116">
        <f t="shared" si="1"/>
        <v>51</v>
      </c>
      <c r="F21" s="555">
        <f>'1461'!F21:G21</f>
        <v>3.706</v>
      </c>
      <c r="G21" s="555"/>
      <c r="H21" s="80">
        <f t="shared" si="2"/>
        <v>189.006</v>
      </c>
      <c r="I21" s="101">
        <f t="shared" si="3"/>
        <v>1014377.45</v>
      </c>
      <c r="N21" s="568" t="s">
        <v>80</v>
      </c>
      <c r="O21" s="568"/>
      <c r="P21" s="569">
        <f t="shared" si="0"/>
        <v>51</v>
      </c>
      <c r="Q21" s="569"/>
      <c r="R21" s="570">
        <v>1</v>
      </c>
      <c r="S21" s="570"/>
      <c r="T21" s="95">
        <f t="shared" si="4"/>
        <v>51</v>
      </c>
      <c r="U21" s="475">
        <f t="shared" si="5"/>
        <v>273712.21000000002</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9</v>
      </c>
      <c r="D23" s="143">
        <v>8</v>
      </c>
      <c r="E23" s="116">
        <f t="shared" si="1"/>
        <v>17</v>
      </c>
      <c r="F23" s="555">
        <f>'1461'!F23:G23</f>
        <v>5.7069999999999999</v>
      </c>
      <c r="G23" s="555"/>
      <c r="H23" s="80">
        <f t="shared" si="2"/>
        <v>97.019000000000005</v>
      </c>
      <c r="I23" s="101">
        <f t="shared" si="3"/>
        <v>520691.86</v>
      </c>
      <c r="N23" s="568" t="s">
        <v>82</v>
      </c>
      <c r="O23" s="568"/>
      <c r="P23" s="569">
        <f t="shared" si="0"/>
        <v>17</v>
      </c>
      <c r="Q23" s="569"/>
      <c r="R23" s="570">
        <v>1</v>
      </c>
      <c r="S23" s="570"/>
      <c r="T23" s="95">
        <f t="shared" si="4"/>
        <v>17</v>
      </c>
      <c r="U23" s="475">
        <f t="shared" si="5"/>
        <v>91237.4</v>
      </c>
    </row>
    <row r="24" spans="1:21" x14ac:dyDescent="0.25">
      <c r="A24" s="517" t="s">
        <v>83</v>
      </c>
      <c r="B24" s="517"/>
      <c r="C24" s="143">
        <v>16.5</v>
      </c>
      <c r="D24" s="143">
        <v>16.5</v>
      </c>
      <c r="E24" s="116">
        <f t="shared" si="1"/>
        <v>33</v>
      </c>
      <c r="F24" s="555">
        <f>'1461'!F24:G24</f>
        <v>5.7069999999999999</v>
      </c>
      <c r="G24" s="555"/>
      <c r="H24" s="80">
        <f t="shared" si="2"/>
        <v>188.33099999999999</v>
      </c>
      <c r="I24" s="101">
        <f t="shared" si="3"/>
        <v>1010754.79</v>
      </c>
      <c r="N24" s="568" t="s">
        <v>83</v>
      </c>
      <c r="O24" s="568"/>
      <c r="P24" s="569">
        <f t="shared" si="0"/>
        <v>33</v>
      </c>
      <c r="Q24" s="569"/>
      <c r="R24" s="570">
        <v>1</v>
      </c>
      <c r="S24" s="570"/>
      <c r="T24" s="95">
        <f t="shared" si="4"/>
        <v>33</v>
      </c>
      <c r="U24" s="475">
        <f t="shared" si="5"/>
        <v>177107.9</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0</v>
      </c>
      <c r="D26" s="143">
        <v>0</v>
      </c>
      <c r="E26" s="116">
        <f t="shared" si="1"/>
        <v>0</v>
      </c>
      <c r="F26" s="555">
        <f>'1461'!F26:G26</f>
        <v>1.208</v>
      </c>
      <c r="G26" s="555"/>
      <c r="H26" s="80">
        <f t="shared" si="2"/>
        <v>0</v>
      </c>
      <c r="I26" s="101">
        <f t="shared" si="3"/>
        <v>0</v>
      </c>
      <c r="N26" s="568" t="s">
        <v>85</v>
      </c>
      <c r="O26" s="568"/>
      <c r="P26" s="569">
        <f t="shared" si="0"/>
        <v>0</v>
      </c>
      <c r="Q26" s="569"/>
      <c r="R26" s="570">
        <v>1</v>
      </c>
      <c r="S26" s="570"/>
      <c r="T26" s="95">
        <f t="shared" si="4"/>
        <v>0</v>
      </c>
      <c r="U26" s="475">
        <f t="shared" si="5"/>
        <v>0</v>
      </c>
    </row>
    <row r="27" spans="1:21" x14ac:dyDescent="0.25">
      <c r="A27" s="517" t="s">
        <v>86</v>
      </c>
      <c r="B27" s="517"/>
      <c r="C27" s="143">
        <v>0</v>
      </c>
      <c r="D27" s="143">
        <v>0</v>
      </c>
      <c r="E27" s="116">
        <f t="shared" si="1"/>
        <v>0</v>
      </c>
      <c r="F27" s="555">
        <f>'1461'!F27:G27</f>
        <v>1.208</v>
      </c>
      <c r="G27" s="555"/>
      <c r="H27" s="80">
        <f t="shared" si="2"/>
        <v>0</v>
      </c>
      <c r="I27" s="101">
        <f t="shared" si="3"/>
        <v>0</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73.5</v>
      </c>
      <c r="D30" s="94">
        <f>SUM(D14:D29)</f>
        <v>73.52</v>
      </c>
      <c r="E30" s="94">
        <f>SUM(E14:E29)</f>
        <v>147.01999999999998</v>
      </c>
      <c r="F30" s="536"/>
      <c r="G30" s="536"/>
      <c r="H30" s="99">
        <f>SUM(H14:H29)</f>
        <v>644.90610000000004</v>
      </c>
      <c r="I30" s="94">
        <f>SUM(I14:I29)</f>
        <v>3461150.4699999997</v>
      </c>
      <c r="N30" s="587" t="s">
        <v>5</v>
      </c>
      <c r="O30" s="587"/>
      <c r="P30" s="588">
        <f>SUM(P14:P29)</f>
        <v>147.01999999999998</v>
      </c>
      <c r="Q30" s="588"/>
      <c r="R30" s="589"/>
      <c r="S30" s="589"/>
      <c r="T30" s="100">
        <f>SUM(T14:T29)</f>
        <v>147.02000000000001</v>
      </c>
      <c r="U30" s="475">
        <f>SUM(U14:U29)</f>
        <v>789042.53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644.90610000000004</v>
      </c>
      <c r="F46" s="34"/>
      <c r="G46" s="106"/>
      <c r="H46" s="107" t="s">
        <v>98</v>
      </c>
      <c r="I46" s="94">
        <f>SUM(I44,I30)</f>
        <v>3461150.4699999997</v>
      </c>
      <c r="N46" s="613" t="s">
        <v>44</v>
      </c>
      <c r="O46" s="613"/>
      <c r="P46" s="613"/>
      <c r="Q46" s="613"/>
      <c r="R46" s="35">
        <f>R44+T30</f>
        <v>147.02000000000001</v>
      </c>
      <c r="S46" s="589" t="s">
        <v>42</v>
      </c>
      <c r="T46" s="589"/>
      <c r="U46" s="108">
        <f>SUM(U44,U30)</f>
        <v>789042.53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3461150.4699999997</v>
      </c>
      <c r="G51" s="109" t="s">
        <v>6</v>
      </c>
      <c r="H51" s="403">
        <v>4.5199999999999997E-2</v>
      </c>
      <c r="I51" s="101">
        <f>ROUND(F51*H51,2)</f>
        <v>156444</v>
      </c>
      <c r="N51" s="408"/>
      <c r="O51" s="409" t="s">
        <v>398</v>
      </c>
      <c r="P51" s="28"/>
      <c r="Q51" s="44" t="s">
        <v>399</v>
      </c>
      <c r="R51" s="410">
        <f>U30</f>
        <v>789042.53</v>
      </c>
      <c r="S51" s="411" t="s">
        <v>6</v>
      </c>
      <c r="T51" s="412">
        <v>4.5199999999999997E-2</v>
      </c>
      <c r="U51" s="404">
        <f>ROUND(R51*T51,2)</f>
        <v>35664.720000000001</v>
      </c>
    </row>
    <row r="52" spans="1:22" x14ac:dyDescent="0.25">
      <c r="A52" s="26"/>
      <c r="B52" s="81" t="s">
        <v>400</v>
      </c>
      <c r="C52" s="26"/>
      <c r="D52" s="26"/>
      <c r="E52" s="43" t="s">
        <v>399</v>
      </c>
      <c r="F52" s="402">
        <f>I46</f>
        <v>3461150.4699999997</v>
      </c>
      <c r="G52" s="109" t="s">
        <v>6</v>
      </c>
      <c r="H52" s="403">
        <v>1.41E-2</v>
      </c>
      <c r="I52" s="101">
        <f>ROUND(F52*H52,2)</f>
        <v>48802.22</v>
      </c>
      <c r="N52" s="28"/>
      <c r="O52" s="385" t="s">
        <v>400</v>
      </c>
      <c r="P52" s="28"/>
      <c r="Q52" s="44" t="s">
        <v>399</v>
      </c>
      <c r="R52" s="410">
        <f>U30</f>
        <v>789042.53</v>
      </c>
      <c r="S52" s="411" t="s">
        <v>6</v>
      </c>
      <c r="T52" s="412">
        <v>1.41E-2</v>
      </c>
      <c r="U52" s="413">
        <f>ROUND(R52*T52,2)</f>
        <v>11125.5</v>
      </c>
    </row>
    <row r="53" spans="1:22" x14ac:dyDescent="0.25">
      <c r="A53" s="26"/>
      <c r="B53" s="81" t="s">
        <v>401</v>
      </c>
      <c r="C53" s="26"/>
      <c r="D53" s="26"/>
      <c r="E53" s="43"/>
      <c r="F53" s="402"/>
      <c r="G53" s="109"/>
      <c r="H53" s="403"/>
      <c r="I53" s="97">
        <f>SUM(I51:I52)</f>
        <v>205246.22</v>
      </c>
      <c r="N53" s="28"/>
      <c r="O53" s="385" t="s">
        <v>401</v>
      </c>
      <c r="P53" s="28"/>
      <c r="Q53" s="44"/>
      <c r="R53" s="410"/>
      <c r="S53" s="411"/>
      <c r="T53" s="412"/>
      <c r="U53" s="404">
        <f>SUM(U51:U52)</f>
        <v>46790.22</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0</v>
      </c>
      <c r="D57" s="143">
        <v>0</v>
      </c>
      <c r="E57" s="116">
        <f t="shared" ref="E57:E65" si="10">IF(D$72=0,C57*2,C57+D57)</f>
        <v>0</v>
      </c>
      <c r="F57" s="445" t="s">
        <v>439</v>
      </c>
      <c r="G57" s="445">
        <v>251</v>
      </c>
      <c r="H57" s="459">
        <f>'1461'!H57</f>
        <v>1047</v>
      </c>
      <c r="I57" s="101">
        <f>ROUND(E57*H57,2)</f>
        <v>0</v>
      </c>
      <c r="N57" s="618" t="s">
        <v>447</v>
      </c>
      <c r="O57" s="618"/>
      <c r="P57" s="621"/>
      <c r="Q57" s="621"/>
      <c r="R57" s="451" t="s">
        <v>439</v>
      </c>
      <c r="S57" s="451">
        <v>251</v>
      </c>
      <c r="T57" s="462">
        <f>H57</f>
        <v>1047</v>
      </c>
      <c r="U57" s="476">
        <f>ROUND(P57*T57,2)</f>
        <v>0</v>
      </c>
      <c r="V57" s="426"/>
    </row>
    <row r="58" spans="1:22" x14ac:dyDescent="0.25">
      <c r="A58" s="533"/>
      <c r="B58" s="533"/>
      <c r="C58" s="143">
        <v>0</v>
      </c>
      <c r="D58" s="143">
        <v>0</v>
      </c>
      <c r="E58" s="116">
        <f t="shared" si="10"/>
        <v>0</v>
      </c>
      <c r="F58" s="445" t="s">
        <v>439</v>
      </c>
      <c r="G58" s="445">
        <v>252</v>
      </c>
      <c r="H58" s="459">
        <f>'1461'!H58</f>
        <v>3380</v>
      </c>
      <c r="I58" s="101">
        <f t="shared" ref="I58:I65" si="11">ROUND(E58*H58,2)</f>
        <v>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v>
      </c>
      <c r="D59" s="143">
        <v>0</v>
      </c>
      <c r="E59" s="116">
        <f t="shared" si="10"/>
        <v>0</v>
      </c>
      <c r="F59" s="445" t="s">
        <v>439</v>
      </c>
      <c r="G59" s="445">
        <v>253</v>
      </c>
      <c r="H59" s="459">
        <f>'1461'!H59</f>
        <v>6896</v>
      </c>
      <c r="I59" s="101">
        <f t="shared" si="11"/>
        <v>0</v>
      </c>
      <c r="N59" s="619"/>
      <c r="O59" s="619"/>
      <c r="P59" s="622"/>
      <c r="Q59" s="622"/>
      <c r="R59" s="451" t="s">
        <v>439</v>
      </c>
      <c r="S59" s="451">
        <v>253</v>
      </c>
      <c r="T59" s="462">
        <f t="shared" si="12"/>
        <v>6896</v>
      </c>
      <c r="U59" s="476">
        <f t="shared" si="13"/>
        <v>0</v>
      </c>
      <c r="V59" s="426"/>
    </row>
    <row r="60" spans="1:22" x14ac:dyDescent="0.25">
      <c r="A60" s="533"/>
      <c r="B60" s="533"/>
      <c r="C60" s="143">
        <v>0</v>
      </c>
      <c r="D60" s="143">
        <v>0</v>
      </c>
      <c r="E60" s="116">
        <f t="shared" si="10"/>
        <v>0</v>
      </c>
      <c r="F60" s="446" t="s">
        <v>13</v>
      </c>
      <c r="G60" s="445">
        <v>251</v>
      </c>
      <c r="H60" s="459">
        <f>'1461'!H60</f>
        <v>1173</v>
      </c>
      <c r="I60" s="101">
        <f t="shared" si="11"/>
        <v>0</v>
      </c>
      <c r="N60" s="619"/>
      <c r="O60" s="619"/>
      <c r="P60" s="622"/>
      <c r="Q60" s="622"/>
      <c r="R60" s="40" t="s">
        <v>13</v>
      </c>
      <c r="S60" s="451">
        <v>251</v>
      </c>
      <c r="T60" s="462">
        <f t="shared" si="12"/>
        <v>1173</v>
      </c>
      <c r="U60" s="476">
        <f t="shared" si="13"/>
        <v>0</v>
      </c>
      <c r="V60" s="426"/>
    </row>
    <row r="61" spans="1:22" x14ac:dyDescent="0.25">
      <c r="A61" s="533"/>
      <c r="B61" s="533"/>
      <c r="C61" s="143">
        <v>0</v>
      </c>
      <c r="D61" s="143">
        <v>0</v>
      </c>
      <c r="E61" s="116">
        <f t="shared" si="10"/>
        <v>0</v>
      </c>
      <c r="F61" s="446" t="s">
        <v>13</v>
      </c>
      <c r="G61" s="445">
        <v>252</v>
      </c>
      <c r="H61" s="459">
        <f>'1461'!H61</f>
        <v>3506</v>
      </c>
      <c r="I61" s="101">
        <f t="shared" si="11"/>
        <v>0</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0</v>
      </c>
      <c r="D66" s="97">
        <f>SUM(D57:D65)</f>
        <v>0</v>
      </c>
      <c r="E66" s="97">
        <f>SUM(E57:E65)</f>
        <v>0</v>
      </c>
      <c r="F66" s="520" t="s">
        <v>448</v>
      </c>
      <c r="G66" s="520"/>
      <c r="H66" s="520"/>
      <c r="I66" s="97">
        <f>SUM(I57:I65)</f>
        <v>0</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147.01999999999998</v>
      </c>
      <c r="D69" s="530" t="s">
        <v>413</v>
      </c>
      <c r="E69" s="530"/>
      <c r="F69" s="530"/>
      <c r="G69" s="530"/>
      <c r="H69" s="301">
        <f>'1461'!H69</f>
        <v>203305.63</v>
      </c>
      <c r="I69" s="113"/>
      <c r="N69" s="591" t="s">
        <v>406</v>
      </c>
      <c r="O69" s="568"/>
      <c r="P69" s="41">
        <f>P30</f>
        <v>147.01999999999998</v>
      </c>
      <c r="Q69" s="596" t="s">
        <v>408</v>
      </c>
      <c r="R69" s="597"/>
      <c r="S69" s="597"/>
      <c r="T69" s="595">
        <f>H69</f>
        <v>203305.63</v>
      </c>
      <c r="U69" s="595"/>
    </row>
    <row r="70" spans="1:22" x14ac:dyDescent="0.25">
      <c r="B70" s="69"/>
      <c r="G70" s="42" t="s">
        <v>12</v>
      </c>
      <c r="H70" s="114">
        <f>ROUND(C69/H69,6)</f>
        <v>7.2300000000000001E-4</v>
      </c>
      <c r="I70" s="115"/>
      <c r="N70" s="568"/>
      <c r="O70" s="568"/>
      <c r="P70" s="568"/>
      <c r="Q70" s="568"/>
      <c r="R70" s="568"/>
      <c r="S70" s="568"/>
      <c r="T70" s="598">
        <f>ROUND(P69/T69,6)</f>
        <v>7.2300000000000001E-4</v>
      </c>
      <c r="U70" s="598"/>
    </row>
    <row r="71" spans="1:22" x14ac:dyDescent="0.25">
      <c r="A71" s="444" t="s">
        <v>451</v>
      </c>
      <c r="N71" s="455" t="s">
        <v>459</v>
      </c>
      <c r="O71" s="51"/>
      <c r="P71" s="51"/>
      <c r="Q71" s="51"/>
      <c r="R71" s="51"/>
      <c r="S71" s="51"/>
      <c r="T71" s="51"/>
      <c r="U71" s="51"/>
    </row>
    <row r="72" spans="1:22" x14ac:dyDescent="0.25">
      <c r="A72" s="516" t="s">
        <v>403</v>
      </c>
      <c r="B72" s="517"/>
      <c r="C72" s="112">
        <f>H30</f>
        <v>644.90610000000004</v>
      </c>
      <c r="D72" s="530" t="s">
        <v>414</v>
      </c>
      <c r="E72" s="530"/>
      <c r="F72" s="530"/>
      <c r="G72" s="530"/>
      <c r="H72" s="302">
        <f>'1461'!H72</f>
        <v>227540.36</v>
      </c>
      <c r="I72" s="116"/>
      <c r="N72" s="591" t="s">
        <v>407</v>
      </c>
      <c r="O72" s="568"/>
      <c r="P72" s="41">
        <f>T30</f>
        <v>147.02000000000001</v>
      </c>
      <c r="Q72" s="596" t="s">
        <v>409</v>
      </c>
      <c r="R72" s="597"/>
      <c r="S72" s="597"/>
      <c r="T72" s="595">
        <f>H72</f>
        <v>227540.36</v>
      </c>
      <c r="U72" s="595"/>
    </row>
    <row r="73" spans="1:22" x14ac:dyDescent="0.25">
      <c r="G73" s="42" t="s">
        <v>12</v>
      </c>
      <c r="H73" s="114">
        <f>ROUND(C72/H72,6)</f>
        <v>2.8340000000000001E-3</v>
      </c>
      <c r="I73" s="114"/>
      <c r="N73" s="568"/>
      <c r="O73" s="568"/>
      <c r="P73" s="568"/>
      <c r="Q73" s="568"/>
      <c r="R73" s="568"/>
      <c r="S73" s="568"/>
      <c r="T73" s="598">
        <f>ROUND(P72/T72,6)</f>
        <v>6.4599999999999998E-4</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147.01999999999998</v>
      </c>
      <c r="D75" s="529" t="s">
        <v>415</v>
      </c>
      <c r="E75" s="529"/>
      <c r="F75" s="529"/>
      <c r="G75" s="529"/>
      <c r="H75" s="301">
        <f>'1461'!H75</f>
        <v>186907.73</v>
      </c>
      <c r="I75" s="113"/>
      <c r="N75" s="591" t="s">
        <v>405</v>
      </c>
      <c r="O75" s="568"/>
      <c r="P75" s="41">
        <f>P30</f>
        <v>147.01999999999998</v>
      </c>
      <c r="Q75" s="601" t="s">
        <v>410</v>
      </c>
      <c r="R75" s="602"/>
      <c r="S75" s="602"/>
      <c r="T75" s="595">
        <f>H75</f>
        <v>186907.73</v>
      </c>
      <c r="U75" s="595"/>
    </row>
    <row r="76" spans="1:22" x14ac:dyDescent="0.25">
      <c r="B76" s="69"/>
      <c r="G76" s="42" t="s">
        <v>12</v>
      </c>
      <c r="H76" s="114">
        <f>ROUND(C75/H75,6)</f>
        <v>7.8700000000000005E-4</v>
      </c>
      <c r="I76" s="115"/>
      <c r="N76" s="568"/>
      <c r="O76" s="568"/>
      <c r="P76" s="568"/>
      <c r="Q76" s="568"/>
      <c r="R76" s="568"/>
      <c r="S76" s="568"/>
      <c r="T76" s="598">
        <f>ROUND(P75/T75,6)</f>
        <v>7.8700000000000005E-4</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147.01999999999998</v>
      </c>
      <c r="D78" s="525" t="s">
        <v>416</v>
      </c>
      <c r="E78" s="525"/>
      <c r="F78" s="525"/>
      <c r="G78" s="525"/>
      <c r="H78" s="301">
        <f>'1461'!H78</f>
        <v>203080.55</v>
      </c>
      <c r="I78" s="113"/>
      <c r="N78" s="591" t="s">
        <v>405</v>
      </c>
      <c r="O78" s="568"/>
      <c r="P78" s="41">
        <f>P30</f>
        <v>147.01999999999998</v>
      </c>
      <c r="Q78" s="599" t="s">
        <v>411</v>
      </c>
      <c r="R78" s="600"/>
      <c r="S78" s="600"/>
      <c r="T78" s="595">
        <f>H78</f>
        <v>203080.55</v>
      </c>
      <c r="U78" s="595"/>
    </row>
    <row r="79" spans="1:22" x14ac:dyDescent="0.25">
      <c r="B79" s="69"/>
      <c r="G79" s="42" t="s">
        <v>12</v>
      </c>
      <c r="H79" s="114">
        <f>ROUND(C78/H78,6)</f>
        <v>7.2400000000000003E-4</v>
      </c>
      <c r="I79" s="115"/>
      <c r="N79" s="568"/>
      <c r="O79" s="568"/>
      <c r="P79" s="568"/>
      <c r="Q79" s="568"/>
      <c r="R79" s="568"/>
      <c r="S79" s="568"/>
      <c r="T79" s="598">
        <f>ROUND(P78/T78,6)</f>
        <v>7.2400000000000003E-4</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147.01999999999998</v>
      </c>
      <c r="D81" s="529" t="s">
        <v>417</v>
      </c>
      <c r="E81" s="529"/>
      <c r="F81" s="529"/>
      <c r="G81" s="529"/>
      <c r="H81" s="301">
        <f>'1461'!H81</f>
        <v>186682.65</v>
      </c>
      <c r="I81" s="113"/>
      <c r="N81" s="591" t="s">
        <v>418</v>
      </c>
      <c r="O81" s="568"/>
      <c r="P81" s="41">
        <f>P30</f>
        <v>147.01999999999998</v>
      </c>
      <c r="Q81" s="601" t="s">
        <v>419</v>
      </c>
      <c r="R81" s="602"/>
      <c r="S81" s="602"/>
      <c r="T81" s="595">
        <f>H81</f>
        <v>186682.65</v>
      </c>
      <c r="U81" s="595"/>
    </row>
    <row r="82" spans="1:21" x14ac:dyDescent="0.25">
      <c r="B82" s="69"/>
      <c r="G82" s="42" t="s">
        <v>12</v>
      </c>
      <c r="H82" s="114">
        <f>ROUND(C81/H81,6)</f>
        <v>7.8799999999999996E-4</v>
      </c>
      <c r="I82" s="115"/>
      <c r="N82" s="568"/>
      <c r="O82" s="568"/>
      <c r="P82" s="568"/>
      <c r="Q82" s="568"/>
      <c r="R82" s="568"/>
      <c r="S82" s="568"/>
      <c r="T82" s="598">
        <f>ROUND(P81/T81,6)</f>
        <v>7.8799999999999996E-4</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7.2400000000000003E-4</v>
      </c>
      <c r="I85" s="101">
        <f>ROUND(F85*H85,2)</f>
        <v>32337.85</v>
      </c>
      <c r="N85" s="455" t="s">
        <v>455</v>
      </c>
      <c r="O85" s="51"/>
      <c r="P85" s="51"/>
      <c r="Q85" s="44"/>
      <c r="R85" s="421">
        <f>F85</f>
        <v>44665536</v>
      </c>
      <c r="S85" s="38" t="s">
        <v>6</v>
      </c>
      <c r="T85" s="423">
        <f>T79</f>
        <v>7.2400000000000003E-4</v>
      </c>
      <c r="U85" s="475">
        <f>ROUND(R85*T85,2)</f>
        <v>32337.85</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7.2300000000000001E-4</v>
      </c>
      <c r="I88" s="101">
        <f>ROUND(F88*H88,2)</f>
        <v>0</v>
      </c>
      <c r="N88" s="603" t="s">
        <v>99</v>
      </c>
      <c r="O88" s="568"/>
      <c r="P88" s="568"/>
      <c r="Q88" s="44"/>
      <c r="R88" s="421">
        <f>F88</f>
        <v>0</v>
      </c>
      <c r="S88" s="38" t="s">
        <v>6</v>
      </c>
      <c r="T88" s="423">
        <f>T70</f>
        <v>7.2300000000000001E-4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7.8799999999999996E-4</v>
      </c>
      <c r="I90" s="101">
        <f>ROUND(F90*H90,2)</f>
        <v>12739.64</v>
      </c>
      <c r="N90" s="455" t="s">
        <v>456</v>
      </c>
      <c r="O90" s="51"/>
      <c r="P90" s="51"/>
      <c r="Q90" s="44"/>
      <c r="R90" s="421">
        <f>F90</f>
        <v>16167052</v>
      </c>
      <c r="S90" s="38" t="s">
        <v>6</v>
      </c>
      <c r="T90" s="423">
        <f>T82</f>
        <v>7.8799999999999996E-4</v>
      </c>
      <c r="U90" s="475">
        <f>ROUND(R90*T90,2)</f>
        <v>12739.64</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7.8700000000000005E-4</v>
      </c>
      <c r="I92" s="101">
        <f t="shared" ref="I92:I96" si="14">ROUND(F92*H92,2)</f>
        <v>7901.56</v>
      </c>
      <c r="N92" s="455" t="s">
        <v>457</v>
      </c>
      <c r="O92" s="51"/>
      <c r="P92" s="51"/>
      <c r="Q92" s="44"/>
      <c r="R92" s="421">
        <f t="shared" ref="R92:R96" si="15">F92</f>
        <v>10040099</v>
      </c>
      <c r="S92" s="38" t="s">
        <v>6</v>
      </c>
      <c r="T92" s="423">
        <f>T76</f>
        <v>7.8700000000000005E-4</v>
      </c>
      <c r="U92" s="475">
        <f>ROUND(R92*T92,2)</f>
        <v>7901.56</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2.8340000000000001E-3</v>
      </c>
      <c r="I94" s="101">
        <f t="shared" si="14"/>
        <v>677319.41</v>
      </c>
      <c r="N94" s="568" t="s">
        <v>421</v>
      </c>
      <c r="O94" s="568"/>
      <c r="P94" s="568"/>
      <c r="Q94" s="44"/>
      <c r="R94" s="421">
        <f t="shared" si="15"/>
        <v>238997674</v>
      </c>
      <c r="S94" s="38" t="s">
        <v>6</v>
      </c>
      <c r="T94" s="423">
        <f>T73</f>
        <v>6.4599999999999998E-4</v>
      </c>
      <c r="U94" s="475">
        <f>ROUND(R94*T94,2)</f>
        <v>154392.5</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2.8340000000000001E-3</v>
      </c>
      <c r="I96" s="101">
        <f t="shared" si="14"/>
        <v>-4534.53</v>
      </c>
      <c r="N96" s="591" t="s">
        <v>422</v>
      </c>
      <c r="O96" s="568"/>
      <c r="P96" s="568"/>
      <c r="Q96" s="44"/>
      <c r="R96" s="421">
        <f t="shared" si="15"/>
        <v>-1600047</v>
      </c>
      <c r="S96" s="38" t="s">
        <v>6</v>
      </c>
      <c r="T96" s="423">
        <f>T73</f>
        <v>6.4599999999999998E-4</v>
      </c>
      <c r="U96" s="475">
        <f>ROUND(R96*T96,2)</f>
        <v>-1033.6300000000001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267.56909999999999</v>
      </c>
      <c r="D101" s="515"/>
      <c r="E101" s="46">
        <f>H8</f>
        <v>1.0442</v>
      </c>
      <c r="F101" s="304">
        <f>'1461'!F101</f>
        <v>947.59</v>
      </c>
      <c r="G101" s="39" t="s">
        <v>12</v>
      </c>
      <c r="H101" s="101">
        <f>ROUND(C101*E101*F101,2)</f>
        <v>264752.53000000003</v>
      </c>
      <c r="I101" s="104"/>
      <c r="N101" s="28" t="s">
        <v>17</v>
      </c>
      <c r="O101" s="47">
        <f>T14+T15+T20+T23+T26</f>
        <v>63.02</v>
      </c>
      <c r="P101" s="606">
        <f>T8</f>
        <v>1.0442</v>
      </c>
      <c r="Q101" s="606"/>
      <c r="R101" s="48">
        <f>F101</f>
        <v>947.59</v>
      </c>
      <c r="S101" s="40" t="s">
        <v>12</v>
      </c>
      <c r="T101" s="481">
        <f>ROUND(O101*P101*R101,2)</f>
        <v>62356.62</v>
      </c>
      <c r="U101" s="102"/>
    </row>
    <row r="102" spans="1:21" x14ac:dyDescent="0.25">
      <c r="A102" s="49"/>
      <c r="B102" s="49" t="s">
        <v>104</v>
      </c>
      <c r="C102" s="515">
        <f>H16+H17+H21+H24+H27</f>
        <v>377.33699999999999</v>
      </c>
      <c r="D102" s="515"/>
      <c r="E102" s="46">
        <f>H8</f>
        <v>1.0442</v>
      </c>
      <c r="F102" s="304">
        <f>'1461'!F102</f>
        <v>904.74</v>
      </c>
      <c r="G102" s="39" t="s">
        <v>12</v>
      </c>
      <c r="H102" s="101">
        <f>ROUND(C102*E102*F102,2)</f>
        <v>356481.4</v>
      </c>
      <c r="N102" s="50" t="s">
        <v>13</v>
      </c>
      <c r="O102" s="47">
        <f>T16+T17+T21+T24+T27</f>
        <v>84</v>
      </c>
      <c r="P102" s="606">
        <f>T8</f>
        <v>1.0442</v>
      </c>
      <c r="Q102" s="606"/>
      <c r="R102" s="48">
        <f>F102</f>
        <v>904.74</v>
      </c>
      <c r="S102" s="40" t="s">
        <v>12</v>
      </c>
      <c r="T102" s="481">
        <f>ROUND(O102*P102*R102,2)</f>
        <v>79357.279999999999</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644.90609999999992</v>
      </c>
      <c r="D104" s="528"/>
      <c r="E104" s="123"/>
      <c r="F104" s="123"/>
      <c r="G104" s="123"/>
      <c r="H104" s="124" t="s">
        <v>100</v>
      </c>
      <c r="I104" s="101">
        <f>IF(A1=75,0,H103+H102+H101)</f>
        <v>621233.93000000005</v>
      </c>
      <c r="N104" s="56" t="s">
        <v>89</v>
      </c>
      <c r="O104" s="57">
        <f>SUM(O101:O103)</f>
        <v>147.02000000000001</v>
      </c>
      <c r="P104" s="607" t="s">
        <v>16</v>
      </c>
      <c r="Q104" s="608"/>
      <c r="R104" s="608"/>
      <c r="S104" s="608"/>
      <c r="T104" s="608"/>
      <c r="U104" s="475">
        <f>IF(N1=75,0,T103+T102+T101)</f>
        <v>141713.9</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0</v>
      </c>
      <c r="D110" s="143">
        <v>0</v>
      </c>
      <c r="E110" s="116">
        <f>(C110+D110)/2</f>
        <v>0</v>
      </c>
      <c r="F110" s="126" t="s">
        <v>30</v>
      </c>
      <c r="G110" s="305">
        <f>'1461'!G110</f>
        <v>565</v>
      </c>
      <c r="I110" s="101">
        <f>ROUND(G110*E110,2)</f>
        <v>0</v>
      </c>
      <c r="N110" s="617" t="s">
        <v>52</v>
      </c>
      <c r="O110" s="617"/>
      <c r="P110" s="605">
        <f>IF(H130=1,E110,0)</f>
        <v>0</v>
      </c>
      <c r="Q110" s="605"/>
      <c r="R110" s="605"/>
      <c r="S110" s="83" t="s">
        <v>30</v>
      </c>
      <c r="T110" s="58">
        <f>G110</f>
        <v>565</v>
      </c>
      <c r="U110" s="475">
        <f>ROUND(T110*P110,2)</f>
        <v>0</v>
      </c>
    </row>
    <row r="111" spans="1:21" x14ac:dyDescent="0.25">
      <c r="A111" s="529" t="s">
        <v>380</v>
      </c>
      <c r="B111" s="550"/>
      <c r="C111" s="143">
        <v>0</v>
      </c>
      <c r="D111" s="143">
        <v>0</v>
      </c>
      <c r="E111" s="116">
        <f>(C111+D111)/2</f>
        <v>0</v>
      </c>
      <c r="F111" s="126" t="s">
        <v>30</v>
      </c>
      <c r="G111" s="305">
        <f>'1461'!G111</f>
        <v>1762</v>
      </c>
      <c r="I111" s="101">
        <f>ROUND(G111*E111,2)</f>
        <v>0</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4808148.33</v>
      </c>
      <c r="N125" s="455"/>
      <c r="O125" s="454"/>
      <c r="P125" s="454"/>
      <c r="Q125" s="307"/>
      <c r="R125" s="307"/>
      <c r="S125" s="307"/>
      <c r="T125" s="307"/>
      <c r="U125" s="482">
        <f>SUM(U30,U85,U88,U90,U92,U94,U96,U104,U110,U111,U121,U123)</f>
        <v>1137094.3500000001</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4602902.1100000003</v>
      </c>
      <c r="N127" s="613" t="s">
        <v>33</v>
      </c>
      <c r="O127" s="613"/>
      <c r="P127" s="613"/>
      <c r="Q127" s="613"/>
      <c r="R127" s="613"/>
      <c r="S127" s="613"/>
      <c r="T127" s="613"/>
      <c r="U127" s="132">
        <f>U125-U53</f>
        <v>1090304.1300000001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f>IF(E30=0,"",IF((E15+E17+SUM(E19:E25))/E30&gt;0.75,1,""))</f>
        <v>1</v>
      </c>
      <c r="I130" s="116">
        <f>U127</f>
        <v>1090304.1300000001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1090304.1300000001</v>
      </c>
      <c r="I132" s="94">
        <f>ROUND(IF(E30=0,0,IF(E30&gt;250,-(((250/E30)*H132)*IF(G132="H",0.02,0.05)),IF(G132="H",-0.02*H132,-0.05*H132))),2)</f>
        <v>-54515.21</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4753633.12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-412342.41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4341290.71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394662.79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370</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372</v>
      </c>
      <c r="B152" s="348"/>
      <c r="C152" s="348"/>
      <c r="D152" s="348"/>
      <c r="E152" s="348"/>
      <c r="F152" s="348"/>
      <c r="G152" s="348"/>
      <c r="H152" s="348"/>
      <c r="I152" s="348"/>
      <c r="N152" s="612"/>
      <c r="O152" s="612"/>
      <c r="P152" s="612"/>
      <c r="Q152" s="612"/>
      <c r="R152" s="612"/>
      <c r="S152" s="612"/>
      <c r="T152" s="612"/>
      <c r="U152" s="612"/>
    </row>
    <row r="153" spans="1:21" s="76" customFormat="1" x14ac:dyDescent="0.2">
      <c r="A153" s="346" t="s">
        <v>373</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374</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375</v>
      </c>
      <c r="B155" s="348"/>
      <c r="C155" s="348"/>
      <c r="D155" s="348"/>
      <c r="E155" s="348"/>
      <c r="F155" s="348"/>
      <c r="G155" s="348"/>
      <c r="H155" s="348"/>
      <c r="I155" s="348"/>
      <c r="N155" s="78"/>
    </row>
    <row r="156" spans="1:21" s="76" customFormat="1" x14ac:dyDescent="0.2">
      <c r="A156" s="346" t="s">
        <v>377</v>
      </c>
      <c r="B156" s="348"/>
      <c r="C156" s="348"/>
      <c r="D156" s="348"/>
      <c r="E156" s="348"/>
      <c r="F156" s="348"/>
      <c r="G156" s="348"/>
      <c r="H156" s="348"/>
      <c r="I156" s="348"/>
      <c r="N156" s="78"/>
    </row>
    <row r="157" spans="1:21" s="76" customFormat="1" x14ac:dyDescent="0.2">
      <c r="A157" s="352" t="s">
        <v>376</v>
      </c>
      <c r="B157" s="348"/>
      <c r="C157" s="348"/>
      <c r="D157" s="348"/>
      <c r="E157" s="348"/>
      <c r="F157" s="348"/>
      <c r="G157" s="348"/>
      <c r="H157" s="348"/>
      <c r="I157" s="348"/>
      <c r="N157" s="78"/>
    </row>
    <row r="158" spans="1:21" s="76" customFormat="1" x14ac:dyDescent="0.2">
      <c r="A158" s="346" t="s">
        <v>378</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381</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383</v>
      </c>
      <c r="B162" s="348"/>
      <c r="C162" s="348"/>
      <c r="D162" s="348"/>
      <c r="E162" s="348"/>
      <c r="F162" s="348"/>
      <c r="G162" s="348"/>
      <c r="H162" s="348"/>
      <c r="I162" s="348"/>
      <c r="N162" s="78"/>
    </row>
    <row r="163" spans="1:21" s="76" customFormat="1" ht="15.75" customHeight="1" x14ac:dyDescent="0.2">
      <c r="A163" s="352" t="s">
        <v>382</v>
      </c>
      <c r="B163" s="348"/>
      <c r="C163" s="348"/>
      <c r="D163" s="348"/>
      <c r="E163" s="348"/>
      <c r="F163" s="348"/>
      <c r="G163" s="348"/>
      <c r="H163" s="348"/>
      <c r="I163" s="348"/>
      <c r="N163" s="78"/>
    </row>
    <row r="164" spans="1:21" s="76" customFormat="1" ht="15.75" customHeight="1" x14ac:dyDescent="0.2">
      <c r="A164" s="346" t="s">
        <v>384</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386</v>
      </c>
      <c r="B166" s="348"/>
      <c r="C166" s="348"/>
      <c r="D166" s="348"/>
      <c r="E166" s="348"/>
      <c r="F166" s="348"/>
      <c r="G166" s="348"/>
      <c r="H166" s="348"/>
      <c r="I166" s="348"/>
      <c r="N166" s="78"/>
    </row>
    <row r="167" spans="1:21" s="76" customFormat="1" ht="15.75" customHeight="1" x14ac:dyDescent="0.2">
      <c r="A167" s="352" t="s">
        <v>385</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387</v>
      </c>
      <c r="B172" s="358"/>
      <c r="C172" s="358"/>
      <c r="D172" s="358"/>
      <c r="E172" s="358"/>
      <c r="F172" s="358"/>
      <c r="G172" s="358"/>
      <c r="H172" s="358"/>
      <c r="I172" s="358"/>
      <c r="J172" s="3"/>
      <c r="K172" s="3"/>
      <c r="L172" s="3"/>
      <c r="M172" s="3"/>
      <c r="N172" s="78"/>
    </row>
    <row r="173" spans="1:21" s="76" customFormat="1" ht="15.75" customHeight="1" x14ac:dyDescent="0.2">
      <c r="A173" s="364" t="s">
        <v>388</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CCC"/>
  </sheetPr>
  <dimension ref="A1:V218"/>
  <sheetViews>
    <sheetView showGridLines="0" zoomScaleNormal="100" workbookViewId="0">
      <pane ySplit="1" topLeftCell="A108" activePane="bottomLeft" state="frozen"/>
      <selection activeCell="F97" sqref="F97"/>
      <selection pane="bottomLeft" activeCell="F97" sqref="F9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0" t="s">
        <v>15</v>
      </c>
      <c r="C1" s="541"/>
      <c r="D1" s="541"/>
      <c r="E1" s="541"/>
      <c r="F1" s="541"/>
      <c r="G1" s="541"/>
      <c r="H1" s="541"/>
      <c r="I1" s="541"/>
      <c r="J1" s="135"/>
      <c r="K1" s="135"/>
      <c r="L1" s="135"/>
      <c r="N1" s="82">
        <f>A1</f>
        <v>0</v>
      </c>
      <c r="O1" s="559" t="s">
        <v>15</v>
      </c>
      <c r="P1" s="560"/>
      <c r="Q1" s="560"/>
      <c r="R1" s="560"/>
      <c r="S1" s="560"/>
      <c r="T1" s="560"/>
      <c r="U1" s="560"/>
    </row>
    <row r="2" spans="1:21" ht="21" x14ac:dyDescent="0.35">
      <c r="A2" s="1" t="s">
        <v>363</v>
      </c>
      <c r="B2" s="2"/>
      <c r="C2" s="2"/>
      <c r="D2" s="2"/>
      <c r="E2" s="2"/>
      <c r="F2" s="2"/>
      <c r="G2" s="2"/>
      <c r="H2" s="2"/>
      <c r="I2" s="2"/>
      <c r="N2" s="561" t="s">
        <v>18</v>
      </c>
      <c r="O2" s="561"/>
      <c r="P2" s="561"/>
      <c r="Q2" s="561"/>
      <c r="R2" s="561"/>
      <c r="S2" s="561"/>
      <c r="T2" s="561"/>
      <c r="U2" s="561"/>
    </row>
    <row r="3" spans="1:21" x14ac:dyDescent="0.25">
      <c r="A3" s="81" t="str">
        <f>'1461'!A3</f>
        <v>Based on the FLDOE 2023-24 FEFP Second Calculation</v>
      </c>
      <c r="N3" s="562" t="str">
        <f>A3</f>
        <v>Based on the FLDOE 2023-24 FEFP Second Calculation</v>
      </c>
      <c r="O3" s="562"/>
      <c r="P3" s="562"/>
      <c r="Q3" s="562"/>
      <c r="R3" s="562"/>
      <c r="S3" s="562"/>
      <c r="T3" s="562"/>
      <c r="U3" s="562"/>
    </row>
    <row r="4" spans="1:21" x14ac:dyDescent="0.25">
      <c r="A4" s="542" t="s">
        <v>0</v>
      </c>
      <c r="B4" s="542"/>
      <c r="C4" s="543" t="s">
        <v>9</v>
      </c>
      <c r="D4" s="543"/>
      <c r="E4" s="543"/>
      <c r="F4" s="4" t="str">
        <f>'1461'!F4</f>
        <v>Aug 2023</v>
      </c>
      <c r="G4" s="4"/>
      <c r="H4" s="4"/>
      <c r="I4" s="4"/>
      <c r="N4" s="563" t="s">
        <v>0</v>
      </c>
      <c r="O4" s="563"/>
      <c r="P4" s="564" t="str">
        <f>C4</f>
        <v>Palm Beach</v>
      </c>
      <c r="Q4" s="56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4" t="s">
        <v>432</v>
      </c>
      <c r="B7" s="565"/>
      <c r="C7" s="565"/>
      <c r="D7" s="565"/>
      <c r="E7" s="565"/>
      <c r="F7" s="565"/>
      <c r="G7" s="565"/>
      <c r="H7" s="565"/>
      <c r="I7" s="565"/>
      <c r="N7" s="563" t="str">
        <f>A7</f>
        <v>1A.   2023-24 FEFP State and Local Funding</v>
      </c>
      <c r="O7" s="563"/>
      <c r="P7" s="563"/>
      <c r="Q7" s="563"/>
      <c r="R7" s="563"/>
      <c r="S7" s="563"/>
      <c r="T7" s="563"/>
      <c r="U7" s="563"/>
    </row>
    <row r="8" spans="1:21" x14ac:dyDescent="0.25">
      <c r="A8" s="84"/>
      <c r="B8" s="85" t="s">
        <v>92</v>
      </c>
      <c r="C8" s="300">
        <f>'1461'!C8</f>
        <v>5139.7299999999996</v>
      </c>
      <c r="D8" s="86"/>
      <c r="E8" s="87"/>
      <c r="F8" s="84"/>
      <c r="G8" s="85" t="s">
        <v>392</v>
      </c>
      <c r="H8" s="288">
        <f>'1461'!H8</f>
        <v>1.0442</v>
      </c>
      <c r="I8" s="75"/>
      <c r="N8" s="566" t="s">
        <v>10</v>
      </c>
      <c r="O8" s="566"/>
      <c r="P8" s="567">
        <f>C8</f>
        <v>5139.7299999999996</v>
      </c>
      <c r="Q8" s="567"/>
      <c r="R8" s="576" t="s">
        <v>393</v>
      </c>
      <c r="S8" s="577"/>
      <c r="T8" s="578">
        <f>H8</f>
        <v>1.0442</v>
      </c>
      <c r="U8" s="578"/>
    </row>
    <row r="9" spans="1:21" x14ac:dyDescent="0.25">
      <c r="A9" s="84"/>
      <c r="B9" s="85"/>
      <c r="C9" s="222"/>
      <c r="D9" s="86"/>
      <c r="E9" s="87"/>
      <c r="F9" s="84"/>
      <c r="G9" s="85" t="s">
        <v>390</v>
      </c>
      <c r="H9" s="288">
        <f>'1461'!H9</f>
        <v>1</v>
      </c>
      <c r="I9" s="75"/>
      <c r="N9" s="12"/>
      <c r="O9" s="12"/>
      <c r="P9" s="13"/>
      <c r="Q9" s="13"/>
      <c r="R9" s="389" t="s">
        <v>391</v>
      </c>
      <c r="S9" s="386"/>
      <c r="T9" s="578">
        <f>H9</f>
        <v>1</v>
      </c>
      <c r="U9" s="578"/>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5" t="s">
        <v>1</v>
      </c>
      <c r="G11" s="545"/>
      <c r="H11" s="10" t="s">
        <v>60</v>
      </c>
      <c r="I11" s="11" t="s">
        <v>27</v>
      </c>
      <c r="N11" s="12"/>
      <c r="O11" s="12"/>
      <c r="P11" s="13"/>
      <c r="Q11" s="13"/>
      <c r="R11" s="579" t="s">
        <v>1</v>
      </c>
      <c r="S11" s="579"/>
      <c r="T11" s="15" t="s">
        <v>60</v>
      </c>
      <c r="U11" s="16" t="s">
        <v>27</v>
      </c>
    </row>
    <row r="12" spans="1:21" ht="15.75" customHeight="1" x14ac:dyDescent="0.25">
      <c r="A12" s="537" t="s">
        <v>1</v>
      </c>
      <c r="B12" s="537"/>
      <c r="C12" s="325" t="str">
        <f>'1461'!C12</f>
        <v>FTE</v>
      </c>
      <c r="D12" s="325" t="str">
        <f>'1461'!D12</f>
        <v>FTE</v>
      </c>
      <c r="E12" s="325" t="s">
        <v>2</v>
      </c>
      <c r="F12" s="546" t="s">
        <v>63</v>
      </c>
      <c r="G12" s="546"/>
      <c r="H12" s="17" t="s">
        <v>59</v>
      </c>
      <c r="I12" s="390" t="s">
        <v>394</v>
      </c>
      <c r="N12" s="580" t="s">
        <v>1</v>
      </c>
      <c r="O12" s="580"/>
      <c r="P12" s="581" t="s">
        <v>19</v>
      </c>
      <c r="Q12" s="581"/>
      <c r="R12" s="582" t="s">
        <v>63</v>
      </c>
      <c r="S12" s="582"/>
      <c r="T12" s="18" t="s">
        <v>59</v>
      </c>
      <c r="U12" s="19" t="str">
        <f>I12</f>
        <v>(WFTE x BSA x CWF x SDF)</v>
      </c>
    </row>
    <row r="13" spans="1:21" x14ac:dyDescent="0.25">
      <c r="A13" s="547" t="s">
        <v>36</v>
      </c>
      <c r="B13" s="547"/>
      <c r="C13" s="91"/>
      <c r="D13" s="91"/>
      <c r="E13" s="92" t="s">
        <v>37</v>
      </c>
      <c r="F13" s="548" t="s">
        <v>38</v>
      </c>
      <c r="G13" s="548"/>
      <c r="H13" s="20" t="s">
        <v>39</v>
      </c>
      <c r="I13" s="21" t="s">
        <v>40</v>
      </c>
      <c r="N13" s="571" t="s">
        <v>36</v>
      </c>
      <c r="O13" s="571"/>
      <c r="P13" s="572" t="s">
        <v>37</v>
      </c>
      <c r="Q13" s="572"/>
      <c r="R13" s="573" t="s">
        <v>38</v>
      </c>
      <c r="S13" s="573"/>
      <c r="T13" s="22" t="s">
        <v>39</v>
      </c>
      <c r="U13" s="23" t="s">
        <v>40</v>
      </c>
    </row>
    <row r="14" spans="1:21" x14ac:dyDescent="0.25">
      <c r="A14" s="538" t="s">
        <v>20</v>
      </c>
      <c r="B14" s="538"/>
      <c r="C14" s="143">
        <v>141.85</v>
      </c>
      <c r="D14" s="141">
        <v>138.65</v>
      </c>
      <c r="E14" s="187">
        <f>IF(D$30=0,C14*2,C14+D14)</f>
        <v>280.5</v>
      </c>
      <c r="F14" s="558">
        <f>'1461'!F14:G14</f>
        <v>1.1220000000000001</v>
      </c>
      <c r="G14" s="558"/>
      <c r="H14" s="145">
        <f>ROUND(E14*F14,4)</f>
        <v>314.721</v>
      </c>
      <c r="I14" s="111">
        <f>ROUND(ROUND(ROUND(H14*$C$8,4)*($H$8),2)*(MAX($H$9,1)),2)</f>
        <v>1689078.04</v>
      </c>
      <c r="N14" s="574" t="s">
        <v>20</v>
      </c>
      <c r="O14" s="574"/>
      <c r="P14" s="569">
        <f t="shared" ref="P14:P29" si="0">IF($H$130=1,E14,0)</f>
        <v>0</v>
      </c>
      <c r="Q14" s="569"/>
      <c r="R14" s="575">
        <v>1</v>
      </c>
      <c r="S14" s="575"/>
      <c r="T14" s="95">
        <f>ROUND(P14*R14,4)</f>
        <v>0</v>
      </c>
      <c r="U14" s="475">
        <f>ROUND(ROUND(ROUND(T14*$C$8,4)*($H$8),2)*(MAX($H$9,1)),2)</f>
        <v>0</v>
      </c>
    </row>
    <row r="15" spans="1:21" x14ac:dyDescent="0.25">
      <c r="A15" s="517" t="s">
        <v>21</v>
      </c>
      <c r="B15" s="517"/>
      <c r="C15" s="143">
        <v>24</v>
      </c>
      <c r="D15" s="143">
        <v>25.5</v>
      </c>
      <c r="E15" s="116">
        <f t="shared" ref="E15:E29" si="1">IF(D$30=0,C15*2,C15+D15)</f>
        <v>49.5</v>
      </c>
      <c r="F15" s="555">
        <f>'1461'!F15:G15</f>
        <v>1.1220000000000001</v>
      </c>
      <c r="G15" s="555"/>
      <c r="H15" s="80">
        <f t="shared" ref="H15:H29" si="2">ROUND(E15*F15,4)</f>
        <v>55.539000000000001</v>
      </c>
      <c r="I15" s="101">
        <f t="shared" ref="I15:I29" si="3">ROUND(ROUND(ROUND(H15*$C$8,4)*($H$8),2)*(MAX($H$9,1)),2)</f>
        <v>298072.59999999998</v>
      </c>
      <c r="J15" s="65" t="str">
        <f>IF(ROUND(E15,2)=ROUND(SUM(E57:E59),2)," ","CHECK PK-3 LINES BELOW")</f>
        <v xml:space="preserve"> </v>
      </c>
      <c r="N15" s="568" t="s">
        <v>21</v>
      </c>
      <c r="O15" s="568"/>
      <c r="P15" s="569">
        <f t="shared" si="0"/>
        <v>0</v>
      </c>
      <c r="Q15" s="569"/>
      <c r="R15" s="570">
        <v>1</v>
      </c>
      <c r="S15" s="570"/>
      <c r="T15" s="95">
        <f t="shared" ref="T15:T29" si="4">ROUND(P15*R15,4)</f>
        <v>0</v>
      </c>
      <c r="U15" s="475">
        <f t="shared" ref="U15:U29" si="5">ROUND(ROUND(ROUND(T15*$C$8,4)*($H$8),2)*(MAX($H$9,1)),2)</f>
        <v>0</v>
      </c>
    </row>
    <row r="16" spans="1:21" x14ac:dyDescent="0.25">
      <c r="A16" s="517" t="s">
        <v>22</v>
      </c>
      <c r="B16" s="517"/>
      <c r="C16" s="143">
        <v>58.16</v>
      </c>
      <c r="D16" s="143">
        <v>56.03</v>
      </c>
      <c r="E16" s="116">
        <f t="shared" si="1"/>
        <v>114.19</v>
      </c>
      <c r="F16" s="555">
        <f>'1461'!F16:G16</f>
        <v>1</v>
      </c>
      <c r="G16" s="555"/>
      <c r="H16" s="80">
        <f t="shared" si="2"/>
        <v>114.19</v>
      </c>
      <c r="I16" s="101">
        <f t="shared" si="3"/>
        <v>612847</v>
      </c>
      <c r="N16" s="568" t="s">
        <v>22</v>
      </c>
      <c r="O16" s="568"/>
      <c r="P16" s="569">
        <f t="shared" si="0"/>
        <v>0</v>
      </c>
      <c r="Q16" s="569"/>
      <c r="R16" s="570">
        <v>1</v>
      </c>
      <c r="S16" s="570"/>
      <c r="T16" s="95">
        <f t="shared" si="4"/>
        <v>0</v>
      </c>
      <c r="U16" s="475">
        <f t="shared" si="5"/>
        <v>0</v>
      </c>
    </row>
    <row r="17" spans="1:21" x14ac:dyDescent="0.25">
      <c r="A17" s="517" t="s">
        <v>23</v>
      </c>
      <c r="B17" s="517"/>
      <c r="C17" s="143">
        <v>14</v>
      </c>
      <c r="D17" s="143">
        <v>14.48</v>
      </c>
      <c r="E17" s="116">
        <f t="shared" si="1"/>
        <v>28.48</v>
      </c>
      <c r="F17" s="555">
        <f>'1461'!F17:G17</f>
        <v>1</v>
      </c>
      <c r="G17" s="555"/>
      <c r="H17" s="80">
        <f t="shared" si="2"/>
        <v>28.48</v>
      </c>
      <c r="I17" s="101">
        <f t="shared" si="3"/>
        <v>152849.48000000001</v>
      </c>
      <c r="J17" s="65" t="str">
        <f>IF(ROUND(E17,2)=ROUND(SUM(E60:E62),2)," ","CHECK 4-8 LINES BELOW")</f>
        <v xml:space="preserve"> </v>
      </c>
      <c r="N17" s="568" t="s">
        <v>23</v>
      </c>
      <c r="O17" s="568"/>
      <c r="P17" s="569">
        <f t="shared" si="0"/>
        <v>0</v>
      </c>
      <c r="Q17" s="569"/>
      <c r="R17" s="570">
        <v>1</v>
      </c>
      <c r="S17" s="570"/>
      <c r="T17" s="95">
        <f t="shared" si="4"/>
        <v>0</v>
      </c>
      <c r="U17" s="475">
        <f t="shared" si="5"/>
        <v>0</v>
      </c>
    </row>
    <row r="18" spans="1:21" x14ac:dyDescent="0.25">
      <c r="A18" s="517" t="s">
        <v>24</v>
      </c>
      <c r="B18" s="517"/>
      <c r="C18" s="143">
        <v>0</v>
      </c>
      <c r="D18" s="143">
        <v>0</v>
      </c>
      <c r="E18" s="116">
        <f t="shared" si="1"/>
        <v>0</v>
      </c>
      <c r="F18" s="555">
        <f>'1461'!F18:G18</f>
        <v>0.98799999999999999</v>
      </c>
      <c r="G18" s="555"/>
      <c r="H18" s="80">
        <f t="shared" si="2"/>
        <v>0</v>
      </c>
      <c r="I18" s="101">
        <f t="shared" si="3"/>
        <v>0</v>
      </c>
      <c r="N18" s="568" t="s">
        <v>24</v>
      </c>
      <c r="O18" s="568"/>
      <c r="P18" s="569">
        <f t="shared" si="0"/>
        <v>0</v>
      </c>
      <c r="Q18" s="569"/>
      <c r="R18" s="570">
        <v>1</v>
      </c>
      <c r="S18" s="570"/>
      <c r="T18" s="95">
        <f t="shared" si="4"/>
        <v>0</v>
      </c>
      <c r="U18" s="475">
        <f t="shared" si="5"/>
        <v>0</v>
      </c>
    </row>
    <row r="19" spans="1:21" x14ac:dyDescent="0.25">
      <c r="A19" s="517" t="s">
        <v>25</v>
      </c>
      <c r="B19" s="517"/>
      <c r="C19" s="143">
        <v>0</v>
      </c>
      <c r="D19" s="143">
        <v>0</v>
      </c>
      <c r="E19" s="116">
        <f t="shared" si="1"/>
        <v>0</v>
      </c>
      <c r="F19" s="555">
        <f>'1461'!F19:G19</f>
        <v>0.98799999999999999</v>
      </c>
      <c r="G19" s="555"/>
      <c r="H19" s="80">
        <f t="shared" si="2"/>
        <v>0</v>
      </c>
      <c r="I19" s="101">
        <f t="shared" si="3"/>
        <v>0</v>
      </c>
      <c r="J19" s="65" t="str">
        <f>IF(ROUND(E19,2)=ROUND(SUM(E63:E65),2)," ","CHECK 4-8 LINES BELOW")</f>
        <v xml:space="preserve"> </v>
      </c>
      <c r="N19" s="568" t="s">
        <v>25</v>
      </c>
      <c r="O19" s="568"/>
      <c r="P19" s="569">
        <f t="shared" si="0"/>
        <v>0</v>
      </c>
      <c r="Q19" s="569"/>
      <c r="R19" s="570">
        <v>1</v>
      </c>
      <c r="S19" s="570"/>
      <c r="T19" s="95">
        <f t="shared" si="4"/>
        <v>0</v>
      </c>
      <c r="U19" s="474">
        <f t="shared" si="5"/>
        <v>0</v>
      </c>
    </row>
    <row r="20" spans="1:21" x14ac:dyDescent="0.25">
      <c r="A20" s="517" t="s">
        <v>79</v>
      </c>
      <c r="B20" s="517"/>
      <c r="C20" s="143">
        <v>0</v>
      </c>
      <c r="D20" s="143">
        <v>0</v>
      </c>
      <c r="E20" s="116">
        <f t="shared" si="1"/>
        <v>0</v>
      </c>
      <c r="F20" s="555">
        <f>'1461'!F20:G20</f>
        <v>3.706</v>
      </c>
      <c r="G20" s="555"/>
      <c r="H20" s="80">
        <f t="shared" si="2"/>
        <v>0</v>
      </c>
      <c r="I20" s="101">
        <f t="shared" si="3"/>
        <v>0</v>
      </c>
      <c r="N20" s="568" t="s">
        <v>79</v>
      </c>
      <c r="O20" s="568"/>
      <c r="P20" s="569">
        <f t="shared" si="0"/>
        <v>0</v>
      </c>
      <c r="Q20" s="569"/>
      <c r="R20" s="570">
        <v>1</v>
      </c>
      <c r="S20" s="570"/>
      <c r="T20" s="95">
        <f t="shared" si="4"/>
        <v>0</v>
      </c>
      <c r="U20" s="475">
        <f t="shared" si="5"/>
        <v>0</v>
      </c>
    </row>
    <row r="21" spans="1:21" x14ac:dyDescent="0.25">
      <c r="A21" s="517" t="s">
        <v>80</v>
      </c>
      <c r="B21" s="517"/>
      <c r="C21" s="143">
        <v>0</v>
      </c>
      <c r="D21" s="143">
        <v>0</v>
      </c>
      <c r="E21" s="116">
        <f t="shared" si="1"/>
        <v>0</v>
      </c>
      <c r="F21" s="555">
        <f>'1461'!F21:G21</f>
        <v>3.706</v>
      </c>
      <c r="G21" s="555"/>
      <c r="H21" s="80">
        <f t="shared" si="2"/>
        <v>0</v>
      </c>
      <c r="I21" s="101">
        <f t="shared" si="3"/>
        <v>0</v>
      </c>
      <c r="N21" s="568" t="s">
        <v>80</v>
      </c>
      <c r="O21" s="568"/>
      <c r="P21" s="569">
        <f t="shared" si="0"/>
        <v>0</v>
      </c>
      <c r="Q21" s="569"/>
      <c r="R21" s="570">
        <v>1</v>
      </c>
      <c r="S21" s="570"/>
      <c r="T21" s="95">
        <f t="shared" si="4"/>
        <v>0</v>
      </c>
      <c r="U21" s="475">
        <f t="shared" si="5"/>
        <v>0</v>
      </c>
    </row>
    <row r="22" spans="1:21" x14ac:dyDescent="0.25">
      <c r="A22" s="517" t="s">
        <v>81</v>
      </c>
      <c r="B22" s="517"/>
      <c r="C22" s="143">
        <v>0</v>
      </c>
      <c r="D22" s="143">
        <v>0</v>
      </c>
      <c r="E22" s="116">
        <f t="shared" si="1"/>
        <v>0</v>
      </c>
      <c r="F22" s="555">
        <f>'1461'!F22:G22</f>
        <v>3.706</v>
      </c>
      <c r="G22" s="555"/>
      <c r="H22" s="80">
        <f t="shared" si="2"/>
        <v>0</v>
      </c>
      <c r="I22" s="101">
        <f t="shared" si="3"/>
        <v>0</v>
      </c>
      <c r="N22" s="568" t="s">
        <v>81</v>
      </c>
      <c r="O22" s="568"/>
      <c r="P22" s="569">
        <f t="shared" si="0"/>
        <v>0</v>
      </c>
      <c r="Q22" s="569"/>
      <c r="R22" s="570">
        <v>1</v>
      </c>
      <c r="S22" s="570"/>
      <c r="T22" s="95">
        <f t="shared" si="4"/>
        <v>0</v>
      </c>
      <c r="U22" s="475">
        <f t="shared" si="5"/>
        <v>0</v>
      </c>
    </row>
    <row r="23" spans="1:21" x14ac:dyDescent="0.25">
      <c r="A23" s="517" t="s">
        <v>82</v>
      </c>
      <c r="B23" s="517"/>
      <c r="C23" s="143">
        <v>0</v>
      </c>
      <c r="D23" s="143">
        <v>0</v>
      </c>
      <c r="E23" s="116">
        <f t="shared" si="1"/>
        <v>0</v>
      </c>
      <c r="F23" s="555">
        <f>'1461'!F23:G23</f>
        <v>5.7069999999999999</v>
      </c>
      <c r="G23" s="555"/>
      <c r="H23" s="80">
        <f t="shared" si="2"/>
        <v>0</v>
      </c>
      <c r="I23" s="101">
        <f t="shared" si="3"/>
        <v>0</v>
      </c>
      <c r="N23" s="568" t="s">
        <v>82</v>
      </c>
      <c r="O23" s="568"/>
      <c r="P23" s="569">
        <f t="shared" si="0"/>
        <v>0</v>
      </c>
      <c r="Q23" s="569"/>
      <c r="R23" s="570">
        <v>1</v>
      </c>
      <c r="S23" s="570"/>
      <c r="T23" s="95">
        <f t="shared" si="4"/>
        <v>0</v>
      </c>
      <c r="U23" s="475">
        <f t="shared" si="5"/>
        <v>0</v>
      </c>
    </row>
    <row r="24" spans="1:21" x14ac:dyDescent="0.25">
      <c r="A24" s="517" t="s">
        <v>83</v>
      </c>
      <c r="B24" s="517"/>
      <c r="C24" s="143">
        <v>0</v>
      </c>
      <c r="D24" s="143">
        <v>0</v>
      </c>
      <c r="E24" s="116">
        <f t="shared" si="1"/>
        <v>0</v>
      </c>
      <c r="F24" s="555">
        <f>'1461'!F24:G24</f>
        <v>5.7069999999999999</v>
      </c>
      <c r="G24" s="555"/>
      <c r="H24" s="80">
        <f t="shared" si="2"/>
        <v>0</v>
      </c>
      <c r="I24" s="101">
        <f t="shared" si="3"/>
        <v>0</v>
      </c>
      <c r="N24" s="568" t="s">
        <v>83</v>
      </c>
      <c r="O24" s="568"/>
      <c r="P24" s="569">
        <f t="shared" si="0"/>
        <v>0</v>
      </c>
      <c r="Q24" s="569"/>
      <c r="R24" s="570">
        <v>1</v>
      </c>
      <c r="S24" s="570"/>
      <c r="T24" s="95">
        <f t="shared" si="4"/>
        <v>0</v>
      </c>
      <c r="U24" s="475">
        <f t="shared" si="5"/>
        <v>0</v>
      </c>
    </row>
    <row r="25" spans="1:21" x14ac:dyDescent="0.25">
      <c r="A25" s="517" t="s">
        <v>84</v>
      </c>
      <c r="B25" s="517"/>
      <c r="C25" s="143">
        <v>0</v>
      </c>
      <c r="D25" s="143">
        <v>0</v>
      </c>
      <c r="E25" s="116">
        <f t="shared" si="1"/>
        <v>0</v>
      </c>
      <c r="F25" s="555">
        <f>'1461'!F25:G25</f>
        <v>5.7069999999999999</v>
      </c>
      <c r="G25" s="555"/>
      <c r="H25" s="80">
        <f t="shared" si="2"/>
        <v>0</v>
      </c>
      <c r="I25" s="101">
        <f t="shared" si="3"/>
        <v>0</v>
      </c>
      <c r="N25" s="568" t="s">
        <v>84</v>
      </c>
      <c r="O25" s="568"/>
      <c r="P25" s="569">
        <f t="shared" si="0"/>
        <v>0</v>
      </c>
      <c r="Q25" s="569"/>
      <c r="R25" s="570">
        <v>1</v>
      </c>
      <c r="S25" s="570"/>
      <c r="T25" s="95">
        <f t="shared" si="4"/>
        <v>0</v>
      </c>
      <c r="U25" s="475">
        <f t="shared" si="5"/>
        <v>0</v>
      </c>
    </row>
    <row r="26" spans="1:21" x14ac:dyDescent="0.25">
      <c r="A26" s="517" t="s">
        <v>85</v>
      </c>
      <c r="B26" s="517"/>
      <c r="C26" s="143">
        <v>43.47</v>
      </c>
      <c r="D26" s="143">
        <v>44.23</v>
      </c>
      <c r="E26" s="116">
        <f t="shared" si="1"/>
        <v>87.699999999999989</v>
      </c>
      <c r="F26" s="555">
        <f>'1461'!F26:G26</f>
        <v>1.208</v>
      </c>
      <c r="G26" s="555"/>
      <c r="H26" s="80">
        <f t="shared" si="2"/>
        <v>105.94159999999999</v>
      </c>
      <c r="I26" s="101">
        <f t="shared" si="3"/>
        <v>568578.62</v>
      </c>
      <c r="N26" s="568" t="s">
        <v>85</v>
      </c>
      <c r="O26" s="568"/>
      <c r="P26" s="569">
        <f t="shared" si="0"/>
        <v>0</v>
      </c>
      <c r="Q26" s="569"/>
      <c r="R26" s="570">
        <v>1</v>
      </c>
      <c r="S26" s="570"/>
      <c r="T26" s="95">
        <f t="shared" si="4"/>
        <v>0</v>
      </c>
      <c r="U26" s="475">
        <f t="shared" si="5"/>
        <v>0</v>
      </c>
    </row>
    <row r="27" spans="1:21" x14ac:dyDescent="0.25">
      <c r="A27" s="517" t="s">
        <v>86</v>
      </c>
      <c r="B27" s="517"/>
      <c r="C27" s="143">
        <v>16.23</v>
      </c>
      <c r="D27" s="143">
        <v>15.4</v>
      </c>
      <c r="E27" s="116">
        <f t="shared" si="1"/>
        <v>31.630000000000003</v>
      </c>
      <c r="F27" s="555">
        <f>'1461'!F27:G27</f>
        <v>1.208</v>
      </c>
      <c r="G27" s="555"/>
      <c r="H27" s="80">
        <f t="shared" si="2"/>
        <v>38.209000000000003</v>
      </c>
      <c r="I27" s="101">
        <f t="shared" si="3"/>
        <v>205064.11</v>
      </c>
      <c r="N27" s="568" t="s">
        <v>86</v>
      </c>
      <c r="O27" s="568"/>
      <c r="P27" s="569">
        <f t="shared" si="0"/>
        <v>0</v>
      </c>
      <c r="Q27" s="569"/>
      <c r="R27" s="570">
        <v>1</v>
      </c>
      <c r="S27" s="570"/>
      <c r="T27" s="95">
        <f t="shared" si="4"/>
        <v>0</v>
      </c>
      <c r="U27" s="475">
        <f t="shared" si="5"/>
        <v>0</v>
      </c>
    </row>
    <row r="28" spans="1:21" x14ac:dyDescent="0.25">
      <c r="A28" s="517" t="s">
        <v>87</v>
      </c>
      <c r="B28" s="517"/>
      <c r="C28" s="143">
        <v>0</v>
      </c>
      <c r="D28" s="143">
        <v>0</v>
      </c>
      <c r="E28" s="116">
        <f t="shared" si="1"/>
        <v>0</v>
      </c>
      <c r="F28" s="555">
        <f>'1461'!F28:G28</f>
        <v>1.208</v>
      </c>
      <c r="G28" s="555"/>
      <c r="H28" s="80">
        <f t="shared" si="2"/>
        <v>0</v>
      </c>
      <c r="I28" s="101">
        <f t="shared" si="3"/>
        <v>0</v>
      </c>
      <c r="N28" s="568" t="s">
        <v>87</v>
      </c>
      <c r="O28" s="568"/>
      <c r="P28" s="569">
        <f t="shared" si="0"/>
        <v>0</v>
      </c>
      <c r="Q28" s="569"/>
      <c r="R28" s="570">
        <v>1</v>
      </c>
      <c r="S28" s="570"/>
      <c r="T28" s="95">
        <f t="shared" si="4"/>
        <v>0</v>
      </c>
      <c r="U28" s="475">
        <f t="shared" si="5"/>
        <v>0</v>
      </c>
    </row>
    <row r="29" spans="1:21" x14ac:dyDescent="0.25">
      <c r="A29" s="517" t="s">
        <v>88</v>
      </c>
      <c r="B29" s="517"/>
      <c r="C29" s="110">
        <v>0</v>
      </c>
      <c r="D29" s="110">
        <v>0</v>
      </c>
      <c r="E29" s="154">
        <f t="shared" si="1"/>
        <v>0</v>
      </c>
      <c r="F29" s="555">
        <f>'1461'!F29:G29</f>
        <v>1.0720000000000001</v>
      </c>
      <c r="G29" s="555"/>
      <c r="H29" s="93">
        <f t="shared" si="2"/>
        <v>0</v>
      </c>
      <c r="I29" s="94">
        <f t="shared" si="3"/>
        <v>0</v>
      </c>
      <c r="N29" s="585" t="s">
        <v>88</v>
      </c>
      <c r="O29" s="585"/>
      <c r="P29" s="569">
        <f t="shared" si="0"/>
        <v>0</v>
      </c>
      <c r="Q29" s="569"/>
      <c r="R29" s="586">
        <v>1</v>
      </c>
      <c r="S29" s="586"/>
      <c r="T29" s="95">
        <f t="shared" si="4"/>
        <v>0</v>
      </c>
      <c r="U29" s="475">
        <f t="shared" si="5"/>
        <v>0</v>
      </c>
    </row>
    <row r="30" spans="1:21" x14ac:dyDescent="0.25">
      <c r="A30" s="520" t="s">
        <v>5</v>
      </c>
      <c r="B30" s="520"/>
      <c r="C30" s="94">
        <f>SUM(C14:C29)</f>
        <v>297.71000000000004</v>
      </c>
      <c r="D30" s="94">
        <f>SUM(D14:D29)</f>
        <v>294.28999999999996</v>
      </c>
      <c r="E30" s="94">
        <f>SUM(E14:E29)</f>
        <v>592</v>
      </c>
      <c r="F30" s="536"/>
      <c r="G30" s="536"/>
      <c r="H30" s="99">
        <f>SUM(H14:H29)</f>
        <v>657.0806</v>
      </c>
      <c r="I30" s="94">
        <f>SUM(I14:I29)</f>
        <v>3526489.85</v>
      </c>
      <c r="N30" s="587" t="s">
        <v>5</v>
      </c>
      <c r="O30" s="587"/>
      <c r="P30" s="588">
        <f>SUM(P14:P29)</f>
        <v>0</v>
      </c>
      <c r="Q30" s="588"/>
      <c r="R30" s="589"/>
      <c r="S30" s="589"/>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6" t="s">
        <v>233</v>
      </c>
      <c r="G34" s="626"/>
      <c r="H34" s="626"/>
      <c r="I34" s="101"/>
      <c r="N34" s="28"/>
      <c r="O34" s="28"/>
      <c r="P34" s="29"/>
      <c r="Q34" s="29"/>
      <c r="R34" s="30"/>
      <c r="S34" s="30"/>
      <c r="T34" s="102"/>
      <c r="U34" s="103"/>
    </row>
    <row r="35" spans="1:21" hidden="1" x14ac:dyDescent="0.25">
      <c r="A35" s="3"/>
      <c r="B35" s="69"/>
      <c r="C35" s="69"/>
      <c r="D35" s="69"/>
      <c r="E35" s="69"/>
      <c r="F35" s="626"/>
      <c r="G35" s="626"/>
      <c r="H35" s="626"/>
      <c r="I35" s="24" t="s">
        <v>61</v>
      </c>
      <c r="N35" s="562" t="s">
        <v>26</v>
      </c>
      <c r="O35" s="562"/>
      <c r="P35" s="562"/>
      <c r="Q35" s="562"/>
      <c r="R35" s="562"/>
      <c r="S35" s="562"/>
      <c r="T35" s="562"/>
      <c r="U35" s="25" t="str">
        <f>I35</f>
        <v>2015-16</v>
      </c>
    </row>
    <row r="36" spans="1:21" hidden="1" x14ac:dyDescent="0.25">
      <c r="A36" s="26"/>
      <c r="B36" s="26"/>
      <c r="C36" s="88" t="s">
        <v>93</v>
      </c>
      <c r="D36" s="88" t="s">
        <v>94</v>
      </c>
      <c r="E36" s="89" t="s">
        <v>8</v>
      </c>
      <c r="F36" s="626"/>
      <c r="G36" s="626"/>
      <c r="H36" s="626"/>
      <c r="I36" s="24" t="s">
        <v>27</v>
      </c>
      <c r="N36" s="28"/>
      <c r="O36" s="28"/>
      <c r="P36" s="29"/>
      <c r="Q36" s="29"/>
      <c r="R36" s="30"/>
      <c r="S36" s="30"/>
      <c r="T36" s="102"/>
      <c r="U36" s="25" t="s">
        <v>27</v>
      </c>
    </row>
    <row r="37" spans="1:21" ht="26.25" hidden="1" x14ac:dyDescent="0.25">
      <c r="A37" s="537" t="s">
        <v>50</v>
      </c>
      <c r="B37" s="537"/>
      <c r="C37" s="90" t="s">
        <v>2</v>
      </c>
      <c r="D37" s="90" t="s">
        <v>2</v>
      </c>
      <c r="E37" s="90" t="s">
        <v>2</v>
      </c>
      <c r="F37" s="627"/>
      <c r="G37" s="627"/>
      <c r="H37" s="627"/>
      <c r="I37" s="31" t="s">
        <v>394</v>
      </c>
      <c r="N37" s="580" t="s">
        <v>50</v>
      </c>
      <c r="O37" s="580"/>
      <c r="P37" s="584" t="s">
        <v>19</v>
      </c>
      <c r="Q37" s="584"/>
      <c r="R37" s="584"/>
      <c r="S37" s="584"/>
      <c r="T37" s="584"/>
      <c r="U37" s="19" t="str">
        <f>I37</f>
        <v>(WFTE x BSA x CWF x SDF)</v>
      </c>
    </row>
    <row r="38" spans="1:21" hidden="1" x14ac:dyDescent="0.25">
      <c r="A38" s="538" t="s">
        <v>45</v>
      </c>
      <c r="B38" s="538"/>
      <c r="C38" s="147">
        <v>0</v>
      </c>
      <c r="D38" s="147">
        <v>0</v>
      </c>
      <c r="E38" s="187">
        <f t="shared" ref="E38:E43" si="6">IF(D$44=0,C38*2,C38+D38)</f>
        <v>0</v>
      </c>
      <c r="F38" s="148"/>
      <c r="G38" s="148"/>
      <c r="H38" s="148"/>
      <c r="I38" s="111">
        <f>ROUND(ROUND(ROUND(E38*$C$8,4)*($H$8),2)*(MAX($H$9,1)),2)</f>
        <v>0</v>
      </c>
      <c r="N38" s="574" t="s">
        <v>45</v>
      </c>
      <c r="O38" s="574"/>
      <c r="P38" s="583">
        <f t="shared" ref="P38:P43" si="7">IF($H$130=1,E38,0)</f>
        <v>0</v>
      </c>
      <c r="Q38" s="583"/>
      <c r="R38" s="583"/>
      <c r="S38" s="583"/>
      <c r="T38" s="583"/>
      <c r="U38" s="98">
        <f>ROUND(ROUND(ROUND(P38*$C$8,4)*($H$8),2)*(MAX($H$9,1)),2)</f>
        <v>0</v>
      </c>
    </row>
    <row r="39" spans="1:21" hidden="1" x14ac:dyDescent="0.25">
      <c r="A39" s="517" t="s">
        <v>46</v>
      </c>
      <c r="B39" s="517"/>
      <c r="C39" s="150">
        <v>0</v>
      </c>
      <c r="D39" s="150">
        <v>0</v>
      </c>
      <c r="E39" s="116">
        <f t="shared" si="6"/>
        <v>0</v>
      </c>
      <c r="F39" s="151"/>
      <c r="G39" s="151"/>
      <c r="H39" s="151"/>
      <c r="I39" s="101">
        <f t="shared" ref="I39:I43" si="8">ROUND(ROUND(ROUND(E39*$C$8,4)*($H$8),2)*(MAX($H$9,1)),2)</f>
        <v>0</v>
      </c>
      <c r="N39" s="568" t="s">
        <v>46</v>
      </c>
      <c r="O39" s="568"/>
      <c r="P39" s="583">
        <f t="shared" si="7"/>
        <v>0</v>
      </c>
      <c r="Q39" s="583"/>
      <c r="R39" s="583"/>
      <c r="S39" s="583"/>
      <c r="T39" s="583"/>
      <c r="U39" s="98">
        <f t="shared" ref="U39:U43" si="9">ROUND(ROUND(ROUND(P39*$C$8,4)*($H$8),2)*(MAX($H$9,1)),2)</f>
        <v>0</v>
      </c>
    </row>
    <row r="40" spans="1:21" hidden="1" x14ac:dyDescent="0.25">
      <c r="A40" s="524" t="s">
        <v>47</v>
      </c>
      <c r="B40" s="524"/>
      <c r="C40" s="150">
        <v>0</v>
      </c>
      <c r="D40" s="150">
        <v>0</v>
      </c>
      <c r="E40" s="116">
        <f t="shared" si="6"/>
        <v>0</v>
      </c>
      <c r="F40" s="151"/>
      <c r="G40" s="151"/>
      <c r="H40" s="151"/>
      <c r="I40" s="101">
        <f t="shared" si="8"/>
        <v>0</v>
      </c>
      <c r="N40" s="590" t="s">
        <v>47</v>
      </c>
      <c r="O40" s="590"/>
      <c r="P40" s="583">
        <f t="shared" si="7"/>
        <v>0</v>
      </c>
      <c r="Q40" s="583"/>
      <c r="R40" s="583"/>
      <c r="S40" s="583"/>
      <c r="T40" s="583"/>
      <c r="U40" s="98">
        <f t="shared" si="9"/>
        <v>0</v>
      </c>
    </row>
    <row r="41" spans="1:21" hidden="1" x14ac:dyDescent="0.25">
      <c r="A41" s="517" t="s">
        <v>48</v>
      </c>
      <c r="B41" s="517"/>
      <c r="C41" s="150">
        <v>0</v>
      </c>
      <c r="D41" s="150">
        <v>0</v>
      </c>
      <c r="E41" s="116">
        <f t="shared" si="6"/>
        <v>0</v>
      </c>
      <c r="F41" s="151"/>
      <c r="G41" s="151"/>
      <c r="H41" s="151"/>
      <c r="I41" s="101">
        <f t="shared" si="8"/>
        <v>0</v>
      </c>
      <c r="N41" s="568" t="s">
        <v>48</v>
      </c>
      <c r="O41" s="568"/>
      <c r="P41" s="583">
        <f t="shared" si="7"/>
        <v>0</v>
      </c>
      <c r="Q41" s="583"/>
      <c r="R41" s="583"/>
      <c r="S41" s="583"/>
      <c r="T41" s="583"/>
      <c r="U41" s="98">
        <f t="shared" si="9"/>
        <v>0</v>
      </c>
    </row>
    <row r="42" spans="1:21" hidden="1" x14ac:dyDescent="0.25">
      <c r="A42" s="517" t="s">
        <v>49</v>
      </c>
      <c r="B42" s="517"/>
      <c r="C42" s="150">
        <v>0</v>
      </c>
      <c r="D42" s="150">
        <v>0</v>
      </c>
      <c r="E42" s="116">
        <f t="shared" si="6"/>
        <v>0</v>
      </c>
      <c r="F42" s="151"/>
      <c r="G42" s="151"/>
      <c r="H42" s="151"/>
      <c r="I42" s="101">
        <f t="shared" si="8"/>
        <v>0</v>
      </c>
      <c r="N42" s="568" t="s">
        <v>49</v>
      </c>
      <c r="O42" s="568"/>
      <c r="P42" s="583">
        <f t="shared" si="7"/>
        <v>0</v>
      </c>
      <c r="Q42" s="583"/>
      <c r="R42" s="583"/>
      <c r="S42" s="583"/>
      <c r="T42" s="583"/>
      <c r="U42" s="98">
        <f t="shared" si="9"/>
        <v>0</v>
      </c>
    </row>
    <row r="43" spans="1:21" hidden="1" x14ac:dyDescent="0.25">
      <c r="A43" s="517" t="s">
        <v>41</v>
      </c>
      <c r="B43" s="517"/>
      <c r="C43" s="149">
        <v>0</v>
      </c>
      <c r="D43" s="149">
        <v>0</v>
      </c>
      <c r="E43" s="154">
        <f t="shared" si="6"/>
        <v>0</v>
      </c>
      <c r="F43" s="151"/>
      <c r="G43" s="151"/>
      <c r="H43" s="151"/>
      <c r="I43" s="94">
        <f t="shared" si="8"/>
        <v>0</v>
      </c>
      <c r="N43" s="585" t="s">
        <v>41</v>
      </c>
      <c r="O43" s="585"/>
      <c r="P43" s="583">
        <f t="shared" si="7"/>
        <v>0</v>
      </c>
      <c r="Q43" s="583"/>
      <c r="R43" s="583"/>
      <c r="S43" s="583"/>
      <c r="T43" s="5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3" t="s">
        <v>43</v>
      </c>
      <c r="O44" s="613"/>
      <c r="P44" s="613"/>
      <c r="Q44" s="613"/>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657.0806</v>
      </c>
      <c r="F46" s="34"/>
      <c r="G46" s="106"/>
      <c r="H46" s="107" t="s">
        <v>98</v>
      </c>
      <c r="I46" s="94">
        <f>SUM(I44,I30)</f>
        <v>3526489.85</v>
      </c>
      <c r="N46" s="613" t="s">
        <v>44</v>
      </c>
      <c r="O46" s="613"/>
      <c r="P46" s="613"/>
      <c r="Q46" s="613"/>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3526489.85</v>
      </c>
      <c r="G51" s="109" t="s">
        <v>6</v>
      </c>
      <c r="H51" s="403">
        <v>4.5199999999999997E-2</v>
      </c>
      <c r="I51" s="101">
        <f>ROUND(F51*H51,2)</f>
        <v>159397.34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3526489.85</v>
      </c>
      <c r="G52" s="109" t="s">
        <v>6</v>
      </c>
      <c r="H52" s="403">
        <v>1.41E-2</v>
      </c>
      <c r="I52" s="101">
        <f>ROUND(F52*H52,2)</f>
        <v>49723.51</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209120.85</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0" t="s">
        <v>2</v>
      </c>
      <c r="Q56" s="620"/>
      <c r="R56" s="461" t="s">
        <v>449</v>
      </c>
      <c r="S56" s="452" t="s">
        <v>444</v>
      </c>
      <c r="T56" s="472" t="s">
        <v>445</v>
      </c>
      <c r="U56" s="461"/>
      <c r="V56" s="460"/>
    </row>
    <row r="57" spans="1:22" x14ac:dyDescent="0.25">
      <c r="A57" s="532" t="s">
        <v>447</v>
      </c>
      <c r="B57" s="532"/>
      <c r="C57" s="143">
        <v>18.5</v>
      </c>
      <c r="D57" s="143">
        <v>20.5</v>
      </c>
      <c r="E57" s="116">
        <f t="shared" ref="E57:E65" si="10">IF(D$72=0,C57*2,C57+D57)</f>
        <v>39</v>
      </c>
      <c r="F57" s="445" t="s">
        <v>439</v>
      </c>
      <c r="G57" s="445">
        <v>251</v>
      </c>
      <c r="H57" s="459">
        <f>'1461'!H57</f>
        <v>1047</v>
      </c>
      <c r="I57" s="101">
        <f>ROUND(E57*H57,2)</f>
        <v>40833</v>
      </c>
      <c r="N57" s="618" t="s">
        <v>447</v>
      </c>
      <c r="O57" s="618"/>
      <c r="P57" s="621"/>
      <c r="Q57" s="621"/>
      <c r="R57" s="451" t="s">
        <v>439</v>
      </c>
      <c r="S57" s="451">
        <v>251</v>
      </c>
      <c r="T57" s="462">
        <f>H57</f>
        <v>1047</v>
      </c>
      <c r="U57" s="476">
        <f>ROUND(P57*T57,2)</f>
        <v>0</v>
      </c>
      <c r="V57" s="426"/>
    </row>
    <row r="58" spans="1:22" x14ac:dyDescent="0.25">
      <c r="A58" s="533"/>
      <c r="B58" s="533"/>
      <c r="C58" s="143">
        <v>5</v>
      </c>
      <c r="D58" s="143">
        <v>4.5</v>
      </c>
      <c r="E58" s="116">
        <f t="shared" si="10"/>
        <v>9.5</v>
      </c>
      <c r="F58" s="445" t="s">
        <v>439</v>
      </c>
      <c r="G58" s="445">
        <v>252</v>
      </c>
      <c r="H58" s="459">
        <f>'1461'!H58</f>
        <v>3380</v>
      </c>
      <c r="I58" s="101">
        <f t="shared" ref="I58:I65" si="11">ROUND(E58*H58,2)</f>
        <v>32110</v>
      </c>
      <c r="N58" s="619"/>
      <c r="O58" s="619"/>
      <c r="P58" s="622"/>
      <c r="Q58" s="622"/>
      <c r="R58" s="451" t="s">
        <v>439</v>
      </c>
      <c r="S58" s="451">
        <v>252</v>
      </c>
      <c r="T58" s="462">
        <f t="shared" ref="T58:T65" si="12">H58</f>
        <v>3380</v>
      </c>
      <c r="U58" s="476">
        <f t="shared" ref="U58:U65" si="13">ROUND(P58*T58,2)</f>
        <v>0</v>
      </c>
      <c r="V58" s="426"/>
    </row>
    <row r="59" spans="1:22" x14ac:dyDescent="0.25">
      <c r="A59" s="533"/>
      <c r="B59" s="533"/>
      <c r="C59" s="143">
        <v>0.5</v>
      </c>
      <c r="D59" s="143">
        <v>0.5</v>
      </c>
      <c r="E59" s="116">
        <f t="shared" si="10"/>
        <v>1</v>
      </c>
      <c r="F59" s="445" t="s">
        <v>439</v>
      </c>
      <c r="G59" s="445">
        <v>253</v>
      </c>
      <c r="H59" s="459">
        <f>'1461'!H59</f>
        <v>6896</v>
      </c>
      <c r="I59" s="101">
        <f t="shared" si="11"/>
        <v>6896</v>
      </c>
      <c r="N59" s="619"/>
      <c r="O59" s="619"/>
      <c r="P59" s="622"/>
      <c r="Q59" s="622"/>
      <c r="R59" s="451" t="s">
        <v>439</v>
      </c>
      <c r="S59" s="451">
        <v>253</v>
      </c>
      <c r="T59" s="462">
        <f t="shared" si="12"/>
        <v>6896</v>
      </c>
      <c r="U59" s="476">
        <f t="shared" si="13"/>
        <v>0</v>
      </c>
      <c r="V59" s="426"/>
    </row>
    <row r="60" spans="1:22" x14ac:dyDescent="0.25">
      <c r="A60" s="533"/>
      <c r="B60" s="533"/>
      <c r="C60" s="143">
        <v>13.5</v>
      </c>
      <c r="D60" s="143">
        <v>14.08</v>
      </c>
      <c r="E60" s="116">
        <f t="shared" si="10"/>
        <v>27.58</v>
      </c>
      <c r="F60" s="446" t="s">
        <v>13</v>
      </c>
      <c r="G60" s="445">
        <v>251</v>
      </c>
      <c r="H60" s="459">
        <f>'1461'!H60</f>
        <v>1173</v>
      </c>
      <c r="I60" s="101">
        <f t="shared" si="11"/>
        <v>32351.34</v>
      </c>
      <c r="N60" s="619"/>
      <c r="O60" s="619"/>
      <c r="P60" s="622"/>
      <c r="Q60" s="622"/>
      <c r="R60" s="40" t="s">
        <v>13</v>
      </c>
      <c r="S60" s="451">
        <v>251</v>
      </c>
      <c r="T60" s="462">
        <f t="shared" si="12"/>
        <v>1173</v>
      </c>
      <c r="U60" s="476">
        <f t="shared" si="13"/>
        <v>0</v>
      </c>
      <c r="V60" s="426"/>
    </row>
    <row r="61" spans="1:22" x14ac:dyDescent="0.25">
      <c r="A61" s="533"/>
      <c r="B61" s="533"/>
      <c r="C61" s="143">
        <v>0.5</v>
      </c>
      <c r="D61" s="143">
        <v>0.4</v>
      </c>
      <c r="E61" s="116">
        <f t="shared" si="10"/>
        <v>0.9</v>
      </c>
      <c r="F61" s="446" t="s">
        <v>13</v>
      </c>
      <c r="G61" s="445">
        <v>252</v>
      </c>
      <c r="H61" s="459">
        <f>'1461'!H61</f>
        <v>3506</v>
      </c>
      <c r="I61" s="101">
        <f t="shared" si="11"/>
        <v>3155.4</v>
      </c>
      <c r="N61" s="619"/>
      <c r="O61" s="619"/>
      <c r="P61" s="622"/>
      <c r="Q61" s="622"/>
      <c r="R61" s="40" t="s">
        <v>13</v>
      </c>
      <c r="S61" s="451">
        <v>252</v>
      </c>
      <c r="T61" s="462">
        <f t="shared" si="12"/>
        <v>3506</v>
      </c>
      <c r="U61" s="476">
        <f t="shared" si="13"/>
        <v>0</v>
      </c>
      <c r="V61" s="426"/>
    </row>
    <row r="62" spans="1:22" x14ac:dyDescent="0.25">
      <c r="A62" s="533"/>
      <c r="B62" s="533"/>
      <c r="C62" s="143">
        <v>0</v>
      </c>
      <c r="D62" s="143">
        <v>0</v>
      </c>
      <c r="E62" s="116">
        <f t="shared" si="10"/>
        <v>0</v>
      </c>
      <c r="F62" s="446" t="s">
        <v>13</v>
      </c>
      <c r="G62" s="445">
        <v>253</v>
      </c>
      <c r="H62" s="459">
        <f>'1461'!H62</f>
        <v>7023</v>
      </c>
      <c r="I62" s="101">
        <f t="shared" si="11"/>
        <v>0</v>
      </c>
      <c r="N62" s="619"/>
      <c r="O62" s="619"/>
      <c r="P62" s="622"/>
      <c r="Q62" s="622"/>
      <c r="R62" s="40" t="s">
        <v>13</v>
      </c>
      <c r="S62" s="451">
        <v>253</v>
      </c>
      <c r="T62" s="462">
        <f t="shared" si="12"/>
        <v>7023</v>
      </c>
      <c r="U62" s="476">
        <f t="shared" si="13"/>
        <v>0</v>
      </c>
      <c r="V62" s="426"/>
    </row>
    <row r="63" spans="1:22" x14ac:dyDescent="0.25">
      <c r="A63" s="533"/>
      <c r="B63" s="533"/>
      <c r="C63" s="143">
        <v>0</v>
      </c>
      <c r="D63" s="143">
        <v>0</v>
      </c>
      <c r="E63" s="116">
        <f t="shared" si="10"/>
        <v>0</v>
      </c>
      <c r="F63" s="446" t="s">
        <v>14</v>
      </c>
      <c r="G63" s="445">
        <v>251</v>
      </c>
      <c r="H63" s="459">
        <f>'1461'!H63</f>
        <v>835</v>
      </c>
      <c r="I63" s="101">
        <f t="shared" si="11"/>
        <v>0</v>
      </c>
      <c r="N63" s="619"/>
      <c r="O63" s="619"/>
      <c r="P63" s="622"/>
      <c r="Q63" s="622"/>
      <c r="R63" s="40" t="s">
        <v>14</v>
      </c>
      <c r="S63" s="451">
        <v>251</v>
      </c>
      <c r="T63" s="462">
        <f t="shared" si="12"/>
        <v>835</v>
      </c>
      <c r="U63" s="476">
        <f t="shared" si="13"/>
        <v>0</v>
      </c>
      <c r="V63" s="426"/>
    </row>
    <row r="64" spans="1:22" x14ac:dyDescent="0.25">
      <c r="A64" s="533"/>
      <c r="B64" s="533"/>
      <c r="C64" s="143">
        <v>0</v>
      </c>
      <c r="D64" s="143">
        <v>0</v>
      </c>
      <c r="E64" s="116">
        <f t="shared" si="10"/>
        <v>0</v>
      </c>
      <c r="F64" s="446" t="s">
        <v>14</v>
      </c>
      <c r="G64" s="445">
        <v>252</v>
      </c>
      <c r="H64" s="459">
        <f>'1461'!H64</f>
        <v>3168</v>
      </c>
      <c r="I64" s="101">
        <f t="shared" si="11"/>
        <v>0</v>
      </c>
      <c r="N64" s="619"/>
      <c r="O64" s="619"/>
      <c r="P64" s="622"/>
      <c r="Q64" s="622"/>
      <c r="R64" s="40" t="s">
        <v>14</v>
      </c>
      <c r="S64" s="451">
        <v>252</v>
      </c>
      <c r="T64" s="462">
        <f t="shared" si="12"/>
        <v>3168</v>
      </c>
      <c r="U64" s="476">
        <f t="shared" si="13"/>
        <v>0</v>
      </c>
      <c r="V64" s="426"/>
    </row>
    <row r="65" spans="1:22" ht="16.5" thickBot="1" x14ac:dyDescent="0.3">
      <c r="A65" s="533"/>
      <c r="B65" s="533"/>
      <c r="C65" s="143">
        <v>0</v>
      </c>
      <c r="D65" s="143">
        <v>0</v>
      </c>
      <c r="E65" s="116">
        <f t="shared" si="10"/>
        <v>0</v>
      </c>
      <c r="F65" s="446" t="s">
        <v>14</v>
      </c>
      <c r="G65" s="445">
        <v>253</v>
      </c>
      <c r="H65" s="459">
        <f>'1461'!H65</f>
        <v>6685</v>
      </c>
      <c r="I65" s="101">
        <f t="shared" si="11"/>
        <v>0</v>
      </c>
      <c r="N65" s="619"/>
      <c r="O65" s="619"/>
      <c r="P65" s="623"/>
      <c r="Q65" s="623"/>
      <c r="R65" s="40" t="s">
        <v>14</v>
      </c>
      <c r="S65" s="451">
        <v>253</v>
      </c>
      <c r="T65" s="462">
        <f t="shared" si="12"/>
        <v>6685</v>
      </c>
      <c r="U65" s="477">
        <f t="shared" si="13"/>
        <v>0</v>
      </c>
      <c r="V65" s="426"/>
    </row>
    <row r="66" spans="1:22" ht="16.5" thickBot="1" x14ac:dyDescent="0.3">
      <c r="A66" s="442"/>
      <c r="C66" s="97">
        <f>SUM(C57:C65)</f>
        <v>38</v>
      </c>
      <c r="D66" s="97">
        <f>SUM(D57:D65)</f>
        <v>39.979999999999997</v>
      </c>
      <c r="E66" s="97">
        <f>SUM(E57:E65)</f>
        <v>77.98</v>
      </c>
      <c r="F66" s="520" t="s">
        <v>448</v>
      </c>
      <c r="G66" s="520"/>
      <c r="H66" s="520"/>
      <c r="I66" s="97">
        <f>SUM(I57:I65)</f>
        <v>115345.73999999999</v>
      </c>
      <c r="N66" s="448"/>
      <c r="O66" s="51"/>
      <c r="P66" s="624">
        <f>SUM(P57:P65)</f>
        <v>0</v>
      </c>
      <c r="Q66" s="624"/>
      <c r="R66" s="613" t="s">
        <v>448</v>
      </c>
      <c r="S66" s="613"/>
      <c r="T66" s="613"/>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6" t="s">
        <v>402</v>
      </c>
      <c r="B69" s="517"/>
      <c r="C69" s="112">
        <f>E30</f>
        <v>592</v>
      </c>
      <c r="D69" s="530" t="s">
        <v>413</v>
      </c>
      <c r="E69" s="530"/>
      <c r="F69" s="530"/>
      <c r="G69" s="530"/>
      <c r="H69" s="301">
        <f>'1461'!H69</f>
        <v>203305.63</v>
      </c>
      <c r="I69" s="113"/>
      <c r="N69" s="591" t="s">
        <v>406</v>
      </c>
      <c r="O69" s="568"/>
      <c r="P69" s="41">
        <f>P30</f>
        <v>0</v>
      </c>
      <c r="Q69" s="596" t="s">
        <v>408</v>
      </c>
      <c r="R69" s="597"/>
      <c r="S69" s="597"/>
      <c r="T69" s="595">
        <f>H69</f>
        <v>203305.63</v>
      </c>
      <c r="U69" s="595"/>
    </row>
    <row r="70" spans="1:22" x14ac:dyDescent="0.25">
      <c r="B70" s="69"/>
      <c r="G70" s="42" t="s">
        <v>12</v>
      </c>
      <c r="H70" s="114">
        <f>ROUND(C69/H69,6)</f>
        <v>2.9120000000000001E-3</v>
      </c>
      <c r="I70" s="115"/>
      <c r="N70" s="568"/>
      <c r="O70" s="568"/>
      <c r="P70" s="568"/>
      <c r="Q70" s="568"/>
      <c r="R70" s="568"/>
      <c r="S70" s="568"/>
      <c r="T70" s="598">
        <f>ROUND(P69/T69,6)</f>
        <v>0</v>
      </c>
      <c r="U70" s="598"/>
    </row>
    <row r="71" spans="1:22" x14ac:dyDescent="0.25">
      <c r="A71" s="444" t="s">
        <v>451</v>
      </c>
      <c r="N71" s="455" t="s">
        <v>459</v>
      </c>
      <c r="O71" s="51"/>
      <c r="P71" s="51"/>
      <c r="Q71" s="51"/>
      <c r="R71" s="51"/>
      <c r="S71" s="51"/>
      <c r="T71" s="51"/>
      <c r="U71" s="51"/>
    </row>
    <row r="72" spans="1:22" x14ac:dyDescent="0.25">
      <c r="A72" s="516" t="s">
        <v>403</v>
      </c>
      <c r="B72" s="517"/>
      <c r="C72" s="112">
        <f>H30</f>
        <v>657.0806</v>
      </c>
      <c r="D72" s="530" t="s">
        <v>414</v>
      </c>
      <c r="E72" s="530"/>
      <c r="F72" s="530"/>
      <c r="G72" s="530"/>
      <c r="H72" s="302">
        <f>'1461'!H72</f>
        <v>227540.36</v>
      </c>
      <c r="I72" s="116"/>
      <c r="N72" s="591" t="s">
        <v>407</v>
      </c>
      <c r="O72" s="568"/>
      <c r="P72" s="41">
        <f>T30</f>
        <v>0</v>
      </c>
      <c r="Q72" s="596" t="s">
        <v>409</v>
      </c>
      <c r="R72" s="597"/>
      <c r="S72" s="597"/>
      <c r="T72" s="595">
        <f>H72</f>
        <v>227540.36</v>
      </c>
      <c r="U72" s="595"/>
    </row>
    <row r="73" spans="1:22" x14ac:dyDescent="0.25">
      <c r="G73" s="42" t="s">
        <v>12</v>
      </c>
      <c r="H73" s="114">
        <f>ROUND(C72/H72,6)</f>
        <v>2.8879999999999999E-3</v>
      </c>
      <c r="I73" s="114"/>
      <c r="N73" s="568"/>
      <c r="O73" s="568"/>
      <c r="P73" s="568"/>
      <c r="Q73" s="568"/>
      <c r="R73" s="568"/>
      <c r="S73" s="568"/>
      <c r="T73" s="598">
        <f>ROUND(P72/T72,6)</f>
        <v>0</v>
      </c>
      <c r="U73" s="598"/>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6" t="s">
        <v>404</v>
      </c>
      <c r="B75" s="517"/>
      <c r="C75" s="112">
        <f>E30</f>
        <v>592</v>
      </c>
      <c r="D75" s="529" t="s">
        <v>415</v>
      </c>
      <c r="E75" s="529"/>
      <c r="F75" s="529"/>
      <c r="G75" s="529"/>
      <c r="H75" s="301">
        <f>'1461'!H75</f>
        <v>186907.73</v>
      </c>
      <c r="I75" s="113"/>
      <c r="N75" s="591" t="s">
        <v>405</v>
      </c>
      <c r="O75" s="568"/>
      <c r="P75" s="41">
        <f>P30</f>
        <v>0</v>
      </c>
      <c r="Q75" s="601" t="s">
        <v>410</v>
      </c>
      <c r="R75" s="602"/>
      <c r="S75" s="602"/>
      <c r="T75" s="595">
        <f>H75</f>
        <v>186907.73</v>
      </c>
      <c r="U75" s="595"/>
    </row>
    <row r="76" spans="1:22" x14ac:dyDescent="0.25">
      <c r="B76" s="69"/>
      <c r="G76" s="42" t="s">
        <v>12</v>
      </c>
      <c r="H76" s="114">
        <f>ROUND(C75/H75,6)</f>
        <v>3.1670000000000001E-3</v>
      </c>
      <c r="I76" s="115"/>
      <c r="N76" s="568"/>
      <c r="O76" s="568"/>
      <c r="P76" s="568"/>
      <c r="Q76" s="568"/>
      <c r="R76" s="568"/>
      <c r="S76" s="568"/>
      <c r="T76" s="598">
        <f>ROUND(P75/T75,6)</f>
        <v>0</v>
      </c>
      <c r="U76" s="598"/>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6" t="s">
        <v>404</v>
      </c>
      <c r="B78" s="517"/>
      <c r="C78" s="112">
        <f>E30</f>
        <v>592</v>
      </c>
      <c r="D78" s="525" t="s">
        <v>416</v>
      </c>
      <c r="E78" s="525"/>
      <c r="F78" s="525"/>
      <c r="G78" s="525"/>
      <c r="H78" s="301">
        <f>'1461'!H78</f>
        <v>203080.55</v>
      </c>
      <c r="I78" s="113"/>
      <c r="N78" s="591" t="s">
        <v>405</v>
      </c>
      <c r="O78" s="568"/>
      <c r="P78" s="41">
        <f>P30</f>
        <v>0</v>
      </c>
      <c r="Q78" s="599" t="s">
        <v>411</v>
      </c>
      <c r="R78" s="600"/>
      <c r="S78" s="600"/>
      <c r="T78" s="595">
        <f>H78</f>
        <v>203080.55</v>
      </c>
      <c r="U78" s="595"/>
    </row>
    <row r="79" spans="1:22" x14ac:dyDescent="0.25">
      <c r="B79" s="69"/>
      <c r="G79" s="42" t="s">
        <v>12</v>
      </c>
      <c r="H79" s="114">
        <f>ROUND(C78/H78,6)</f>
        <v>2.9150000000000001E-3</v>
      </c>
      <c r="I79" s="115"/>
      <c r="N79" s="568"/>
      <c r="O79" s="568"/>
      <c r="P79" s="568"/>
      <c r="Q79" s="568"/>
      <c r="R79" s="568"/>
      <c r="S79" s="568"/>
      <c r="T79" s="598">
        <f>ROUND(P78/T78,6)</f>
        <v>0</v>
      </c>
      <c r="U79" s="598"/>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6" t="s">
        <v>412</v>
      </c>
      <c r="B81" s="517"/>
      <c r="C81" s="112">
        <f>E30</f>
        <v>592</v>
      </c>
      <c r="D81" s="529" t="s">
        <v>417</v>
      </c>
      <c r="E81" s="529"/>
      <c r="F81" s="529"/>
      <c r="G81" s="529"/>
      <c r="H81" s="301">
        <f>'1461'!H81</f>
        <v>186682.65</v>
      </c>
      <c r="I81" s="113"/>
      <c r="N81" s="591" t="s">
        <v>418</v>
      </c>
      <c r="O81" s="568"/>
      <c r="P81" s="41">
        <f>P30</f>
        <v>0</v>
      </c>
      <c r="Q81" s="601" t="s">
        <v>419</v>
      </c>
      <c r="R81" s="602"/>
      <c r="S81" s="602"/>
      <c r="T81" s="595">
        <f>H81</f>
        <v>186682.65</v>
      </c>
      <c r="U81" s="595"/>
    </row>
    <row r="82" spans="1:21" x14ac:dyDescent="0.25">
      <c r="B82" s="69"/>
      <c r="G82" s="42" t="s">
        <v>12</v>
      </c>
      <c r="H82" s="114">
        <f>ROUND(C81/H81,6)</f>
        <v>3.1710000000000002E-3</v>
      </c>
      <c r="I82" s="115"/>
      <c r="N82" s="568"/>
      <c r="O82" s="568"/>
      <c r="P82" s="568"/>
      <c r="Q82" s="568"/>
      <c r="R82" s="568"/>
      <c r="S82" s="568"/>
      <c r="T82" s="598">
        <f>ROUND(P81/T81,6)</f>
        <v>0</v>
      </c>
      <c r="U82" s="598"/>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2.9150000000000001E-3</v>
      </c>
      <c r="I85" s="101">
        <f>ROUND(F85*H85,2)</f>
        <v>130200.04</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1" t="s">
        <v>71</v>
      </c>
      <c r="B87" s="517"/>
      <c r="C87" s="517"/>
      <c r="D87" s="69"/>
      <c r="E87" s="43"/>
      <c r="F87" s="117"/>
      <c r="G87" s="37"/>
      <c r="H87" s="424"/>
      <c r="I87" s="101"/>
      <c r="N87" s="591" t="s">
        <v>463</v>
      </c>
      <c r="O87" s="568"/>
      <c r="P87" s="568"/>
      <c r="Q87" s="51"/>
      <c r="R87" s="422"/>
      <c r="S87" s="51"/>
      <c r="T87" s="38"/>
      <c r="U87" s="480"/>
    </row>
    <row r="88" spans="1:21" x14ac:dyDescent="0.25">
      <c r="A88" s="531" t="s">
        <v>99</v>
      </c>
      <c r="B88" s="517"/>
      <c r="C88" s="517"/>
      <c r="D88" s="69"/>
      <c r="E88" s="43" t="s">
        <v>3</v>
      </c>
      <c r="F88" s="303">
        <f>'1461'!F88</f>
        <v>0</v>
      </c>
      <c r="G88" s="37" t="s">
        <v>6</v>
      </c>
      <c r="H88" s="424">
        <f>H70</f>
        <v>2.9120000000000001E-3</v>
      </c>
      <c r="I88" s="101">
        <f>ROUND(F88*H88,2)</f>
        <v>0</v>
      </c>
      <c r="N88" s="603" t="s">
        <v>99</v>
      </c>
      <c r="O88" s="568"/>
      <c r="P88" s="568"/>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3.1710000000000002E-3</v>
      </c>
      <c r="I90" s="101">
        <f>ROUND(F90*H90,2)</f>
        <v>51265.72</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3.1670000000000001E-3</v>
      </c>
      <c r="I92" s="101">
        <f t="shared" ref="I92:I96" si="14">ROUND(F92*H92,2)</f>
        <v>31796.99</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6" t="s">
        <v>421</v>
      </c>
      <c r="B94" s="517"/>
      <c r="C94" s="517"/>
      <c r="D94" s="69"/>
      <c r="E94" s="43" t="s">
        <v>4</v>
      </c>
      <c r="F94" s="303">
        <f>'1461'!F94</f>
        <v>238997674</v>
      </c>
      <c r="G94" s="37" t="s">
        <v>6</v>
      </c>
      <c r="H94" s="424">
        <f>H73</f>
        <v>2.8879999999999999E-3</v>
      </c>
      <c r="I94" s="101">
        <f t="shared" si="14"/>
        <v>690225.28</v>
      </c>
      <c r="N94" s="568" t="s">
        <v>421</v>
      </c>
      <c r="O94" s="568"/>
      <c r="P94" s="568"/>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6" t="s">
        <v>422</v>
      </c>
      <c r="B96" s="517"/>
      <c r="C96" s="517"/>
      <c r="D96" s="69"/>
      <c r="E96" s="43" t="s">
        <v>4</v>
      </c>
      <c r="F96" s="303">
        <f>'1461'!F96</f>
        <v>-1600047</v>
      </c>
      <c r="G96" s="37" t="s">
        <v>6</v>
      </c>
      <c r="H96" s="424">
        <f>H73</f>
        <v>2.8879999999999999E-3</v>
      </c>
      <c r="I96" s="101">
        <f t="shared" si="14"/>
        <v>-4620.9399999999996</v>
      </c>
      <c r="N96" s="591" t="s">
        <v>422</v>
      </c>
      <c r="O96" s="568"/>
      <c r="P96" s="568"/>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6" t="s">
        <v>60</v>
      </c>
      <c r="D99" s="526"/>
      <c r="E99" s="69"/>
      <c r="F99" s="39" t="s">
        <v>28</v>
      </c>
      <c r="G99" s="69"/>
      <c r="H99" s="69"/>
      <c r="I99" s="69"/>
      <c r="N99" s="45"/>
      <c r="O99" s="45"/>
      <c r="P99" s="45"/>
      <c r="Q99" s="45"/>
      <c r="R99" s="45"/>
      <c r="S99" s="45"/>
      <c r="T99" s="45"/>
      <c r="U99" s="45"/>
    </row>
    <row r="100" spans="1:21" x14ac:dyDescent="0.25">
      <c r="A100" s="3"/>
      <c r="B100" s="118"/>
      <c r="C100" s="527" t="s">
        <v>101</v>
      </c>
      <c r="D100" s="527"/>
      <c r="E100" s="425" t="s">
        <v>425</v>
      </c>
      <c r="F100" s="120" t="s">
        <v>106</v>
      </c>
      <c r="G100" s="121"/>
      <c r="H100" s="121"/>
      <c r="I100" s="121"/>
      <c r="N100" s="592" t="s">
        <v>35</v>
      </c>
      <c r="O100" s="592"/>
      <c r="P100" s="625" t="s">
        <v>427</v>
      </c>
      <c r="Q100" s="594"/>
      <c r="R100" s="595" t="s">
        <v>31</v>
      </c>
      <c r="S100" s="595"/>
      <c r="T100" s="595"/>
      <c r="U100" s="595"/>
    </row>
    <row r="101" spans="1:21" x14ac:dyDescent="0.25">
      <c r="A101" s="26"/>
      <c r="B101" s="52" t="s">
        <v>105</v>
      </c>
      <c r="C101" s="515">
        <f>H14+H15+H20+H23+H26</f>
        <v>476.20159999999998</v>
      </c>
      <c r="D101" s="515"/>
      <c r="E101" s="46">
        <f>H8</f>
        <v>1.0442</v>
      </c>
      <c r="F101" s="304">
        <f>'1461'!F101</f>
        <v>947.59</v>
      </c>
      <c r="G101" s="39" t="s">
        <v>12</v>
      </c>
      <c r="H101" s="101">
        <f>ROUND(C101*E101*F101,2)</f>
        <v>471188.85</v>
      </c>
      <c r="I101" s="104"/>
      <c r="N101" s="28" t="s">
        <v>17</v>
      </c>
      <c r="O101" s="47">
        <f>T14+T15+T20+T23+T26</f>
        <v>0</v>
      </c>
      <c r="P101" s="606">
        <f>T8</f>
        <v>1.0442</v>
      </c>
      <c r="Q101" s="606"/>
      <c r="R101" s="48">
        <f>F101</f>
        <v>947.59</v>
      </c>
      <c r="S101" s="40" t="s">
        <v>12</v>
      </c>
      <c r="T101" s="481">
        <f>ROUND(O101*P101*R101,2)</f>
        <v>0</v>
      </c>
      <c r="U101" s="102"/>
    </row>
    <row r="102" spans="1:21" x14ac:dyDescent="0.25">
      <c r="A102" s="49"/>
      <c r="B102" s="49" t="s">
        <v>104</v>
      </c>
      <c r="C102" s="515">
        <f>H16+H17+H21+H24+H27</f>
        <v>180.87899999999999</v>
      </c>
      <c r="D102" s="515"/>
      <c r="E102" s="46">
        <f>H8</f>
        <v>1.0442</v>
      </c>
      <c r="F102" s="304">
        <f>'1461'!F102</f>
        <v>904.74</v>
      </c>
      <c r="G102" s="39" t="s">
        <v>12</v>
      </c>
      <c r="H102" s="101">
        <f>ROUND(C102*E102*F102,2)</f>
        <v>170881.73</v>
      </c>
      <c r="N102" s="50" t="s">
        <v>13</v>
      </c>
      <c r="O102" s="47">
        <f>T16+T17+T21+T24+T27</f>
        <v>0</v>
      </c>
      <c r="P102" s="606">
        <f>T8</f>
        <v>1.0442</v>
      </c>
      <c r="Q102" s="606"/>
      <c r="R102" s="48">
        <f>F102</f>
        <v>904.74</v>
      </c>
      <c r="S102" s="40" t="s">
        <v>12</v>
      </c>
      <c r="T102" s="481">
        <f>ROUND(O102*P102*R102,2)</f>
        <v>0</v>
      </c>
      <c r="U102" s="51"/>
    </row>
    <row r="103" spans="1:21" ht="16.5" thickBot="1" x14ac:dyDescent="0.3">
      <c r="A103" s="52"/>
      <c r="B103" s="52" t="s">
        <v>103</v>
      </c>
      <c r="C103" s="515">
        <f>H18+H19+H22+H25+H28+H29</f>
        <v>0</v>
      </c>
      <c r="D103" s="515"/>
      <c r="E103" s="46">
        <f>H8</f>
        <v>1.0442</v>
      </c>
      <c r="F103" s="304">
        <f>'1461'!F103</f>
        <v>906.93</v>
      </c>
      <c r="G103" s="39" t="s">
        <v>12</v>
      </c>
      <c r="H103" s="94">
        <f>ROUND(C103*E103*F103,2)</f>
        <v>0</v>
      </c>
      <c r="N103" s="53" t="s">
        <v>14</v>
      </c>
      <c r="O103" s="54">
        <f>T18+T19+T22+T25+T28+T29</f>
        <v>0</v>
      </c>
      <c r="P103" s="606">
        <f>T8</f>
        <v>1.0442</v>
      </c>
      <c r="Q103" s="606"/>
      <c r="R103" s="48">
        <f>F103</f>
        <v>906.93</v>
      </c>
      <c r="S103" s="40" t="s">
        <v>12</v>
      </c>
      <c r="T103" s="481">
        <f>ROUND(O103*P103*R103,2)</f>
        <v>0</v>
      </c>
      <c r="U103" s="51"/>
    </row>
    <row r="104" spans="1:21" ht="16.5" thickBot="1" x14ac:dyDescent="0.3">
      <c r="A104" s="55"/>
      <c r="B104" s="122" t="s">
        <v>102</v>
      </c>
      <c r="C104" s="528">
        <f>SUM(C101:C103)</f>
        <v>657.0806</v>
      </c>
      <c r="D104" s="528"/>
      <c r="E104" s="123"/>
      <c r="F104" s="123"/>
      <c r="G104" s="123"/>
      <c r="H104" s="124" t="s">
        <v>100</v>
      </c>
      <c r="I104" s="101">
        <f>IF(A1=75,0,H103+H102+H101)</f>
        <v>642070.57999999996</v>
      </c>
      <c r="N104" s="56" t="s">
        <v>89</v>
      </c>
      <c r="O104" s="57">
        <f>SUM(O101:O103)</f>
        <v>0</v>
      </c>
      <c r="P104" s="607" t="s">
        <v>16</v>
      </c>
      <c r="Q104" s="608"/>
      <c r="R104" s="608"/>
      <c r="S104" s="608"/>
      <c r="T104" s="608"/>
      <c r="U104" s="475">
        <f>IF(N1=75,0,T103+T102+T101)</f>
        <v>0</v>
      </c>
    </row>
    <row r="105" spans="1:21" ht="16.5" thickTop="1" x14ac:dyDescent="0.25">
      <c r="A105" s="553" t="s">
        <v>65</v>
      </c>
      <c r="B105" s="553"/>
      <c r="C105" s="553"/>
      <c r="D105" s="553"/>
      <c r="E105" s="553"/>
      <c r="F105" s="553"/>
      <c r="G105" s="553"/>
      <c r="H105" s="553"/>
      <c r="I105" s="553"/>
      <c r="N105" s="609" t="s">
        <v>65</v>
      </c>
      <c r="O105" s="609"/>
      <c r="P105" s="609"/>
      <c r="Q105" s="609"/>
      <c r="R105" s="609"/>
      <c r="S105" s="609"/>
      <c r="T105" s="609"/>
      <c r="U105" s="609"/>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4"/>
      <c r="G107" s="554"/>
      <c r="H107" s="554"/>
      <c r="I107" s="554"/>
      <c r="N107" s="591" t="s">
        <v>428</v>
      </c>
      <c r="O107" s="568"/>
      <c r="P107" s="568"/>
      <c r="Q107" s="610"/>
      <c r="R107" s="610"/>
      <c r="S107" s="610"/>
      <c r="T107" s="610"/>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29" t="s">
        <v>379</v>
      </c>
      <c r="B110" s="550"/>
      <c r="C110" s="143">
        <v>196</v>
      </c>
      <c r="D110" s="143">
        <v>193</v>
      </c>
      <c r="E110" s="116">
        <f>(C110+D110)/2</f>
        <v>194.5</v>
      </c>
      <c r="F110" s="126" t="s">
        <v>30</v>
      </c>
      <c r="G110" s="305">
        <f>'1461'!G110</f>
        <v>565</v>
      </c>
      <c r="I110" s="101">
        <f>ROUND(G110*E110,2)</f>
        <v>109892.5</v>
      </c>
      <c r="N110" s="617" t="s">
        <v>52</v>
      </c>
      <c r="O110" s="617"/>
      <c r="P110" s="605">
        <f>IF(H130=1,E110,0)</f>
        <v>0</v>
      </c>
      <c r="Q110" s="605"/>
      <c r="R110" s="605"/>
      <c r="S110" s="83" t="s">
        <v>30</v>
      </c>
      <c r="T110" s="58">
        <f>G110</f>
        <v>565</v>
      </c>
      <c r="U110" s="475">
        <f>ROUND(T110*P110,2)</f>
        <v>0</v>
      </c>
    </row>
    <row r="111" spans="1:21" x14ac:dyDescent="0.25">
      <c r="A111" s="529" t="s">
        <v>380</v>
      </c>
      <c r="B111" s="550"/>
      <c r="C111" s="143">
        <v>1</v>
      </c>
      <c r="D111" s="143">
        <v>0</v>
      </c>
      <c r="E111" s="116">
        <f>(C111+D111)/2</f>
        <v>0.5</v>
      </c>
      <c r="F111" s="126" t="s">
        <v>30</v>
      </c>
      <c r="G111" s="305">
        <f>'1461'!G111</f>
        <v>1762</v>
      </c>
      <c r="I111" s="101">
        <f>ROUND(G111*E111,2)</f>
        <v>881</v>
      </c>
      <c r="N111" s="617" t="s">
        <v>64</v>
      </c>
      <c r="O111" s="617"/>
      <c r="P111" s="583"/>
      <c r="Q111" s="583"/>
      <c r="R111" s="583"/>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6" t="s">
        <v>429</v>
      </c>
      <c r="B114" s="517"/>
      <c r="C114" s="517"/>
      <c r="D114" s="69"/>
      <c r="E114" s="39" t="s">
        <v>295</v>
      </c>
      <c r="F114" s="526"/>
      <c r="G114" s="526"/>
      <c r="H114" s="526"/>
      <c r="I114" s="526"/>
      <c r="N114" s="591" t="s">
        <v>430</v>
      </c>
      <c r="O114" s="568"/>
      <c r="P114" s="568"/>
      <c r="Q114" s="568"/>
      <c r="R114" s="568"/>
      <c r="S114" s="568"/>
      <c r="T114" s="568"/>
      <c r="U114" s="568"/>
    </row>
    <row r="115" spans="1:21" hidden="1" x14ac:dyDescent="0.25">
      <c r="B115" s="69"/>
      <c r="C115" s="527" t="s">
        <v>66</v>
      </c>
      <c r="D115" s="527"/>
      <c r="E115" s="527"/>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0" t="s">
        <v>109</v>
      </c>
      <c r="G116" s="526"/>
      <c r="H116" s="37" t="s">
        <v>29</v>
      </c>
      <c r="I116" s="37"/>
      <c r="N116" s="45"/>
      <c r="O116" s="45"/>
      <c r="P116" s="45"/>
      <c r="Q116" s="45"/>
      <c r="R116" s="45"/>
      <c r="S116" s="45"/>
      <c r="T116" s="45"/>
      <c r="U116" s="45"/>
    </row>
    <row r="117" spans="1:21" hidden="1" x14ac:dyDescent="0.25">
      <c r="A117" s="527" t="s">
        <v>69</v>
      </c>
      <c r="B117" s="527"/>
      <c r="C117" s="90" t="s">
        <v>2</v>
      </c>
      <c r="D117" s="90" t="s">
        <v>2</v>
      </c>
      <c r="E117" s="59" t="s">
        <v>2</v>
      </c>
      <c r="F117" s="527" t="s">
        <v>28</v>
      </c>
      <c r="G117" s="527"/>
      <c r="H117" s="59" t="s">
        <v>28</v>
      </c>
      <c r="I117" s="59" t="s">
        <v>8</v>
      </c>
      <c r="N117" s="604" t="s">
        <v>53</v>
      </c>
      <c r="O117" s="604"/>
      <c r="P117" s="605" t="s">
        <v>66</v>
      </c>
      <c r="Q117" s="605"/>
      <c r="R117" s="604" t="s">
        <v>54</v>
      </c>
      <c r="S117" s="604"/>
      <c r="T117" s="60" t="s">
        <v>55</v>
      </c>
      <c r="U117" s="60" t="s">
        <v>8</v>
      </c>
    </row>
    <row r="118" spans="1:21" hidden="1" x14ac:dyDescent="0.25">
      <c r="A118" s="551" t="s">
        <v>56</v>
      </c>
      <c r="B118" s="551"/>
      <c r="C118" s="141">
        <v>0</v>
      </c>
      <c r="D118" s="141">
        <v>0</v>
      </c>
      <c r="E118" s="187">
        <f>IF(D30=0,C118*2,C118+D118)</f>
        <v>0</v>
      </c>
      <c r="F118" s="552">
        <v>0</v>
      </c>
      <c r="G118" s="552"/>
      <c r="H118" s="224">
        <f>IF(C118=0,0,125)</f>
        <v>0</v>
      </c>
      <c r="I118" s="101">
        <f>ROUND((H118+F118)*E118,2)</f>
        <v>0</v>
      </c>
      <c r="N118" s="568" t="s">
        <v>56</v>
      </c>
      <c r="O118" s="568"/>
      <c r="P118" s="583">
        <f>IF(H$130=1,C118,0)</f>
        <v>0</v>
      </c>
      <c r="Q118" s="583"/>
      <c r="R118" s="615">
        <f>F118</f>
        <v>0</v>
      </c>
      <c r="S118" s="615"/>
      <c r="T118" s="62">
        <f>H118</f>
        <v>0</v>
      </c>
      <c r="U118" s="96">
        <f>ROUND((T118+R118)*P118,0)</f>
        <v>0</v>
      </c>
    </row>
    <row r="119" spans="1:21" hidden="1" x14ac:dyDescent="0.25">
      <c r="A119" s="521" t="s">
        <v>57</v>
      </c>
      <c r="B119" s="521"/>
      <c r="C119" s="143">
        <v>0</v>
      </c>
      <c r="D119" s="143">
        <v>0</v>
      </c>
      <c r="E119" s="116">
        <f>IF(D31=0,C119*2,C119+D119)</f>
        <v>0</v>
      </c>
      <c r="F119" s="522">
        <f>ROUND(F118/2,2)</f>
        <v>0</v>
      </c>
      <c r="G119" s="522"/>
      <c r="H119" s="224">
        <f>IF(C119=0,0,62.5)</f>
        <v>0</v>
      </c>
      <c r="I119" s="101">
        <f>ROUND((H119+F119)*E119,2)</f>
        <v>0</v>
      </c>
      <c r="N119" s="568" t="s">
        <v>57</v>
      </c>
      <c r="O119" s="568"/>
      <c r="P119" s="583">
        <f>IF(H$130=1,C119,0)</f>
        <v>0</v>
      </c>
      <c r="Q119" s="583"/>
      <c r="R119" s="616">
        <f>ROUND(R118/2,2)</f>
        <v>0</v>
      </c>
      <c r="S119" s="616"/>
      <c r="T119" s="62">
        <f>H119</f>
        <v>0</v>
      </c>
      <c r="U119" s="96">
        <f>ROUND((T119+R119)*P119,0)</f>
        <v>0</v>
      </c>
    </row>
    <row r="120" spans="1:21" ht="16.5" hidden="1" thickBot="1" x14ac:dyDescent="0.3">
      <c r="A120" s="521" t="s">
        <v>58</v>
      </c>
      <c r="B120" s="521"/>
      <c r="C120" s="143">
        <v>0</v>
      </c>
      <c r="D120" s="143">
        <v>0</v>
      </c>
      <c r="E120" s="116">
        <f>IF(D32=0,C120*2,C120+D120)</f>
        <v>0</v>
      </c>
      <c r="F120" s="523"/>
      <c r="G120" s="523"/>
      <c r="H120" s="225">
        <f>IF(H118&gt;0,436,0)</f>
        <v>0</v>
      </c>
      <c r="I120" s="101">
        <f>ROUND(H120*E120,2)</f>
        <v>0</v>
      </c>
      <c r="N120" s="585" t="s">
        <v>58</v>
      </c>
      <c r="O120" s="585"/>
      <c r="P120" s="583">
        <f>IF(H$130=1,C120,0)</f>
        <v>0</v>
      </c>
      <c r="Q120" s="583"/>
      <c r="R120" s="604"/>
      <c r="S120" s="604"/>
      <c r="T120" s="64">
        <f>H120</f>
        <v>0</v>
      </c>
      <c r="U120" s="103">
        <f>ROUND(T120*P120,0)</f>
        <v>0</v>
      </c>
    </row>
    <row r="121" spans="1:21" ht="16.5" hidden="1" thickBot="1" x14ac:dyDescent="0.3">
      <c r="A121" s="526" t="s">
        <v>8</v>
      </c>
      <c r="B121" s="526"/>
      <c r="C121" s="65"/>
      <c r="D121" s="65"/>
      <c r="E121" s="65"/>
      <c r="F121" s="65"/>
      <c r="G121" s="65"/>
      <c r="H121" s="65"/>
      <c r="I121" s="97">
        <f>SUM(I118:I120)</f>
        <v>0</v>
      </c>
      <c r="N121" s="562" t="s">
        <v>8</v>
      </c>
      <c r="O121" s="56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6" t="s">
        <v>431</v>
      </c>
      <c r="B123" s="517"/>
      <c r="C123" s="517"/>
      <c r="D123" s="69"/>
      <c r="E123" s="68" t="s">
        <v>34</v>
      </c>
      <c r="F123" s="519"/>
      <c r="G123" s="519"/>
      <c r="H123" s="519"/>
      <c r="I123" s="154">
        <v>0</v>
      </c>
      <c r="N123" s="591" t="s">
        <v>431</v>
      </c>
      <c r="O123" s="568"/>
      <c r="P123" s="568"/>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0" t="s">
        <v>8</v>
      </c>
      <c r="B125" s="520"/>
      <c r="C125" s="520"/>
      <c r="D125" s="520"/>
      <c r="E125" s="520"/>
      <c r="F125" s="520"/>
      <c r="G125" s="520"/>
      <c r="H125" s="520"/>
      <c r="I125" s="94">
        <f>SUM(I46,I66,I85,I88,I90,I92,I94,I96,I104,I110,I111,I121,I123)</f>
        <v>5293546.76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5084425.91</v>
      </c>
      <c r="N127" s="613" t="s">
        <v>33</v>
      </c>
      <c r="O127" s="613"/>
      <c r="P127" s="613"/>
      <c r="Q127" s="613"/>
      <c r="R127" s="613"/>
      <c r="S127" s="613"/>
      <c r="T127" s="613"/>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6" t="s">
        <v>434</v>
      </c>
      <c r="B129" s="517"/>
      <c r="C129" s="517"/>
      <c r="D129" s="517"/>
      <c r="E129" s="517"/>
      <c r="F129" s="517"/>
      <c r="G129" s="517"/>
      <c r="H129" s="81" t="s">
        <v>326</v>
      </c>
      <c r="I129" s="134"/>
      <c r="N129" s="28"/>
      <c r="O129" s="28"/>
      <c r="P129" s="28"/>
      <c r="Q129" s="28"/>
      <c r="R129" s="28"/>
      <c r="S129" s="28"/>
      <c r="T129" s="28"/>
      <c r="U129" s="138"/>
    </row>
    <row r="130" spans="1:21" x14ac:dyDescent="0.25">
      <c r="A130" s="517" t="s">
        <v>70</v>
      </c>
      <c r="B130" s="517"/>
      <c r="C130" s="517"/>
      <c r="D130" s="517"/>
      <c r="E130" s="517"/>
      <c r="F130" s="517"/>
      <c r="G130" s="51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5084425.91</v>
      </c>
      <c r="I132" s="94">
        <f>ROUND(IF(E30=0,0,IF(E30&gt;250,-(((250/E30)*H132)*IF(G132="H",0.02,0.05)),IF(G132="H",-0.02*H132,-0.05*H132))),2)</f>
        <v>-107356.97</v>
      </c>
      <c r="N132" s="614"/>
      <c r="O132" s="614"/>
      <c r="P132" s="614"/>
      <c r="Q132" s="614"/>
      <c r="R132" s="614"/>
      <c r="S132" s="614"/>
      <c r="T132" s="614"/>
      <c r="U132" s="614"/>
    </row>
    <row r="133" spans="1:21" x14ac:dyDescent="0.25">
      <c r="B133" s="69"/>
      <c r="C133" s="69"/>
      <c r="D133" s="69"/>
      <c r="E133" s="69"/>
      <c r="F133" s="69"/>
      <c r="G133" s="69"/>
      <c r="H133" s="65"/>
      <c r="I133" s="101"/>
      <c r="N133" s="611" t="s">
        <v>7</v>
      </c>
      <c r="O133" s="611"/>
      <c r="P133" s="611"/>
      <c r="Q133" s="611"/>
      <c r="R133" s="611"/>
      <c r="S133" s="611"/>
      <c r="T133" s="611"/>
      <c r="U133" s="611"/>
    </row>
    <row r="134" spans="1:21" x14ac:dyDescent="0.25">
      <c r="A134" s="310" t="s">
        <v>74</v>
      </c>
      <c r="B134" s="311"/>
      <c r="C134" s="311"/>
      <c r="D134" s="311"/>
      <c r="E134" s="311"/>
      <c r="F134" s="311"/>
      <c r="G134" s="311"/>
      <c r="H134" s="312"/>
      <c r="I134" s="313">
        <f>I125+I132</f>
        <v>5186189.79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-451535.35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4734654.4400000004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11</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430423.13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146864.32550000001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2"/>
      <c r="O152" s="612"/>
      <c r="P152" s="612"/>
      <c r="Q152" s="612"/>
      <c r="R152" s="612"/>
      <c r="S152" s="612"/>
      <c r="T152" s="612"/>
      <c r="U152" s="612"/>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6</vt:i4>
      </vt:variant>
    </vt:vector>
  </HeadingPairs>
  <TitlesOfParts>
    <vt:vector size="57" baseType="lpstr">
      <vt:lpstr>Net Payment</vt:lpstr>
      <vt:lpstr>Charter Schools</vt:lpstr>
      <vt:lpstr>Consolidated</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Richard Oglenski</cp:lastModifiedBy>
  <cp:lastPrinted>2023-08-01T15:07:39Z</cp:lastPrinted>
  <dcterms:created xsi:type="dcterms:W3CDTF">1998-02-12T20:21:54Z</dcterms:created>
  <dcterms:modified xsi:type="dcterms:W3CDTF">2023-08-09T12:36:16Z</dcterms:modified>
</cp:coreProperties>
</file>