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W:\Charter Schools\!!FEFP\FY 24 - FEFP Funding\!Payments 2023-24\2024-04 Pmt\"/>
    </mc:Choice>
  </mc:AlternateContent>
  <xr:revisionPtr revIDLastSave="0" documentId="13_ncr:1_{ADEA6144-C947-4626-8F79-4281B5F16A51}" xr6:coauthVersionLast="47" xr6:coauthVersionMax="47" xr10:uidLastSave="{00000000-0000-0000-0000-000000000000}"/>
  <bookViews>
    <workbookView xWindow="-120" yWindow="-120" windowWidth="29040" windowHeight="15840" tabRatio="767" xr2:uid="{DD68DEF0-64D8-415A-B9B5-852B0E42B7D8}"/>
  </bookViews>
  <sheets>
    <sheet name="Net Payment" sheetId="64" r:id="rId1"/>
    <sheet name="Charter Schools" sheetId="65" r:id="rId2"/>
    <sheet name="Consolidated" sheetId="60" r:id="rId3"/>
    <sheet name="1461" sheetId="7" r:id="rId4"/>
    <sheet name="1571" sheetId="16" r:id="rId5"/>
    <sheet name="2521" sheetId="17" r:id="rId6"/>
    <sheet name="2531" sheetId="18" r:id="rId7"/>
    <sheet name="2791" sheetId="20" r:id="rId8"/>
    <sheet name="2801" sheetId="21" r:id="rId9"/>
    <sheet name="2911" sheetId="25" r:id="rId10"/>
    <sheet name="2941" sheetId="24" r:id="rId11"/>
    <sheet name="3083" sheetId="22" r:id="rId12"/>
    <sheet name="3345" sheetId="26" r:id="rId13"/>
    <sheet name="3381" sheetId="27" r:id="rId14"/>
    <sheet name="3382" sheetId="28" r:id="rId15"/>
    <sheet name="3391" sheetId="31" r:id="rId16"/>
    <sheet name="3394" sheetId="32" r:id="rId17"/>
    <sheet name="3395" sheetId="33" r:id="rId18"/>
    <sheet name="3396" sheetId="34" r:id="rId19"/>
    <sheet name="3398" sheetId="35" r:id="rId20"/>
    <sheet name="3400" sheetId="23" r:id="rId21"/>
    <sheet name="3401" sheetId="36" r:id="rId22"/>
    <sheet name="3413" sheetId="37" r:id="rId23"/>
    <sheet name="3421" sheetId="38" r:id="rId24"/>
    <sheet name="3431" sheetId="39" r:id="rId25"/>
    <sheet name="3441" sheetId="40" r:id="rId26"/>
    <sheet name="3924" sheetId="42" r:id="rId27"/>
    <sheet name="3941" sheetId="43" r:id="rId28"/>
    <sheet name="3961" sheetId="44" r:id="rId29"/>
    <sheet name="3971" sheetId="45" r:id="rId30"/>
    <sheet name="4001" sheetId="47" r:id="rId31"/>
    <sheet name="4002" sheetId="48" r:id="rId32"/>
    <sheet name="4012" sheetId="50" r:id="rId33"/>
    <sheet name="4013" sheetId="51" r:id="rId34"/>
    <sheet name="4020" sheetId="52" r:id="rId35"/>
    <sheet name="4030" sheetId="75" r:id="rId36"/>
    <sheet name="4031" sheetId="76" r:id="rId37"/>
    <sheet name="4041" sheetId="55" r:id="rId38"/>
    <sheet name="4050" sheetId="56" r:id="rId39"/>
    <sheet name="4051" sheetId="57" r:id="rId40"/>
    <sheet name="4061" sheetId="58" r:id="rId41"/>
    <sheet name="4080" sheetId="66" r:id="rId42"/>
    <sheet name="4081" sheetId="67" r:id="rId43"/>
    <sheet name="4090" sheetId="69" r:id="rId44"/>
    <sheet name="4091" sheetId="70" r:id="rId45"/>
    <sheet name="4100" sheetId="71" r:id="rId46"/>
    <sheet name="4102" sheetId="68" r:id="rId47"/>
    <sheet name="4103" sheetId="77" r:id="rId48"/>
    <sheet name="4111" sheetId="78" r:id="rId49"/>
    <sheet name="4131" sheetId="30" r:id="rId50"/>
    <sheet name="Virtual" sheetId="62" state="hidden" r:id="rId51"/>
  </sheets>
  <definedNames>
    <definedName name="_xlnm._FilterDatabase" localSheetId="0" hidden="1">'Net Payment'!$A$4:$G$440</definedName>
    <definedName name="CAP" localSheetId="3"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3"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3">'1461'!$A$6:$I$145</definedName>
    <definedName name="_xlnm.Print_Area" localSheetId="2">Consolidated!$A$2:$I$144</definedName>
    <definedName name="_xlnm.Print_Area" localSheetId="0">'Net Payment'!$A$5:$G$523</definedName>
    <definedName name="_xlnm.Print_Area" localSheetId="50">Virtual!$B$2:$G$38</definedName>
    <definedName name="_xlnm.Print_Titles" localSheetId="3">'1461'!$2:$5</definedName>
    <definedName name="_xlnm.Print_Titles" localSheetId="0">'Net Payment'!$1:$4</definedName>
    <definedName name="wrn.Base._.Data._.Comparison." localSheetId="3"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41" i="17" l="1"/>
  <c r="I145" i="17"/>
  <c r="I139" i="17"/>
  <c r="I139" i="33"/>
  <c r="C105" i="7" l="1"/>
  <c r="C106" i="7"/>
  <c r="G479" i="64" l="1"/>
  <c r="F479" i="64" l="1"/>
  <c r="F478" i="64"/>
  <c r="F471" i="64"/>
  <c r="E62" i="24" l="1"/>
  <c r="I139" i="30" l="1"/>
  <c r="I139" i="78"/>
  <c r="I139" i="77"/>
  <c r="I139" i="68"/>
  <c r="I139" i="71"/>
  <c r="I139" i="70"/>
  <c r="I139" i="69"/>
  <c r="I139" i="67"/>
  <c r="I139" i="66"/>
  <c r="I139" i="58"/>
  <c r="I139" i="57"/>
  <c r="I139" i="56"/>
  <c r="I139" i="55"/>
  <c r="I139" i="76"/>
  <c r="I139" i="75"/>
  <c r="I139" i="52"/>
  <c r="I139" i="51"/>
  <c r="E62" i="50"/>
  <c r="E61" i="50"/>
  <c r="E60" i="50"/>
  <c r="I139" i="50"/>
  <c r="I139" i="48"/>
  <c r="I139" i="47"/>
  <c r="I139" i="45"/>
  <c r="I139" i="44"/>
  <c r="I139" i="43"/>
  <c r="I139" i="42"/>
  <c r="I139" i="40"/>
  <c r="I139" i="39"/>
  <c r="I139" i="38"/>
  <c r="I139" i="37"/>
  <c r="I139" i="36"/>
  <c r="I19" i="23"/>
  <c r="I139" i="23"/>
  <c r="I139" i="35"/>
  <c r="I139" i="34"/>
  <c r="I139" i="32"/>
  <c r="I139" i="31"/>
  <c r="I139" i="28"/>
  <c r="I139" i="27"/>
  <c r="I139" i="26"/>
  <c r="I139" i="22"/>
  <c r="I139" i="24"/>
  <c r="I139" i="25"/>
  <c r="I139" i="21"/>
  <c r="I139" i="20" l="1"/>
  <c r="I139" i="18"/>
  <c r="I139" i="16"/>
  <c r="I139" i="7"/>
  <c r="C112" i="60" l="1"/>
  <c r="C111" i="60"/>
  <c r="I124" i="60" l="1"/>
  <c r="R98" i="30"/>
  <c r="R98" i="78"/>
  <c r="R98" i="77"/>
  <c r="R98" i="68"/>
  <c r="R98" i="71"/>
  <c r="R98" i="70"/>
  <c r="R98" i="69"/>
  <c r="R98" i="67"/>
  <c r="R98" i="66"/>
  <c r="R98" i="58"/>
  <c r="R98" i="57"/>
  <c r="R98" i="56"/>
  <c r="R98" i="55"/>
  <c r="R98" i="76"/>
  <c r="R98" i="75"/>
  <c r="R98" i="52"/>
  <c r="R98" i="51"/>
  <c r="R98" i="50"/>
  <c r="R98" i="48"/>
  <c r="R98" i="47"/>
  <c r="R98" i="45"/>
  <c r="R98" i="44"/>
  <c r="R98" i="43"/>
  <c r="R98" i="42"/>
  <c r="R98" i="40"/>
  <c r="R98" i="39"/>
  <c r="R98" i="38"/>
  <c r="R98" i="37"/>
  <c r="R98" i="36"/>
  <c r="R98" i="23"/>
  <c r="R98" i="35"/>
  <c r="R98" i="34"/>
  <c r="R98" i="33"/>
  <c r="R98" i="32"/>
  <c r="R98" i="31"/>
  <c r="R98" i="28" l="1"/>
  <c r="R98" i="27"/>
  <c r="R98" i="26"/>
  <c r="R98" i="22"/>
  <c r="R98" i="24"/>
  <c r="R98" i="25"/>
  <c r="R98" i="21"/>
  <c r="R98" i="20"/>
  <c r="R98" i="18"/>
  <c r="R98" i="17"/>
  <c r="R98" i="16" l="1"/>
  <c r="R98" i="7"/>
  <c r="I137" i="60" l="1"/>
  <c r="E113" i="67" l="1"/>
  <c r="E114" i="56"/>
  <c r="E113" i="56"/>
  <c r="E114" i="48"/>
  <c r="E113" i="38"/>
  <c r="E114" i="34"/>
  <c r="E113" i="34"/>
  <c r="E113" i="16"/>
  <c r="E114" i="78"/>
  <c r="E113" i="78"/>
  <c r="E114" i="77"/>
  <c r="E113" i="77"/>
  <c r="E114" i="71"/>
  <c r="E113" i="71"/>
  <c r="E114" i="70"/>
  <c r="E113" i="70"/>
  <c r="E113" i="69"/>
  <c r="E114" i="66"/>
  <c r="E113" i="66"/>
  <c r="E113" i="58"/>
  <c r="E114" i="57"/>
  <c r="E113" i="57"/>
  <c r="E114" i="55"/>
  <c r="E113" i="55"/>
  <c r="E113" i="76"/>
  <c r="E113" i="75"/>
  <c r="E113" i="52"/>
  <c r="E113" i="51"/>
  <c r="E113" i="50"/>
  <c r="E113" i="48"/>
  <c r="E113" i="47"/>
  <c r="E113" i="45"/>
  <c r="E113" i="43"/>
  <c r="E113" i="42"/>
  <c r="E113" i="40"/>
  <c r="E113" i="39"/>
  <c r="E113" i="36"/>
  <c r="E113" i="23"/>
  <c r="E113" i="35"/>
  <c r="E113" i="33"/>
  <c r="E113" i="32"/>
  <c r="E113" i="31"/>
  <c r="E113" i="28"/>
  <c r="E113" i="27"/>
  <c r="E114" i="22"/>
  <c r="E114" i="24"/>
  <c r="E113" i="24"/>
  <c r="E114" i="25"/>
  <c r="E113" i="25"/>
  <c r="E114" i="21"/>
  <c r="E113" i="21"/>
  <c r="E113" i="20"/>
  <c r="E113" i="18"/>
  <c r="E113" i="17"/>
  <c r="E113" i="22"/>
  <c r="E113" i="26"/>
  <c r="E113" i="7"/>
  <c r="D66" i="24" l="1"/>
  <c r="E65" i="24" s="1"/>
  <c r="E63" i="24" l="1"/>
  <c r="E58" i="24"/>
  <c r="E59" i="24"/>
  <c r="E60" i="24"/>
  <c r="E57" i="24"/>
  <c r="E61" i="24"/>
  <c r="E64" i="24"/>
  <c r="F451" i="64" l="1"/>
  <c r="C30" i="68"/>
  <c r="D441" i="64" l="1"/>
  <c r="D432" i="64"/>
  <c r="D422" i="64"/>
  <c r="D414" i="64"/>
  <c r="D405" i="64"/>
  <c r="D395" i="64"/>
  <c r="D385" i="64"/>
  <c r="D376" i="64"/>
  <c r="D369" i="64"/>
  <c r="D360" i="64"/>
  <c r="D351" i="64"/>
  <c r="D344" i="64"/>
  <c r="D333" i="64"/>
  <c r="D323" i="64"/>
  <c r="D313" i="64"/>
  <c r="D304" i="64"/>
  <c r="D295" i="64"/>
  <c r="D287" i="64"/>
  <c r="D277" i="64"/>
  <c r="D268" i="64"/>
  <c r="D260" i="64"/>
  <c r="D252" i="64"/>
  <c r="D242" i="64"/>
  <c r="D232" i="64"/>
  <c r="D223" i="64"/>
  <c r="D213" i="64"/>
  <c r="D202" i="64"/>
  <c r="D194" i="64"/>
  <c r="D183" i="64"/>
  <c r="D175" i="64"/>
  <c r="D168" i="64"/>
  <c r="D160" i="64"/>
  <c r="D151" i="64"/>
  <c r="D141" i="64"/>
  <c r="D132" i="64"/>
  <c r="D123" i="64"/>
  <c r="D114" i="64"/>
  <c r="D107" i="64"/>
  <c r="D99" i="64"/>
  <c r="D90" i="64"/>
  <c r="D80" i="64"/>
  <c r="D70" i="64"/>
  <c r="D62" i="64"/>
  <c r="D50" i="64"/>
  <c r="D43" i="64"/>
  <c r="D27" i="64" l="1"/>
  <c r="F459" i="64" s="1"/>
  <c r="U126" i="31" l="1"/>
  <c r="U126" i="36"/>
  <c r="H67" i="60"/>
  <c r="H66" i="60"/>
  <c r="H65" i="60"/>
  <c r="H64" i="60"/>
  <c r="H63" i="60"/>
  <c r="H62" i="60"/>
  <c r="H61" i="60"/>
  <c r="H60" i="60"/>
  <c r="H59" i="60"/>
  <c r="D67" i="60"/>
  <c r="D66" i="60"/>
  <c r="D65" i="60"/>
  <c r="D64" i="60"/>
  <c r="D63" i="60"/>
  <c r="D62" i="60"/>
  <c r="D61" i="60"/>
  <c r="D60" i="60"/>
  <c r="D59" i="60"/>
  <c r="C67" i="60"/>
  <c r="C66" i="60"/>
  <c r="C65" i="60"/>
  <c r="C64" i="60"/>
  <c r="C63" i="60"/>
  <c r="C62" i="60"/>
  <c r="C61" i="60"/>
  <c r="C60" i="60"/>
  <c r="C59" i="60"/>
  <c r="D68" i="60" l="1"/>
  <c r="C68" i="60"/>
  <c r="P66" i="16" l="1"/>
  <c r="P66" i="17"/>
  <c r="P66" i="18"/>
  <c r="P66" i="20"/>
  <c r="P66" i="21"/>
  <c r="P66" i="25"/>
  <c r="P66" i="24"/>
  <c r="P66" i="22"/>
  <c r="P66" i="26"/>
  <c r="P66" i="27"/>
  <c r="P66" i="28"/>
  <c r="P66" i="31"/>
  <c r="P66" i="32"/>
  <c r="P66" i="33"/>
  <c r="P66" i="34"/>
  <c r="P66" i="35"/>
  <c r="P66" i="23"/>
  <c r="P66" i="36"/>
  <c r="P66" i="37"/>
  <c r="P66" i="38"/>
  <c r="P66" i="39"/>
  <c r="P66" i="40"/>
  <c r="P66" i="42"/>
  <c r="P66" i="43"/>
  <c r="P66" i="44"/>
  <c r="P66" i="45"/>
  <c r="P66" i="47"/>
  <c r="P66" i="48"/>
  <c r="P66" i="50"/>
  <c r="P66" i="51"/>
  <c r="P66" i="52"/>
  <c r="P66" i="75"/>
  <c r="P66" i="76"/>
  <c r="P66" i="55"/>
  <c r="P66" i="56"/>
  <c r="P66" i="57"/>
  <c r="P66" i="58"/>
  <c r="P66" i="66"/>
  <c r="P66" i="67"/>
  <c r="P66" i="69"/>
  <c r="P66" i="70"/>
  <c r="P66" i="71"/>
  <c r="P66" i="68"/>
  <c r="P66" i="77"/>
  <c r="P66" i="78"/>
  <c r="P66" i="30"/>
  <c r="P66" i="7"/>
  <c r="T65" i="7"/>
  <c r="U65" i="7" s="1"/>
  <c r="T64" i="7"/>
  <c r="U64" i="7" s="1"/>
  <c r="T63" i="7"/>
  <c r="U63" i="7" s="1"/>
  <c r="T62" i="7"/>
  <c r="U62" i="7" s="1"/>
  <c r="T61" i="7"/>
  <c r="U61" i="7" s="1"/>
  <c r="T60" i="7"/>
  <c r="U60" i="7" s="1"/>
  <c r="T59" i="7"/>
  <c r="U59" i="7" s="1"/>
  <c r="T58" i="7"/>
  <c r="U58" i="7" s="1"/>
  <c r="T57" i="7"/>
  <c r="U57" i="7" s="1"/>
  <c r="Q54" i="16"/>
  <c r="P54" i="16"/>
  <c r="Q54" i="17"/>
  <c r="P54" i="17"/>
  <c r="Q54" i="18"/>
  <c r="P54" i="18"/>
  <c r="Q54" i="20"/>
  <c r="P54" i="20"/>
  <c r="Q54" i="21"/>
  <c r="P54" i="21"/>
  <c r="Q54" i="25"/>
  <c r="P54" i="25"/>
  <c r="Q54" i="24"/>
  <c r="P54" i="24"/>
  <c r="Q54" i="22"/>
  <c r="P54" i="22"/>
  <c r="Q54" i="26"/>
  <c r="P54" i="26"/>
  <c r="Q54" i="27"/>
  <c r="P54" i="27"/>
  <c r="Q54" i="28"/>
  <c r="P54" i="28"/>
  <c r="Q54" i="31"/>
  <c r="P54" i="31"/>
  <c r="Q54" i="32"/>
  <c r="P54" i="32"/>
  <c r="Q54" i="33"/>
  <c r="P54" i="33"/>
  <c r="Q54" i="34"/>
  <c r="P54" i="34"/>
  <c r="Q54" i="35"/>
  <c r="P54" i="35"/>
  <c r="Q54" i="23"/>
  <c r="P54" i="23"/>
  <c r="Q54" i="36"/>
  <c r="P54" i="36"/>
  <c r="Q54" i="37"/>
  <c r="P54" i="37"/>
  <c r="Q54" i="38"/>
  <c r="P54" i="38"/>
  <c r="Q54" i="39"/>
  <c r="P54" i="39"/>
  <c r="Q54" i="40"/>
  <c r="P54" i="40"/>
  <c r="Q54" i="42"/>
  <c r="P54" i="42"/>
  <c r="Q54" i="43"/>
  <c r="P54" i="43"/>
  <c r="Q54" i="44"/>
  <c r="P54" i="44"/>
  <c r="Q54" i="45"/>
  <c r="P54" i="45"/>
  <c r="Q54" i="47"/>
  <c r="P54" i="47"/>
  <c r="Q54" i="48"/>
  <c r="P54" i="48"/>
  <c r="Q54" i="50"/>
  <c r="P54" i="50"/>
  <c r="Q54" i="51"/>
  <c r="P54" i="51"/>
  <c r="Q54" i="52"/>
  <c r="P54" i="52"/>
  <c r="Q54" i="75"/>
  <c r="P54" i="75"/>
  <c r="Q54" i="76"/>
  <c r="P54" i="76"/>
  <c r="Q54" i="55"/>
  <c r="P54" i="55"/>
  <c r="Q54" i="56"/>
  <c r="P54" i="56"/>
  <c r="Q54" i="57"/>
  <c r="P54" i="57"/>
  <c r="Q54" i="58"/>
  <c r="P54" i="58"/>
  <c r="Q54" i="66"/>
  <c r="P54" i="66"/>
  <c r="Q54" i="67"/>
  <c r="P54" i="67"/>
  <c r="Q54" i="69"/>
  <c r="P54" i="69"/>
  <c r="Q54" i="70"/>
  <c r="P54" i="70"/>
  <c r="Q54" i="71"/>
  <c r="P54" i="71"/>
  <c r="Q54" i="68"/>
  <c r="P54" i="68"/>
  <c r="Q54" i="77"/>
  <c r="P54" i="77"/>
  <c r="Q54" i="78"/>
  <c r="P54" i="78"/>
  <c r="Q54" i="30"/>
  <c r="P54" i="30"/>
  <c r="U66" i="7" l="1"/>
  <c r="H65" i="16" l="1"/>
  <c r="T65" i="16" s="1"/>
  <c r="U65" i="16" s="1"/>
  <c r="H64" i="16"/>
  <c r="T64" i="16" s="1"/>
  <c r="U64" i="16" s="1"/>
  <c r="H63" i="16"/>
  <c r="T63" i="16" s="1"/>
  <c r="U63" i="16" s="1"/>
  <c r="H62" i="16"/>
  <c r="T62" i="16" s="1"/>
  <c r="U62" i="16" s="1"/>
  <c r="H61" i="16"/>
  <c r="T61" i="16" s="1"/>
  <c r="U61" i="16" s="1"/>
  <c r="H60" i="16"/>
  <c r="T60" i="16" s="1"/>
  <c r="U60" i="16" s="1"/>
  <c r="H59" i="16"/>
  <c r="T59" i="16" s="1"/>
  <c r="U59" i="16" s="1"/>
  <c r="H58" i="16"/>
  <c r="T58" i="16" s="1"/>
  <c r="U58" i="16" s="1"/>
  <c r="H65" i="17"/>
  <c r="T65" i="17" s="1"/>
  <c r="U65" i="17" s="1"/>
  <c r="H64" i="17"/>
  <c r="T64" i="17" s="1"/>
  <c r="U64" i="17" s="1"/>
  <c r="H63" i="17"/>
  <c r="T63" i="17" s="1"/>
  <c r="U63" i="17" s="1"/>
  <c r="H62" i="17"/>
  <c r="T62" i="17" s="1"/>
  <c r="U62" i="17" s="1"/>
  <c r="H61" i="17"/>
  <c r="T61" i="17" s="1"/>
  <c r="U61" i="17" s="1"/>
  <c r="H60" i="17"/>
  <c r="T60" i="17" s="1"/>
  <c r="U60" i="17" s="1"/>
  <c r="H59" i="17"/>
  <c r="T59" i="17" s="1"/>
  <c r="U59" i="17" s="1"/>
  <c r="H58" i="17"/>
  <c r="T58" i="17" s="1"/>
  <c r="U58" i="17" s="1"/>
  <c r="H65" i="18"/>
  <c r="T65" i="18" s="1"/>
  <c r="U65" i="18" s="1"/>
  <c r="H64" i="18"/>
  <c r="T64" i="18" s="1"/>
  <c r="U64" i="18" s="1"/>
  <c r="H63" i="18"/>
  <c r="T63" i="18" s="1"/>
  <c r="U63" i="18" s="1"/>
  <c r="H62" i="18"/>
  <c r="T62" i="18" s="1"/>
  <c r="U62" i="18" s="1"/>
  <c r="H61" i="18"/>
  <c r="T61" i="18" s="1"/>
  <c r="U61" i="18" s="1"/>
  <c r="H60" i="18"/>
  <c r="T60" i="18" s="1"/>
  <c r="U60" i="18" s="1"/>
  <c r="H59" i="18"/>
  <c r="T59" i="18" s="1"/>
  <c r="U59" i="18" s="1"/>
  <c r="H58" i="18"/>
  <c r="T58" i="18" s="1"/>
  <c r="U58" i="18" s="1"/>
  <c r="H65" i="20"/>
  <c r="T65" i="20" s="1"/>
  <c r="U65" i="20" s="1"/>
  <c r="H64" i="20"/>
  <c r="T64" i="20" s="1"/>
  <c r="U64" i="20" s="1"/>
  <c r="H63" i="20"/>
  <c r="T63" i="20" s="1"/>
  <c r="U63" i="20" s="1"/>
  <c r="H62" i="20"/>
  <c r="T62" i="20" s="1"/>
  <c r="U62" i="20" s="1"/>
  <c r="H61" i="20"/>
  <c r="T61" i="20" s="1"/>
  <c r="U61" i="20" s="1"/>
  <c r="H60" i="20"/>
  <c r="T60" i="20" s="1"/>
  <c r="U60" i="20" s="1"/>
  <c r="H59" i="20"/>
  <c r="T59" i="20" s="1"/>
  <c r="U59" i="20" s="1"/>
  <c r="H58" i="20"/>
  <c r="T58" i="20" s="1"/>
  <c r="U58" i="20" s="1"/>
  <c r="H65" i="21"/>
  <c r="T65" i="21" s="1"/>
  <c r="U65" i="21" s="1"/>
  <c r="H64" i="21"/>
  <c r="T64" i="21" s="1"/>
  <c r="U64" i="21" s="1"/>
  <c r="H63" i="21"/>
  <c r="T63" i="21" s="1"/>
  <c r="U63" i="21" s="1"/>
  <c r="H62" i="21"/>
  <c r="T62" i="21" s="1"/>
  <c r="U62" i="21" s="1"/>
  <c r="H61" i="21"/>
  <c r="T61" i="21" s="1"/>
  <c r="U61" i="21" s="1"/>
  <c r="H60" i="21"/>
  <c r="T60" i="21" s="1"/>
  <c r="U60" i="21" s="1"/>
  <c r="H59" i="21"/>
  <c r="T59" i="21" s="1"/>
  <c r="U59" i="21" s="1"/>
  <c r="H58" i="21"/>
  <c r="T58" i="21" s="1"/>
  <c r="U58" i="21" s="1"/>
  <c r="H65" i="25"/>
  <c r="T65" i="25" s="1"/>
  <c r="U65" i="25" s="1"/>
  <c r="H64" i="25"/>
  <c r="T64" i="25" s="1"/>
  <c r="U64" i="25" s="1"/>
  <c r="H63" i="25"/>
  <c r="T63" i="25" s="1"/>
  <c r="U63" i="25" s="1"/>
  <c r="H62" i="25"/>
  <c r="T62" i="25" s="1"/>
  <c r="U62" i="25" s="1"/>
  <c r="H61" i="25"/>
  <c r="T61" i="25" s="1"/>
  <c r="U61" i="25" s="1"/>
  <c r="H60" i="25"/>
  <c r="T60" i="25" s="1"/>
  <c r="U60" i="25" s="1"/>
  <c r="H59" i="25"/>
  <c r="T59" i="25" s="1"/>
  <c r="U59" i="25" s="1"/>
  <c r="H58" i="25"/>
  <c r="T58" i="25" s="1"/>
  <c r="U58" i="25" s="1"/>
  <c r="H65" i="24"/>
  <c r="T65" i="24" s="1"/>
  <c r="U65" i="24" s="1"/>
  <c r="H64" i="24"/>
  <c r="T64" i="24" s="1"/>
  <c r="U64" i="24" s="1"/>
  <c r="H63" i="24"/>
  <c r="T63" i="24" s="1"/>
  <c r="U63" i="24" s="1"/>
  <c r="H62" i="24"/>
  <c r="T62" i="24" s="1"/>
  <c r="U62" i="24" s="1"/>
  <c r="H61" i="24"/>
  <c r="T61" i="24" s="1"/>
  <c r="U61" i="24" s="1"/>
  <c r="H60" i="24"/>
  <c r="T60" i="24" s="1"/>
  <c r="U60" i="24" s="1"/>
  <c r="H59" i="24"/>
  <c r="T59" i="24" s="1"/>
  <c r="U59" i="24" s="1"/>
  <c r="H58" i="24"/>
  <c r="T58" i="24" s="1"/>
  <c r="U58" i="24" s="1"/>
  <c r="H65" i="22"/>
  <c r="T65" i="22" s="1"/>
  <c r="U65" i="22" s="1"/>
  <c r="H64" i="22"/>
  <c r="T64" i="22" s="1"/>
  <c r="U64" i="22" s="1"/>
  <c r="H63" i="22"/>
  <c r="T63" i="22" s="1"/>
  <c r="U63" i="22" s="1"/>
  <c r="H62" i="22"/>
  <c r="T62" i="22" s="1"/>
  <c r="U62" i="22" s="1"/>
  <c r="H61" i="22"/>
  <c r="T61" i="22" s="1"/>
  <c r="U61" i="22" s="1"/>
  <c r="H60" i="22"/>
  <c r="T60" i="22" s="1"/>
  <c r="U60" i="22" s="1"/>
  <c r="H59" i="22"/>
  <c r="T59" i="22" s="1"/>
  <c r="U59" i="22" s="1"/>
  <c r="H58" i="22"/>
  <c r="T58" i="22" s="1"/>
  <c r="U58" i="22" s="1"/>
  <c r="H65" i="26"/>
  <c r="T65" i="26" s="1"/>
  <c r="U65" i="26" s="1"/>
  <c r="H64" i="26"/>
  <c r="T64" i="26" s="1"/>
  <c r="U64" i="26" s="1"/>
  <c r="H63" i="26"/>
  <c r="T63" i="26" s="1"/>
  <c r="U63" i="26" s="1"/>
  <c r="H62" i="26"/>
  <c r="T62" i="26" s="1"/>
  <c r="U62" i="26" s="1"/>
  <c r="H61" i="26"/>
  <c r="T61" i="26" s="1"/>
  <c r="U61" i="26" s="1"/>
  <c r="H60" i="26"/>
  <c r="T60" i="26" s="1"/>
  <c r="U60" i="26" s="1"/>
  <c r="H59" i="26"/>
  <c r="T59" i="26" s="1"/>
  <c r="U59" i="26" s="1"/>
  <c r="H58" i="26"/>
  <c r="T58" i="26" s="1"/>
  <c r="U58" i="26" s="1"/>
  <c r="H65" i="27"/>
  <c r="T65" i="27" s="1"/>
  <c r="U65" i="27" s="1"/>
  <c r="H64" i="27"/>
  <c r="T64" i="27" s="1"/>
  <c r="U64" i="27" s="1"/>
  <c r="H63" i="27"/>
  <c r="T63" i="27" s="1"/>
  <c r="U63" i="27" s="1"/>
  <c r="H62" i="27"/>
  <c r="T62" i="27" s="1"/>
  <c r="U62" i="27" s="1"/>
  <c r="H61" i="27"/>
  <c r="T61" i="27" s="1"/>
  <c r="U61" i="27" s="1"/>
  <c r="H60" i="27"/>
  <c r="T60" i="27" s="1"/>
  <c r="U60" i="27" s="1"/>
  <c r="H59" i="27"/>
  <c r="T59" i="27" s="1"/>
  <c r="U59" i="27" s="1"/>
  <c r="H58" i="27"/>
  <c r="T58" i="27" s="1"/>
  <c r="U58" i="27" s="1"/>
  <c r="H65" i="28"/>
  <c r="T65" i="28" s="1"/>
  <c r="U65" i="28" s="1"/>
  <c r="H64" i="28"/>
  <c r="T64" i="28" s="1"/>
  <c r="U64" i="28" s="1"/>
  <c r="H63" i="28"/>
  <c r="T63" i="28" s="1"/>
  <c r="U63" i="28" s="1"/>
  <c r="H62" i="28"/>
  <c r="T62" i="28" s="1"/>
  <c r="U62" i="28" s="1"/>
  <c r="H61" i="28"/>
  <c r="T61" i="28" s="1"/>
  <c r="U61" i="28" s="1"/>
  <c r="H60" i="28"/>
  <c r="T60" i="28" s="1"/>
  <c r="U60" i="28" s="1"/>
  <c r="H59" i="28"/>
  <c r="T59" i="28" s="1"/>
  <c r="U59" i="28" s="1"/>
  <c r="H58" i="28"/>
  <c r="T58" i="28" s="1"/>
  <c r="U58" i="28" s="1"/>
  <c r="H65" i="31"/>
  <c r="T65" i="31" s="1"/>
  <c r="U65" i="31" s="1"/>
  <c r="H64" i="31"/>
  <c r="T64" i="31" s="1"/>
  <c r="U64" i="31" s="1"/>
  <c r="H63" i="31"/>
  <c r="T63" i="31" s="1"/>
  <c r="U63" i="31" s="1"/>
  <c r="H62" i="31"/>
  <c r="T62" i="31" s="1"/>
  <c r="U62" i="31" s="1"/>
  <c r="H61" i="31"/>
  <c r="T61" i="31" s="1"/>
  <c r="U61" i="31" s="1"/>
  <c r="H60" i="31"/>
  <c r="T60" i="31" s="1"/>
  <c r="U60" i="31" s="1"/>
  <c r="H59" i="31"/>
  <c r="T59" i="31" s="1"/>
  <c r="U59" i="31" s="1"/>
  <c r="H58" i="31"/>
  <c r="T58" i="31" s="1"/>
  <c r="U58" i="31" s="1"/>
  <c r="H65" i="32"/>
  <c r="T65" i="32" s="1"/>
  <c r="U65" i="32" s="1"/>
  <c r="H64" i="32"/>
  <c r="T64" i="32" s="1"/>
  <c r="U64" i="32" s="1"/>
  <c r="H63" i="32"/>
  <c r="T63" i="32" s="1"/>
  <c r="U63" i="32" s="1"/>
  <c r="H62" i="32"/>
  <c r="T62" i="32" s="1"/>
  <c r="U62" i="32" s="1"/>
  <c r="H61" i="32"/>
  <c r="T61" i="32" s="1"/>
  <c r="U61" i="32" s="1"/>
  <c r="H60" i="32"/>
  <c r="T60" i="32" s="1"/>
  <c r="U60" i="32" s="1"/>
  <c r="H59" i="32"/>
  <c r="T59" i="32" s="1"/>
  <c r="U59" i="32" s="1"/>
  <c r="H58" i="32"/>
  <c r="T58" i="32" s="1"/>
  <c r="U58" i="32" s="1"/>
  <c r="H65" i="33"/>
  <c r="T65" i="33" s="1"/>
  <c r="U65" i="33" s="1"/>
  <c r="H64" i="33"/>
  <c r="T64" i="33" s="1"/>
  <c r="U64" i="33" s="1"/>
  <c r="H63" i="33"/>
  <c r="T63" i="33" s="1"/>
  <c r="U63" i="33" s="1"/>
  <c r="H62" i="33"/>
  <c r="T62" i="33" s="1"/>
  <c r="U62" i="33" s="1"/>
  <c r="H61" i="33"/>
  <c r="T61" i="33" s="1"/>
  <c r="U61" i="33" s="1"/>
  <c r="H60" i="33"/>
  <c r="T60" i="33" s="1"/>
  <c r="U60" i="33" s="1"/>
  <c r="H59" i="33"/>
  <c r="T59" i="33" s="1"/>
  <c r="U59" i="33" s="1"/>
  <c r="H58" i="33"/>
  <c r="T58" i="33" s="1"/>
  <c r="U58" i="33" s="1"/>
  <c r="H65" i="34"/>
  <c r="T65" i="34" s="1"/>
  <c r="U65" i="34" s="1"/>
  <c r="H64" i="34"/>
  <c r="T64" i="34" s="1"/>
  <c r="U64" i="34" s="1"/>
  <c r="H63" i="34"/>
  <c r="T63" i="34" s="1"/>
  <c r="U63" i="34" s="1"/>
  <c r="H62" i="34"/>
  <c r="T62" i="34" s="1"/>
  <c r="U62" i="34" s="1"/>
  <c r="H61" i="34"/>
  <c r="T61" i="34" s="1"/>
  <c r="U61" i="34" s="1"/>
  <c r="H60" i="34"/>
  <c r="T60" i="34" s="1"/>
  <c r="U60" i="34" s="1"/>
  <c r="H59" i="34"/>
  <c r="T59" i="34" s="1"/>
  <c r="U59" i="34" s="1"/>
  <c r="H58" i="34"/>
  <c r="T58" i="34" s="1"/>
  <c r="U58" i="34" s="1"/>
  <c r="H65" i="35"/>
  <c r="T65" i="35" s="1"/>
  <c r="U65" i="35" s="1"/>
  <c r="H64" i="35"/>
  <c r="T64" i="35" s="1"/>
  <c r="U64" i="35" s="1"/>
  <c r="H63" i="35"/>
  <c r="T63" i="35" s="1"/>
  <c r="U63" i="35" s="1"/>
  <c r="H62" i="35"/>
  <c r="T62" i="35" s="1"/>
  <c r="U62" i="35" s="1"/>
  <c r="H61" i="35"/>
  <c r="T61" i="35" s="1"/>
  <c r="U61" i="35" s="1"/>
  <c r="H60" i="35"/>
  <c r="T60" i="35" s="1"/>
  <c r="U60" i="35" s="1"/>
  <c r="H59" i="35"/>
  <c r="T59" i="35" s="1"/>
  <c r="U59" i="35" s="1"/>
  <c r="H58" i="35"/>
  <c r="T58" i="35" s="1"/>
  <c r="U58" i="35" s="1"/>
  <c r="H65" i="23"/>
  <c r="T65" i="23" s="1"/>
  <c r="U65" i="23" s="1"/>
  <c r="H64" i="23"/>
  <c r="T64" i="23" s="1"/>
  <c r="U64" i="23" s="1"/>
  <c r="H63" i="23"/>
  <c r="T63" i="23" s="1"/>
  <c r="U63" i="23" s="1"/>
  <c r="H62" i="23"/>
  <c r="T62" i="23" s="1"/>
  <c r="U62" i="23" s="1"/>
  <c r="H61" i="23"/>
  <c r="T61" i="23" s="1"/>
  <c r="U61" i="23" s="1"/>
  <c r="H60" i="23"/>
  <c r="T60" i="23" s="1"/>
  <c r="U60" i="23" s="1"/>
  <c r="H59" i="23"/>
  <c r="T59" i="23" s="1"/>
  <c r="U59" i="23" s="1"/>
  <c r="H58" i="23"/>
  <c r="T58" i="23" s="1"/>
  <c r="U58" i="23" s="1"/>
  <c r="H65" i="36"/>
  <c r="T65" i="36" s="1"/>
  <c r="U65" i="36" s="1"/>
  <c r="H64" i="36"/>
  <c r="T64" i="36" s="1"/>
  <c r="U64" i="36" s="1"/>
  <c r="H63" i="36"/>
  <c r="T63" i="36" s="1"/>
  <c r="U63" i="36" s="1"/>
  <c r="H62" i="36"/>
  <c r="T62" i="36" s="1"/>
  <c r="U62" i="36" s="1"/>
  <c r="H61" i="36"/>
  <c r="T61" i="36" s="1"/>
  <c r="U61" i="36" s="1"/>
  <c r="H60" i="36"/>
  <c r="T60" i="36" s="1"/>
  <c r="U60" i="36" s="1"/>
  <c r="H59" i="36"/>
  <c r="T59" i="36" s="1"/>
  <c r="U59" i="36" s="1"/>
  <c r="H58" i="36"/>
  <c r="T58" i="36" s="1"/>
  <c r="U58" i="36" s="1"/>
  <c r="H65" i="37"/>
  <c r="T65" i="37" s="1"/>
  <c r="U65" i="37" s="1"/>
  <c r="H64" i="37"/>
  <c r="T64" i="37" s="1"/>
  <c r="U64" i="37" s="1"/>
  <c r="H63" i="37"/>
  <c r="T63" i="37" s="1"/>
  <c r="U63" i="37" s="1"/>
  <c r="H62" i="37"/>
  <c r="T62" i="37" s="1"/>
  <c r="U62" i="37" s="1"/>
  <c r="H61" i="37"/>
  <c r="T61" i="37" s="1"/>
  <c r="U61" i="37" s="1"/>
  <c r="H60" i="37"/>
  <c r="T60" i="37" s="1"/>
  <c r="U60" i="37" s="1"/>
  <c r="H59" i="37"/>
  <c r="T59" i="37" s="1"/>
  <c r="U59" i="37" s="1"/>
  <c r="H58" i="37"/>
  <c r="T58" i="37" s="1"/>
  <c r="U58" i="37" s="1"/>
  <c r="H65" i="38"/>
  <c r="T65" i="38" s="1"/>
  <c r="U65" i="38" s="1"/>
  <c r="H64" i="38"/>
  <c r="T64" i="38" s="1"/>
  <c r="U64" i="38" s="1"/>
  <c r="H63" i="38"/>
  <c r="T63" i="38" s="1"/>
  <c r="U63" i="38" s="1"/>
  <c r="H62" i="38"/>
  <c r="T62" i="38" s="1"/>
  <c r="U62" i="38" s="1"/>
  <c r="H61" i="38"/>
  <c r="T61" i="38" s="1"/>
  <c r="U61" i="38" s="1"/>
  <c r="H60" i="38"/>
  <c r="T60" i="38" s="1"/>
  <c r="U60" i="38" s="1"/>
  <c r="H59" i="38"/>
  <c r="T59" i="38" s="1"/>
  <c r="U59" i="38" s="1"/>
  <c r="H58" i="38"/>
  <c r="T58" i="38" s="1"/>
  <c r="U58" i="38" s="1"/>
  <c r="H65" i="39"/>
  <c r="T65" i="39" s="1"/>
  <c r="U65" i="39" s="1"/>
  <c r="H64" i="39"/>
  <c r="T64" i="39" s="1"/>
  <c r="U64" i="39" s="1"/>
  <c r="H63" i="39"/>
  <c r="T63" i="39" s="1"/>
  <c r="U63" i="39" s="1"/>
  <c r="H62" i="39"/>
  <c r="T62" i="39" s="1"/>
  <c r="U62" i="39" s="1"/>
  <c r="H61" i="39"/>
  <c r="T61" i="39" s="1"/>
  <c r="U61" i="39" s="1"/>
  <c r="H60" i="39"/>
  <c r="T60" i="39" s="1"/>
  <c r="U60" i="39" s="1"/>
  <c r="H59" i="39"/>
  <c r="T59" i="39" s="1"/>
  <c r="U59" i="39" s="1"/>
  <c r="H58" i="39"/>
  <c r="T58" i="39" s="1"/>
  <c r="U58" i="39" s="1"/>
  <c r="H65" i="40"/>
  <c r="T65" i="40" s="1"/>
  <c r="U65" i="40" s="1"/>
  <c r="H64" i="40"/>
  <c r="T64" i="40" s="1"/>
  <c r="U64" i="40" s="1"/>
  <c r="H63" i="40"/>
  <c r="T63" i="40" s="1"/>
  <c r="U63" i="40" s="1"/>
  <c r="H62" i="40"/>
  <c r="T62" i="40" s="1"/>
  <c r="U62" i="40" s="1"/>
  <c r="H61" i="40"/>
  <c r="T61" i="40" s="1"/>
  <c r="U61" i="40" s="1"/>
  <c r="H60" i="40"/>
  <c r="T60" i="40" s="1"/>
  <c r="U60" i="40" s="1"/>
  <c r="H59" i="40"/>
  <c r="T59" i="40" s="1"/>
  <c r="U59" i="40" s="1"/>
  <c r="H58" i="40"/>
  <c r="T58" i="40" s="1"/>
  <c r="U58" i="40" s="1"/>
  <c r="H65" i="42"/>
  <c r="T65" i="42" s="1"/>
  <c r="U65" i="42" s="1"/>
  <c r="H64" i="42"/>
  <c r="T64" i="42" s="1"/>
  <c r="U64" i="42" s="1"/>
  <c r="H63" i="42"/>
  <c r="T63" i="42" s="1"/>
  <c r="U63" i="42" s="1"/>
  <c r="H62" i="42"/>
  <c r="T62" i="42" s="1"/>
  <c r="U62" i="42" s="1"/>
  <c r="H61" i="42"/>
  <c r="T61" i="42" s="1"/>
  <c r="U61" i="42" s="1"/>
  <c r="H60" i="42"/>
  <c r="T60" i="42" s="1"/>
  <c r="U60" i="42" s="1"/>
  <c r="H59" i="42"/>
  <c r="T59" i="42" s="1"/>
  <c r="U59" i="42" s="1"/>
  <c r="H58" i="42"/>
  <c r="T58" i="42" s="1"/>
  <c r="U58" i="42" s="1"/>
  <c r="H65" i="43"/>
  <c r="T65" i="43" s="1"/>
  <c r="U65" i="43" s="1"/>
  <c r="H64" i="43"/>
  <c r="T64" i="43" s="1"/>
  <c r="U64" i="43" s="1"/>
  <c r="H63" i="43"/>
  <c r="T63" i="43" s="1"/>
  <c r="U63" i="43" s="1"/>
  <c r="H62" i="43"/>
  <c r="T62" i="43" s="1"/>
  <c r="U62" i="43" s="1"/>
  <c r="H61" i="43"/>
  <c r="T61" i="43" s="1"/>
  <c r="U61" i="43" s="1"/>
  <c r="H60" i="43"/>
  <c r="T60" i="43" s="1"/>
  <c r="U60" i="43" s="1"/>
  <c r="H59" i="43"/>
  <c r="T59" i="43" s="1"/>
  <c r="U59" i="43" s="1"/>
  <c r="H58" i="43"/>
  <c r="T58" i="43" s="1"/>
  <c r="U58" i="43" s="1"/>
  <c r="H65" i="44"/>
  <c r="T65" i="44" s="1"/>
  <c r="U65" i="44" s="1"/>
  <c r="H64" i="44"/>
  <c r="T64" i="44" s="1"/>
  <c r="U64" i="44" s="1"/>
  <c r="H63" i="44"/>
  <c r="T63" i="44" s="1"/>
  <c r="U63" i="44" s="1"/>
  <c r="H62" i="44"/>
  <c r="T62" i="44" s="1"/>
  <c r="U62" i="44" s="1"/>
  <c r="H61" i="44"/>
  <c r="T61" i="44" s="1"/>
  <c r="U61" i="44" s="1"/>
  <c r="H60" i="44"/>
  <c r="T60" i="44" s="1"/>
  <c r="U60" i="44" s="1"/>
  <c r="H59" i="44"/>
  <c r="T59" i="44" s="1"/>
  <c r="U59" i="44" s="1"/>
  <c r="H58" i="44"/>
  <c r="T58" i="44" s="1"/>
  <c r="U58" i="44" s="1"/>
  <c r="H65" i="45"/>
  <c r="T65" i="45" s="1"/>
  <c r="U65" i="45" s="1"/>
  <c r="H64" i="45"/>
  <c r="T64" i="45" s="1"/>
  <c r="U64" i="45" s="1"/>
  <c r="H63" i="45"/>
  <c r="T63" i="45" s="1"/>
  <c r="U63" i="45" s="1"/>
  <c r="H62" i="45"/>
  <c r="T62" i="45" s="1"/>
  <c r="U62" i="45" s="1"/>
  <c r="H61" i="45"/>
  <c r="T61" i="45" s="1"/>
  <c r="U61" i="45" s="1"/>
  <c r="H60" i="45"/>
  <c r="T60" i="45" s="1"/>
  <c r="U60" i="45" s="1"/>
  <c r="H59" i="45"/>
  <c r="T59" i="45" s="1"/>
  <c r="U59" i="45" s="1"/>
  <c r="H58" i="45"/>
  <c r="T58" i="45" s="1"/>
  <c r="U58" i="45" s="1"/>
  <c r="H65" i="47"/>
  <c r="T65" i="47" s="1"/>
  <c r="U65" i="47" s="1"/>
  <c r="H64" i="47"/>
  <c r="T64" i="47" s="1"/>
  <c r="U64" i="47" s="1"/>
  <c r="H63" i="47"/>
  <c r="T63" i="47" s="1"/>
  <c r="U63" i="47" s="1"/>
  <c r="H62" i="47"/>
  <c r="T62" i="47" s="1"/>
  <c r="U62" i="47" s="1"/>
  <c r="H61" i="47"/>
  <c r="T61" i="47" s="1"/>
  <c r="U61" i="47" s="1"/>
  <c r="H60" i="47"/>
  <c r="T60" i="47" s="1"/>
  <c r="U60" i="47" s="1"/>
  <c r="H59" i="47"/>
  <c r="T59" i="47" s="1"/>
  <c r="U59" i="47" s="1"/>
  <c r="H58" i="47"/>
  <c r="T58" i="47" s="1"/>
  <c r="U58" i="47" s="1"/>
  <c r="H65" i="48"/>
  <c r="T65" i="48" s="1"/>
  <c r="U65" i="48" s="1"/>
  <c r="H64" i="48"/>
  <c r="T64" i="48" s="1"/>
  <c r="U64" i="48" s="1"/>
  <c r="H63" i="48"/>
  <c r="T63" i="48" s="1"/>
  <c r="U63" i="48" s="1"/>
  <c r="H62" i="48"/>
  <c r="T62" i="48" s="1"/>
  <c r="U62" i="48" s="1"/>
  <c r="H61" i="48"/>
  <c r="T61" i="48" s="1"/>
  <c r="U61" i="48" s="1"/>
  <c r="H60" i="48"/>
  <c r="T60" i="48" s="1"/>
  <c r="U60" i="48" s="1"/>
  <c r="H59" i="48"/>
  <c r="T59" i="48" s="1"/>
  <c r="U59" i="48" s="1"/>
  <c r="H58" i="48"/>
  <c r="T58" i="48" s="1"/>
  <c r="U58" i="48" s="1"/>
  <c r="H65" i="50"/>
  <c r="T65" i="50" s="1"/>
  <c r="U65" i="50" s="1"/>
  <c r="H64" i="50"/>
  <c r="T64" i="50" s="1"/>
  <c r="U64" i="50" s="1"/>
  <c r="H63" i="50"/>
  <c r="T63" i="50" s="1"/>
  <c r="U63" i="50" s="1"/>
  <c r="H62" i="50"/>
  <c r="T62" i="50" s="1"/>
  <c r="U62" i="50" s="1"/>
  <c r="H61" i="50"/>
  <c r="T61" i="50" s="1"/>
  <c r="U61" i="50" s="1"/>
  <c r="H60" i="50"/>
  <c r="T60" i="50" s="1"/>
  <c r="U60" i="50" s="1"/>
  <c r="H59" i="50"/>
  <c r="T59" i="50" s="1"/>
  <c r="U59" i="50" s="1"/>
  <c r="H58" i="50"/>
  <c r="T58" i="50" s="1"/>
  <c r="U58" i="50" s="1"/>
  <c r="H65" i="51"/>
  <c r="T65" i="51" s="1"/>
  <c r="U65" i="51" s="1"/>
  <c r="H64" i="51"/>
  <c r="T64" i="51" s="1"/>
  <c r="U64" i="51" s="1"/>
  <c r="H63" i="51"/>
  <c r="T63" i="51" s="1"/>
  <c r="U63" i="51" s="1"/>
  <c r="H62" i="51"/>
  <c r="T62" i="51" s="1"/>
  <c r="U62" i="51" s="1"/>
  <c r="H61" i="51"/>
  <c r="T61" i="51" s="1"/>
  <c r="U61" i="51" s="1"/>
  <c r="H60" i="51"/>
  <c r="T60" i="51" s="1"/>
  <c r="U60" i="51" s="1"/>
  <c r="H59" i="51"/>
  <c r="T59" i="51" s="1"/>
  <c r="U59" i="51" s="1"/>
  <c r="H58" i="51"/>
  <c r="T58" i="51" s="1"/>
  <c r="U58" i="51" s="1"/>
  <c r="H65" i="52"/>
  <c r="T65" i="52" s="1"/>
  <c r="U65" i="52" s="1"/>
  <c r="H64" i="52"/>
  <c r="T64" i="52" s="1"/>
  <c r="U64" i="52" s="1"/>
  <c r="H63" i="52"/>
  <c r="T63" i="52" s="1"/>
  <c r="U63" i="52" s="1"/>
  <c r="H62" i="52"/>
  <c r="T62" i="52" s="1"/>
  <c r="U62" i="52" s="1"/>
  <c r="H61" i="52"/>
  <c r="T61" i="52" s="1"/>
  <c r="U61" i="52" s="1"/>
  <c r="H60" i="52"/>
  <c r="T60" i="52" s="1"/>
  <c r="U60" i="52" s="1"/>
  <c r="H59" i="52"/>
  <c r="T59" i="52" s="1"/>
  <c r="U59" i="52" s="1"/>
  <c r="H58" i="52"/>
  <c r="T58" i="52" s="1"/>
  <c r="U58" i="52" s="1"/>
  <c r="H65" i="75"/>
  <c r="T65" i="75" s="1"/>
  <c r="U65" i="75" s="1"/>
  <c r="H64" i="75"/>
  <c r="T64" i="75" s="1"/>
  <c r="U64" i="75" s="1"/>
  <c r="H63" i="75"/>
  <c r="T63" i="75" s="1"/>
  <c r="U63" i="75" s="1"/>
  <c r="H62" i="75"/>
  <c r="T62" i="75" s="1"/>
  <c r="U62" i="75" s="1"/>
  <c r="H61" i="75"/>
  <c r="T61" i="75" s="1"/>
  <c r="U61" i="75" s="1"/>
  <c r="H60" i="75"/>
  <c r="T60" i="75" s="1"/>
  <c r="U60" i="75" s="1"/>
  <c r="H59" i="75"/>
  <c r="T59" i="75" s="1"/>
  <c r="U59" i="75" s="1"/>
  <c r="H58" i="75"/>
  <c r="T58" i="75" s="1"/>
  <c r="U58" i="75" s="1"/>
  <c r="H65" i="76"/>
  <c r="T65" i="76" s="1"/>
  <c r="U65" i="76" s="1"/>
  <c r="H64" i="76"/>
  <c r="T64" i="76" s="1"/>
  <c r="U64" i="76" s="1"/>
  <c r="H63" i="76"/>
  <c r="T63" i="76" s="1"/>
  <c r="U63" i="76" s="1"/>
  <c r="H62" i="76"/>
  <c r="T62" i="76" s="1"/>
  <c r="U62" i="76" s="1"/>
  <c r="H61" i="76"/>
  <c r="T61" i="76" s="1"/>
  <c r="U61" i="76" s="1"/>
  <c r="H60" i="76"/>
  <c r="T60" i="76" s="1"/>
  <c r="U60" i="76" s="1"/>
  <c r="H59" i="76"/>
  <c r="T59" i="76" s="1"/>
  <c r="U59" i="76" s="1"/>
  <c r="H58" i="76"/>
  <c r="T58" i="76" s="1"/>
  <c r="U58" i="76" s="1"/>
  <c r="H65" i="55"/>
  <c r="T65" i="55" s="1"/>
  <c r="U65" i="55" s="1"/>
  <c r="H64" i="55"/>
  <c r="T64" i="55" s="1"/>
  <c r="U64" i="55" s="1"/>
  <c r="H63" i="55"/>
  <c r="T63" i="55" s="1"/>
  <c r="U63" i="55" s="1"/>
  <c r="H62" i="55"/>
  <c r="T62" i="55" s="1"/>
  <c r="U62" i="55" s="1"/>
  <c r="H61" i="55"/>
  <c r="T61" i="55" s="1"/>
  <c r="U61" i="55" s="1"/>
  <c r="H60" i="55"/>
  <c r="T60" i="55" s="1"/>
  <c r="U60" i="55" s="1"/>
  <c r="H59" i="55"/>
  <c r="T59" i="55" s="1"/>
  <c r="U59" i="55" s="1"/>
  <c r="H58" i="55"/>
  <c r="T58" i="55" s="1"/>
  <c r="U58" i="55" s="1"/>
  <c r="H65" i="56"/>
  <c r="T65" i="56" s="1"/>
  <c r="U65" i="56" s="1"/>
  <c r="H64" i="56"/>
  <c r="T64" i="56" s="1"/>
  <c r="U64" i="56" s="1"/>
  <c r="H63" i="56"/>
  <c r="T63" i="56" s="1"/>
  <c r="U63" i="56" s="1"/>
  <c r="H62" i="56"/>
  <c r="T62" i="56" s="1"/>
  <c r="U62" i="56" s="1"/>
  <c r="H61" i="56"/>
  <c r="T61" i="56" s="1"/>
  <c r="U61" i="56" s="1"/>
  <c r="H60" i="56"/>
  <c r="T60" i="56" s="1"/>
  <c r="U60" i="56" s="1"/>
  <c r="H59" i="56"/>
  <c r="T59" i="56" s="1"/>
  <c r="U59" i="56" s="1"/>
  <c r="H58" i="56"/>
  <c r="T58" i="56" s="1"/>
  <c r="U58" i="56" s="1"/>
  <c r="H65" i="57"/>
  <c r="T65" i="57" s="1"/>
  <c r="U65" i="57" s="1"/>
  <c r="H64" i="57"/>
  <c r="T64" i="57" s="1"/>
  <c r="U64" i="57" s="1"/>
  <c r="H63" i="57"/>
  <c r="T63" i="57" s="1"/>
  <c r="U63" i="57" s="1"/>
  <c r="H62" i="57"/>
  <c r="T62" i="57" s="1"/>
  <c r="U62" i="57" s="1"/>
  <c r="H61" i="57"/>
  <c r="T61" i="57" s="1"/>
  <c r="U61" i="57" s="1"/>
  <c r="H60" i="57"/>
  <c r="T60" i="57" s="1"/>
  <c r="U60" i="57" s="1"/>
  <c r="H59" i="57"/>
  <c r="T59" i="57" s="1"/>
  <c r="U59" i="57" s="1"/>
  <c r="H58" i="57"/>
  <c r="T58" i="57" s="1"/>
  <c r="U58" i="57" s="1"/>
  <c r="H65" i="58"/>
  <c r="T65" i="58" s="1"/>
  <c r="U65" i="58" s="1"/>
  <c r="H64" i="58"/>
  <c r="T64" i="58" s="1"/>
  <c r="U64" i="58" s="1"/>
  <c r="H63" i="58"/>
  <c r="T63" i="58" s="1"/>
  <c r="U63" i="58" s="1"/>
  <c r="H62" i="58"/>
  <c r="T62" i="58" s="1"/>
  <c r="U62" i="58" s="1"/>
  <c r="H61" i="58"/>
  <c r="T61" i="58" s="1"/>
  <c r="U61" i="58" s="1"/>
  <c r="H60" i="58"/>
  <c r="T60" i="58" s="1"/>
  <c r="U60" i="58" s="1"/>
  <c r="H59" i="58"/>
  <c r="T59" i="58" s="1"/>
  <c r="U59" i="58" s="1"/>
  <c r="H58" i="58"/>
  <c r="T58" i="58" s="1"/>
  <c r="U58" i="58" s="1"/>
  <c r="H65" i="66"/>
  <c r="T65" i="66" s="1"/>
  <c r="U65" i="66" s="1"/>
  <c r="H64" i="66"/>
  <c r="T64" i="66" s="1"/>
  <c r="U64" i="66" s="1"/>
  <c r="H63" i="66"/>
  <c r="T63" i="66" s="1"/>
  <c r="U63" i="66" s="1"/>
  <c r="H62" i="66"/>
  <c r="T62" i="66" s="1"/>
  <c r="U62" i="66" s="1"/>
  <c r="H61" i="66"/>
  <c r="T61" i="66" s="1"/>
  <c r="U61" i="66" s="1"/>
  <c r="H60" i="66"/>
  <c r="T60" i="66" s="1"/>
  <c r="U60" i="66" s="1"/>
  <c r="H59" i="66"/>
  <c r="T59" i="66" s="1"/>
  <c r="U59" i="66" s="1"/>
  <c r="H58" i="66"/>
  <c r="T58" i="66" s="1"/>
  <c r="U58" i="66" s="1"/>
  <c r="H65" i="67"/>
  <c r="T65" i="67" s="1"/>
  <c r="U65" i="67" s="1"/>
  <c r="H64" i="67"/>
  <c r="T64" i="67" s="1"/>
  <c r="U64" i="67" s="1"/>
  <c r="H63" i="67"/>
  <c r="T63" i="67" s="1"/>
  <c r="U63" i="67" s="1"/>
  <c r="H62" i="67"/>
  <c r="T62" i="67" s="1"/>
  <c r="U62" i="67" s="1"/>
  <c r="H61" i="67"/>
  <c r="T61" i="67" s="1"/>
  <c r="U61" i="67" s="1"/>
  <c r="H60" i="67"/>
  <c r="T60" i="67" s="1"/>
  <c r="U60" i="67" s="1"/>
  <c r="H59" i="67"/>
  <c r="T59" i="67" s="1"/>
  <c r="U59" i="67" s="1"/>
  <c r="H58" i="67"/>
  <c r="T58" i="67" s="1"/>
  <c r="U58" i="67" s="1"/>
  <c r="H65" i="69"/>
  <c r="T65" i="69" s="1"/>
  <c r="U65" i="69" s="1"/>
  <c r="H64" i="69"/>
  <c r="T64" i="69" s="1"/>
  <c r="U64" i="69" s="1"/>
  <c r="H63" i="69"/>
  <c r="T63" i="69" s="1"/>
  <c r="U63" i="69" s="1"/>
  <c r="H62" i="69"/>
  <c r="T62" i="69" s="1"/>
  <c r="U62" i="69" s="1"/>
  <c r="H61" i="69"/>
  <c r="T61" i="69" s="1"/>
  <c r="U61" i="69" s="1"/>
  <c r="H60" i="69"/>
  <c r="T60" i="69" s="1"/>
  <c r="U60" i="69" s="1"/>
  <c r="H59" i="69"/>
  <c r="T59" i="69" s="1"/>
  <c r="U59" i="69" s="1"/>
  <c r="H58" i="69"/>
  <c r="T58" i="69" s="1"/>
  <c r="U58" i="69" s="1"/>
  <c r="H65" i="70"/>
  <c r="T65" i="70" s="1"/>
  <c r="U65" i="70" s="1"/>
  <c r="H64" i="70"/>
  <c r="T64" i="70" s="1"/>
  <c r="U64" i="70" s="1"/>
  <c r="H63" i="70"/>
  <c r="T63" i="70" s="1"/>
  <c r="U63" i="70" s="1"/>
  <c r="H62" i="70"/>
  <c r="T62" i="70" s="1"/>
  <c r="U62" i="70" s="1"/>
  <c r="H61" i="70"/>
  <c r="T61" i="70" s="1"/>
  <c r="U61" i="70" s="1"/>
  <c r="H60" i="70"/>
  <c r="T60" i="70" s="1"/>
  <c r="U60" i="70" s="1"/>
  <c r="H59" i="70"/>
  <c r="T59" i="70" s="1"/>
  <c r="U59" i="70" s="1"/>
  <c r="H58" i="70"/>
  <c r="T58" i="70" s="1"/>
  <c r="U58" i="70" s="1"/>
  <c r="H65" i="71"/>
  <c r="T65" i="71" s="1"/>
  <c r="U65" i="71" s="1"/>
  <c r="H64" i="71"/>
  <c r="T64" i="71" s="1"/>
  <c r="U64" i="71" s="1"/>
  <c r="H63" i="71"/>
  <c r="T63" i="71" s="1"/>
  <c r="U63" i="71" s="1"/>
  <c r="H62" i="71"/>
  <c r="T62" i="71" s="1"/>
  <c r="U62" i="71" s="1"/>
  <c r="H61" i="71"/>
  <c r="T61" i="71" s="1"/>
  <c r="U61" i="71" s="1"/>
  <c r="H60" i="71"/>
  <c r="T60" i="71" s="1"/>
  <c r="U60" i="71" s="1"/>
  <c r="H59" i="71"/>
  <c r="T59" i="71" s="1"/>
  <c r="U59" i="71" s="1"/>
  <c r="H58" i="71"/>
  <c r="T58" i="71" s="1"/>
  <c r="U58" i="71" s="1"/>
  <c r="H65" i="68"/>
  <c r="T65" i="68" s="1"/>
  <c r="U65" i="68" s="1"/>
  <c r="H64" i="68"/>
  <c r="T64" i="68" s="1"/>
  <c r="U64" i="68" s="1"/>
  <c r="H63" i="68"/>
  <c r="T63" i="68" s="1"/>
  <c r="U63" i="68" s="1"/>
  <c r="H62" i="68"/>
  <c r="T62" i="68" s="1"/>
  <c r="U62" i="68" s="1"/>
  <c r="H61" i="68"/>
  <c r="T61" i="68" s="1"/>
  <c r="U61" i="68" s="1"/>
  <c r="H60" i="68"/>
  <c r="T60" i="68" s="1"/>
  <c r="U60" i="68" s="1"/>
  <c r="H59" i="68"/>
  <c r="T59" i="68" s="1"/>
  <c r="U59" i="68" s="1"/>
  <c r="H58" i="68"/>
  <c r="T58" i="68" s="1"/>
  <c r="U58" i="68" s="1"/>
  <c r="H65" i="77"/>
  <c r="T65" i="77" s="1"/>
  <c r="U65" i="77" s="1"/>
  <c r="H64" i="77"/>
  <c r="T64" i="77" s="1"/>
  <c r="U64" i="77" s="1"/>
  <c r="H63" i="77"/>
  <c r="T63" i="77" s="1"/>
  <c r="U63" i="77" s="1"/>
  <c r="H62" i="77"/>
  <c r="T62" i="77" s="1"/>
  <c r="U62" i="77" s="1"/>
  <c r="H61" i="77"/>
  <c r="T61" i="77" s="1"/>
  <c r="U61" i="77" s="1"/>
  <c r="H60" i="77"/>
  <c r="T60" i="77" s="1"/>
  <c r="U60" i="77" s="1"/>
  <c r="H59" i="77"/>
  <c r="T59" i="77" s="1"/>
  <c r="U59" i="77" s="1"/>
  <c r="H58" i="77"/>
  <c r="T58" i="77" s="1"/>
  <c r="U58" i="77" s="1"/>
  <c r="H65" i="78"/>
  <c r="T65" i="78" s="1"/>
  <c r="U65" i="78" s="1"/>
  <c r="H64" i="78"/>
  <c r="T64" i="78" s="1"/>
  <c r="U64" i="78" s="1"/>
  <c r="H63" i="78"/>
  <c r="T63" i="78" s="1"/>
  <c r="U63" i="78" s="1"/>
  <c r="H62" i="78"/>
  <c r="T62" i="78" s="1"/>
  <c r="U62" i="78" s="1"/>
  <c r="H61" i="78"/>
  <c r="T61" i="78" s="1"/>
  <c r="U61" i="78" s="1"/>
  <c r="H60" i="78"/>
  <c r="T60" i="78" s="1"/>
  <c r="U60" i="78" s="1"/>
  <c r="H59" i="78"/>
  <c r="T59" i="78" s="1"/>
  <c r="U59" i="78" s="1"/>
  <c r="H58" i="78"/>
  <c r="T58" i="78" s="1"/>
  <c r="U58" i="78" s="1"/>
  <c r="H65" i="30"/>
  <c r="T65" i="30" s="1"/>
  <c r="U65" i="30" s="1"/>
  <c r="H64" i="30"/>
  <c r="T64" i="30" s="1"/>
  <c r="U64" i="30" s="1"/>
  <c r="H63" i="30"/>
  <c r="T63" i="30" s="1"/>
  <c r="U63" i="30" s="1"/>
  <c r="H62" i="30"/>
  <c r="T62" i="30" s="1"/>
  <c r="U62" i="30" s="1"/>
  <c r="H61" i="30"/>
  <c r="T61" i="30" s="1"/>
  <c r="U61" i="30" s="1"/>
  <c r="H60" i="30"/>
  <c r="T60" i="30" s="1"/>
  <c r="U60" i="30" s="1"/>
  <c r="H59" i="30"/>
  <c r="T59" i="30" s="1"/>
  <c r="U59" i="30" s="1"/>
  <c r="H58" i="30"/>
  <c r="T58" i="30" s="1"/>
  <c r="U58" i="30" s="1"/>
  <c r="H57" i="16"/>
  <c r="T57" i="16" s="1"/>
  <c r="U57" i="16" s="1"/>
  <c r="H57" i="17"/>
  <c r="T57" i="17" s="1"/>
  <c r="U57" i="17" s="1"/>
  <c r="H57" i="18"/>
  <c r="T57" i="18" s="1"/>
  <c r="U57" i="18" s="1"/>
  <c r="H57" i="20"/>
  <c r="T57" i="20" s="1"/>
  <c r="U57" i="20" s="1"/>
  <c r="H57" i="21"/>
  <c r="T57" i="21" s="1"/>
  <c r="U57" i="21" s="1"/>
  <c r="H57" i="25"/>
  <c r="T57" i="25" s="1"/>
  <c r="U57" i="25" s="1"/>
  <c r="H57" i="24"/>
  <c r="T57" i="24" s="1"/>
  <c r="U57" i="24" s="1"/>
  <c r="H57" i="22"/>
  <c r="T57" i="22" s="1"/>
  <c r="H57" i="26"/>
  <c r="T57" i="26" s="1"/>
  <c r="U57" i="26" s="1"/>
  <c r="H57" i="27"/>
  <c r="T57" i="27" s="1"/>
  <c r="H57" i="28"/>
  <c r="T57" i="28" s="1"/>
  <c r="U57" i="28" s="1"/>
  <c r="H57" i="31"/>
  <c r="T57" i="31" s="1"/>
  <c r="U57" i="31" s="1"/>
  <c r="H57" i="32"/>
  <c r="T57" i="32" s="1"/>
  <c r="U57" i="32" s="1"/>
  <c r="H57" i="33"/>
  <c r="T57" i="33" s="1"/>
  <c r="U57" i="33" s="1"/>
  <c r="H57" i="34"/>
  <c r="T57" i="34" s="1"/>
  <c r="U57" i="34" s="1"/>
  <c r="H57" i="35"/>
  <c r="T57" i="35" s="1"/>
  <c r="U57" i="35" s="1"/>
  <c r="H57" i="23"/>
  <c r="T57" i="23" s="1"/>
  <c r="U57" i="23" s="1"/>
  <c r="H57" i="36"/>
  <c r="T57" i="36" s="1"/>
  <c r="U57" i="36" s="1"/>
  <c r="H57" i="37"/>
  <c r="T57" i="37" s="1"/>
  <c r="U57" i="37" s="1"/>
  <c r="H57" i="38"/>
  <c r="T57" i="38" s="1"/>
  <c r="H57" i="39"/>
  <c r="T57" i="39" s="1"/>
  <c r="U57" i="39" s="1"/>
  <c r="H57" i="40"/>
  <c r="T57" i="40" s="1"/>
  <c r="U57" i="40" s="1"/>
  <c r="H57" i="42"/>
  <c r="T57" i="42" s="1"/>
  <c r="U57" i="42" s="1"/>
  <c r="H57" i="43"/>
  <c r="T57" i="43" s="1"/>
  <c r="U57" i="43" s="1"/>
  <c r="H57" i="44"/>
  <c r="T57" i="44" s="1"/>
  <c r="U57" i="44" s="1"/>
  <c r="H57" i="45"/>
  <c r="T57" i="45" s="1"/>
  <c r="U57" i="45" s="1"/>
  <c r="H57" i="47"/>
  <c r="T57" i="47" s="1"/>
  <c r="U57" i="47" s="1"/>
  <c r="H57" i="48"/>
  <c r="T57" i="48" s="1"/>
  <c r="U57" i="48" s="1"/>
  <c r="H57" i="50"/>
  <c r="T57" i="50" s="1"/>
  <c r="U57" i="50" s="1"/>
  <c r="H57" i="51"/>
  <c r="T57" i="51" s="1"/>
  <c r="U57" i="51" s="1"/>
  <c r="H57" i="52"/>
  <c r="T57" i="52" s="1"/>
  <c r="U57" i="52" s="1"/>
  <c r="H57" i="75"/>
  <c r="T57" i="75" s="1"/>
  <c r="U57" i="75" s="1"/>
  <c r="H57" i="76"/>
  <c r="T57" i="76" s="1"/>
  <c r="U57" i="76" s="1"/>
  <c r="H57" i="55"/>
  <c r="T57" i="55" s="1"/>
  <c r="U57" i="55" s="1"/>
  <c r="H57" i="56"/>
  <c r="T57" i="56" s="1"/>
  <c r="U57" i="56" s="1"/>
  <c r="H57" i="57"/>
  <c r="T57" i="57" s="1"/>
  <c r="U57" i="57" s="1"/>
  <c r="H57" i="58"/>
  <c r="T57" i="58" s="1"/>
  <c r="U57" i="58" s="1"/>
  <c r="H57" i="66"/>
  <c r="T57" i="66" s="1"/>
  <c r="U57" i="66" s="1"/>
  <c r="H57" i="67"/>
  <c r="T57" i="67" s="1"/>
  <c r="U57" i="67" s="1"/>
  <c r="H57" i="69"/>
  <c r="T57" i="69" s="1"/>
  <c r="U57" i="69" s="1"/>
  <c r="H57" i="70"/>
  <c r="T57" i="70" s="1"/>
  <c r="U57" i="70" s="1"/>
  <c r="H57" i="71"/>
  <c r="T57" i="71" s="1"/>
  <c r="U57" i="71" s="1"/>
  <c r="H57" i="68"/>
  <c r="T57" i="68" s="1"/>
  <c r="U57" i="68" s="1"/>
  <c r="H57" i="77"/>
  <c r="T57" i="77" s="1"/>
  <c r="U57" i="77" s="1"/>
  <c r="H57" i="78"/>
  <c r="T57" i="78" s="1"/>
  <c r="U57" i="78" s="1"/>
  <c r="H57" i="30"/>
  <c r="T57" i="30" s="1"/>
  <c r="U57" i="30" s="1"/>
  <c r="D66" i="16"/>
  <c r="E65" i="16" s="1"/>
  <c r="C66" i="16"/>
  <c r="E62" i="16"/>
  <c r="E61" i="16"/>
  <c r="E60" i="16"/>
  <c r="E59" i="16"/>
  <c r="I59" i="16" s="1"/>
  <c r="E58" i="16"/>
  <c r="E57" i="16"/>
  <c r="D66" i="17"/>
  <c r="E63" i="17" s="1"/>
  <c r="C66" i="17"/>
  <c r="E62" i="17"/>
  <c r="E61" i="17"/>
  <c r="E60" i="17"/>
  <c r="E59" i="17"/>
  <c r="I59" i="17" s="1"/>
  <c r="E58" i="17"/>
  <c r="I58" i="17" s="1"/>
  <c r="E57" i="17"/>
  <c r="D66" i="18"/>
  <c r="C66" i="18"/>
  <c r="E65" i="18"/>
  <c r="I65" i="18" s="1"/>
  <c r="E64" i="18"/>
  <c r="E63" i="18"/>
  <c r="E62" i="18"/>
  <c r="E61" i="18"/>
  <c r="E60" i="18"/>
  <c r="E58" i="18"/>
  <c r="E57" i="18"/>
  <c r="D66" i="20"/>
  <c r="C66" i="20"/>
  <c r="E65" i="20"/>
  <c r="I65" i="20" s="1"/>
  <c r="E64" i="20"/>
  <c r="E63" i="20"/>
  <c r="E62" i="20"/>
  <c r="E61" i="20"/>
  <c r="I61" i="20" s="1"/>
  <c r="E60" i="20"/>
  <c r="E59" i="20"/>
  <c r="E58" i="20"/>
  <c r="E57" i="20"/>
  <c r="D66" i="21"/>
  <c r="C66" i="21"/>
  <c r="E65" i="21"/>
  <c r="E64" i="21"/>
  <c r="E63" i="21"/>
  <c r="E62" i="21"/>
  <c r="D66" i="25"/>
  <c r="C66" i="25"/>
  <c r="C66" i="24"/>
  <c r="I61" i="24"/>
  <c r="I60" i="24"/>
  <c r="I58" i="24"/>
  <c r="D66" i="22"/>
  <c r="C66" i="22"/>
  <c r="D66" i="26"/>
  <c r="C66" i="26"/>
  <c r="D66" i="27"/>
  <c r="C66" i="27"/>
  <c r="D66" i="28"/>
  <c r="C66" i="28"/>
  <c r="D66" i="31"/>
  <c r="C66" i="31"/>
  <c r="D66" i="32"/>
  <c r="C66" i="32"/>
  <c r="D66" i="33"/>
  <c r="C66" i="33"/>
  <c r="D66" i="34"/>
  <c r="C66" i="34"/>
  <c r="D66" i="35"/>
  <c r="C66" i="35"/>
  <c r="D66" i="23"/>
  <c r="C66" i="23"/>
  <c r="D66" i="36"/>
  <c r="C66" i="36"/>
  <c r="D66" i="37"/>
  <c r="C66" i="37"/>
  <c r="D66" i="38"/>
  <c r="C66" i="38"/>
  <c r="D66" i="39"/>
  <c r="C66" i="39"/>
  <c r="D66" i="40"/>
  <c r="C66" i="40"/>
  <c r="D66" i="42"/>
  <c r="C66" i="42"/>
  <c r="D66" i="43"/>
  <c r="C66" i="43"/>
  <c r="D66" i="44"/>
  <c r="C66" i="44"/>
  <c r="D66" i="45"/>
  <c r="C66" i="45"/>
  <c r="D66" i="47"/>
  <c r="C66" i="47"/>
  <c r="D66" i="48"/>
  <c r="C66" i="48"/>
  <c r="D66" i="50"/>
  <c r="C66" i="50"/>
  <c r="E65" i="50"/>
  <c r="E64" i="50"/>
  <c r="E63" i="50"/>
  <c r="I61" i="50"/>
  <c r="I60" i="50"/>
  <c r="E59" i="50"/>
  <c r="I59" i="50" s="1"/>
  <c r="E58" i="50"/>
  <c r="E57" i="50"/>
  <c r="D66" i="51"/>
  <c r="C66" i="51"/>
  <c r="D66" i="52"/>
  <c r="C66" i="52"/>
  <c r="D66" i="75"/>
  <c r="E57" i="75" s="1"/>
  <c r="C66" i="75"/>
  <c r="D66" i="76"/>
  <c r="C66" i="76"/>
  <c r="D66" i="55"/>
  <c r="C66" i="55"/>
  <c r="D66" i="56"/>
  <c r="C66" i="56"/>
  <c r="D66" i="57"/>
  <c r="C66" i="57"/>
  <c r="D66" i="58"/>
  <c r="C66" i="58"/>
  <c r="D66" i="66"/>
  <c r="C66" i="66"/>
  <c r="D66" i="67"/>
  <c r="C66" i="67"/>
  <c r="D66" i="69"/>
  <c r="C66" i="69"/>
  <c r="D66" i="70"/>
  <c r="C66" i="70"/>
  <c r="D66" i="71"/>
  <c r="C66" i="71"/>
  <c r="D66" i="68"/>
  <c r="C66" i="68"/>
  <c r="D66" i="77"/>
  <c r="C66" i="77"/>
  <c r="D66" i="78"/>
  <c r="C66" i="78"/>
  <c r="D66" i="30"/>
  <c r="C66" i="30"/>
  <c r="D66" i="7"/>
  <c r="E65" i="7" s="1"/>
  <c r="C66" i="7"/>
  <c r="E62" i="7"/>
  <c r="E61" i="7"/>
  <c r="E60" i="7"/>
  <c r="E59" i="7"/>
  <c r="E58" i="7"/>
  <c r="E57" i="7"/>
  <c r="D54" i="16"/>
  <c r="C54" i="16"/>
  <c r="D54" i="17"/>
  <c r="C54" i="17"/>
  <c r="D54" i="18"/>
  <c r="C54" i="18"/>
  <c r="D54" i="20"/>
  <c r="C54" i="20"/>
  <c r="D54" i="21"/>
  <c r="C54" i="21"/>
  <c r="D54" i="25"/>
  <c r="C54" i="25"/>
  <c r="D54" i="24"/>
  <c r="C54" i="24"/>
  <c r="D54" i="22"/>
  <c r="C54" i="22"/>
  <c r="D54" i="26"/>
  <c r="C54" i="26"/>
  <c r="D54" i="27"/>
  <c r="C54" i="27"/>
  <c r="D54" i="28"/>
  <c r="C54" i="28"/>
  <c r="D54" i="31"/>
  <c r="C54" i="31"/>
  <c r="D54" i="32"/>
  <c r="C54" i="32"/>
  <c r="D54" i="33"/>
  <c r="C54" i="33"/>
  <c r="D54" i="34"/>
  <c r="C54" i="34"/>
  <c r="D54" i="35"/>
  <c r="C54" i="35"/>
  <c r="D54" i="23"/>
  <c r="C54" i="23"/>
  <c r="D54" i="36"/>
  <c r="C54" i="36"/>
  <c r="D54" i="37"/>
  <c r="C54" i="37"/>
  <c r="D54" i="38"/>
  <c r="C54" i="38"/>
  <c r="D54" i="39"/>
  <c r="C54" i="39"/>
  <c r="D54" i="40"/>
  <c r="C54" i="40"/>
  <c r="D54" i="42"/>
  <c r="C54" i="42"/>
  <c r="D54" i="43"/>
  <c r="C54" i="43"/>
  <c r="D54" i="44"/>
  <c r="C54" i="44"/>
  <c r="D54" i="45"/>
  <c r="C54" i="45"/>
  <c r="D54" i="47"/>
  <c r="C54" i="47"/>
  <c r="D54" i="48"/>
  <c r="C54" i="48"/>
  <c r="D54" i="50"/>
  <c r="C54" i="50"/>
  <c r="D54" i="51"/>
  <c r="C54" i="51"/>
  <c r="D54" i="52"/>
  <c r="C54" i="52"/>
  <c r="D54" i="75"/>
  <c r="C54" i="75"/>
  <c r="D54" i="76"/>
  <c r="C54" i="76"/>
  <c r="D54" i="55"/>
  <c r="C54" i="55"/>
  <c r="D54" i="56"/>
  <c r="C54" i="56"/>
  <c r="D54" i="57"/>
  <c r="C54" i="57"/>
  <c r="D54" i="58"/>
  <c r="C54" i="58"/>
  <c r="D54" i="66"/>
  <c r="C54" i="66"/>
  <c r="D54" i="67"/>
  <c r="C54" i="67"/>
  <c r="D54" i="69"/>
  <c r="C54" i="69"/>
  <c r="D54" i="70"/>
  <c r="C54" i="70"/>
  <c r="D54" i="71"/>
  <c r="C54" i="71"/>
  <c r="D54" i="68"/>
  <c r="C54" i="68"/>
  <c r="D54" i="77"/>
  <c r="C54" i="77"/>
  <c r="D54" i="78"/>
  <c r="C54" i="78"/>
  <c r="D54" i="30"/>
  <c r="C54" i="30"/>
  <c r="D56" i="16"/>
  <c r="C56" i="16"/>
  <c r="D55" i="16"/>
  <c r="C55" i="16"/>
  <c r="D56" i="17"/>
  <c r="C56" i="17"/>
  <c r="D55" i="17"/>
  <c r="C55" i="17"/>
  <c r="D56" i="18"/>
  <c r="C56" i="18"/>
  <c r="D55" i="18"/>
  <c r="C55" i="18"/>
  <c r="D56" i="20"/>
  <c r="C56" i="20"/>
  <c r="D55" i="20"/>
  <c r="C55" i="20"/>
  <c r="D56" i="21"/>
  <c r="C56" i="21"/>
  <c r="D55" i="21"/>
  <c r="C55" i="21"/>
  <c r="D56" i="25"/>
  <c r="C56" i="25"/>
  <c r="D55" i="25"/>
  <c r="C55" i="25"/>
  <c r="D56" i="24"/>
  <c r="C56" i="24"/>
  <c r="D55" i="24"/>
  <c r="C55" i="24"/>
  <c r="D56" i="22"/>
  <c r="C56" i="22"/>
  <c r="D55" i="22"/>
  <c r="C55" i="22"/>
  <c r="D56" i="26"/>
  <c r="C56" i="26"/>
  <c r="D55" i="26"/>
  <c r="C55" i="26"/>
  <c r="D56" i="27"/>
  <c r="C56" i="27"/>
  <c r="D55" i="27"/>
  <c r="C55" i="27"/>
  <c r="D56" i="28"/>
  <c r="C56" i="28"/>
  <c r="D55" i="28"/>
  <c r="C55" i="28"/>
  <c r="D56" i="31"/>
  <c r="C56" i="31"/>
  <c r="D55" i="31"/>
  <c r="C55" i="31"/>
  <c r="D56" i="32"/>
  <c r="C56" i="32"/>
  <c r="D55" i="32"/>
  <c r="C55" i="32"/>
  <c r="D56" i="33"/>
  <c r="C56" i="33"/>
  <c r="D55" i="33"/>
  <c r="C55" i="33"/>
  <c r="D56" i="34"/>
  <c r="C56" i="34"/>
  <c r="D55" i="34"/>
  <c r="C55" i="34"/>
  <c r="D56" i="35"/>
  <c r="C56" i="35"/>
  <c r="D55" i="35"/>
  <c r="C55" i="35"/>
  <c r="D56" i="23"/>
  <c r="C56" i="23"/>
  <c r="D55" i="23"/>
  <c r="C55" i="23"/>
  <c r="D56" i="36"/>
  <c r="C56" i="36"/>
  <c r="D55" i="36"/>
  <c r="C55" i="36"/>
  <c r="D56" i="37"/>
  <c r="C56" i="37"/>
  <c r="D55" i="37"/>
  <c r="C55" i="37"/>
  <c r="D56" i="38"/>
  <c r="C56" i="38"/>
  <c r="D55" i="38"/>
  <c r="C55" i="38"/>
  <c r="D56" i="39"/>
  <c r="C56" i="39"/>
  <c r="D55" i="39"/>
  <c r="C55" i="39"/>
  <c r="D56" i="40"/>
  <c r="C56" i="40"/>
  <c r="D55" i="40"/>
  <c r="C55" i="40"/>
  <c r="D56" i="42"/>
  <c r="C56" i="42"/>
  <c r="D55" i="42"/>
  <c r="C55" i="42"/>
  <c r="D56" i="43"/>
  <c r="C56" i="43"/>
  <c r="D55" i="43"/>
  <c r="C55" i="43"/>
  <c r="D56" i="44"/>
  <c r="C56" i="44"/>
  <c r="D55" i="44"/>
  <c r="C55" i="44"/>
  <c r="D56" i="45"/>
  <c r="C56" i="45"/>
  <c r="D55" i="45"/>
  <c r="C55" i="45"/>
  <c r="D56" i="47"/>
  <c r="C56" i="47"/>
  <c r="D55" i="47"/>
  <c r="C55" i="47"/>
  <c r="D56" i="48"/>
  <c r="C56" i="48"/>
  <c r="D55" i="48"/>
  <c r="C55" i="48"/>
  <c r="D56" i="50"/>
  <c r="C56" i="50"/>
  <c r="D55" i="50"/>
  <c r="C55" i="50"/>
  <c r="D56" i="51"/>
  <c r="C56" i="51"/>
  <c r="D55" i="51"/>
  <c r="C55" i="51"/>
  <c r="D56" i="52"/>
  <c r="C56" i="52"/>
  <c r="D55" i="52"/>
  <c r="C55" i="52"/>
  <c r="D56" i="75"/>
  <c r="C56" i="75"/>
  <c r="D55" i="75"/>
  <c r="C55" i="75"/>
  <c r="D56" i="76"/>
  <c r="C56" i="76"/>
  <c r="D55" i="76"/>
  <c r="C55" i="76"/>
  <c r="D56" i="55"/>
  <c r="C56" i="55"/>
  <c r="D55" i="55"/>
  <c r="C55" i="55"/>
  <c r="D56" i="56"/>
  <c r="C56" i="56"/>
  <c r="D55" i="56"/>
  <c r="C55" i="56"/>
  <c r="D56" i="57"/>
  <c r="C56" i="57"/>
  <c r="D55" i="57"/>
  <c r="C55" i="57"/>
  <c r="D56" i="58"/>
  <c r="C56" i="58"/>
  <c r="D55" i="58"/>
  <c r="C55" i="58"/>
  <c r="D56" i="66"/>
  <c r="C56" i="66"/>
  <c r="D55" i="66"/>
  <c r="C55" i="66"/>
  <c r="D56" i="67"/>
  <c r="C56" i="67"/>
  <c r="D55" i="67"/>
  <c r="C55" i="67"/>
  <c r="D56" i="69"/>
  <c r="C56" i="69"/>
  <c r="D55" i="69"/>
  <c r="C55" i="69"/>
  <c r="D56" i="70"/>
  <c r="C56" i="70"/>
  <c r="D55" i="70"/>
  <c r="C55" i="70"/>
  <c r="D56" i="71"/>
  <c r="C56" i="71"/>
  <c r="D55" i="71"/>
  <c r="C55" i="71"/>
  <c r="D56" i="68"/>
  <c r="C56" i="68"/>
  <c r="D55" i="68"/>
  <c r="C55" i="68"/>
  <c r="D56" i="77"/>
  <c r="C56" i="77"/>
  <c r="D55" i="77"/>
  <c r="C55" i="77"/>
  <c r="D56" i="78"/>
  <c r="C56" i="78"/>
  <c r="D55" i="78"/>
  <c r="C55" i="78"/>
  <c r="D56" i="30"/>
  <c r="C56" i="30"/>
  <c r="D55" i="30"/>
  <c r="C55" i="30"/>
  <c r="D12" i="16"/>
  <c r="D11" i="16"/>
  <c r="D10" i="16"/>
  <c r="D12" i="17"/>
  <c r="D11" i="17"/>
  <c r="D10" i="17"/>
  <c r="D12" i="18"/>
  <c r="D11" i="18"/>
  <c r="D10" i="18"/>
  <c r="D12" i="20"/>
  <c r="D11" i="20"/>
  <c r="D10" i="20"/>
  <c r="D12" i="21"/>
  <c r="D11" i="21"/>
  <c r="D10" i="21"/>
  <c r="D12" i="25"/>
  <c r="D11" i="25"/>
  <c r="D10" i="25"/>
  <c r="D12" i="24"/>
  <c r="D11" i="24"/>
  <c r="D10" i="24"/>
  <c r="D12" i="22"/>
  <c r="D11" i="22"/>
  <c r="D10" i="22"/>
  <c r="D12" i="26"/>
  <c r="D11" i="26"/>
  <c r="D10" i="26"/>
  <c r="D12" i="27"/>
  <c r="D11" i="27"/>
  <c r="D10" i="27"/>
  <c r="D12" i="28"/>
  <c r="D11" i="28"/>
  <c r="D10" i="28"/>
  <c r="D12" i="31"/>
  <c r="D11" i="31"/>
  <c r="D10" i="31"/>
  <c r="D12" i="32"/>
  <c r="D11" i="32"/>
  <c r="D10" i="32"/>
  <c r="D12" i="33"/>
  <c r="D11" i="33"/>
  <c r="D10" i="33"/>
  <c r="D12" i="34"/>
  <c r="D11" i="34"/>
  <c r="D10" i="34"/>
  <c r="D12" i="35"/>
  <c r="D11" i="35"/>
  <c r="D10" i="35"/>
  <c r="D12" i="23"/>
  <c r="D11" i="23"/>
  <c r="D10" i="23"/>
  <c r="D12" i="36"/>
  <c r="D11" i="36"/>
  <c r="D10" i="36"/>
  <c r="D12" i="37"/>
  <c r="D11" i="37"/>
  <c r="D10" i="37"/>
  <c r="D12" i="38"/>
  <c r="D11" i="38"/>
  <c r="D10" i="38"/>
  <c r="D12" i="39"/>
  <c r="D11" i="39"/>
  <c r="D10" i="39"/>
  <c r="D12" i="40"/>
  <c r="D11" i="40"/>
  <c r="D10" i="40"/>
  <c r="D12" i="42"/>
  <c r="D11" i="42"/>
  <c r="D10" i="42"/>
  <c r="D12" i="43"/>
  <c r="D11" i="43"/>
  <c r="D10" i="43"/>
  <c r="D12" i="44"/>
  <c r="D11" i="44"/>
  <c r="D10" i="44"/>
  <c r="D12" i="45"/>
  <c r="D11" i="45"/>
  <c r="D10" i="45"/>
  <c r="D12" i="47"/>
  <c r="D11" i="47"/>
  <c r="D10" i="47"/>
  <c r="D12" i="48"/>
  <c r="D11" i="48"/>
  <c r="D10" i="48"/>
  <c r="D12" i="50"/>
  <c r="D11" i="50"/>
  <c r="D10" i="50"/>
  <c r="D12" i="51"/>
  <c r="D11" i="51"/>
  <c r="D10" i="51"/>
  <c r="D12" i="52"/>
  <c r="D11" i="52"/>
  <c r="D10" i="52"/>
  <c r="D12" i="75"/>
  <c r="D11" i="75"/>
  <c r="D10" i="75"/>
  <c r="D12" i="76"/>
  <c r="D11" i="76"/>
  <c r="D10" i="76"/>
  <c r="D12" i="55"/>
  <c r="D11" i="55"/>
  <c r="D10" i="55"/>
  <c r="D12" i="56"/>
  <c r="D11" i="56"/>
  <c r="D10" i="56"/>
  <c r="D12" i="57"/>
  <c r="D11" i="57"/>
  <c r="D10" i="57"/>
  <c r="D12" i="58"/>
  <c r="D11" i="58"/>
  <c r="D10" i="58"/>
  <c r="D12" i="66"/>
  <c r="D11" i="66"/>
  <c r="D10" i="66"/>
  <c r="D12" i="67"/>
  <c r="D11" i="67"/>
  <c r="D10" i="67"/>
  <c r="D12" i="69"/>
  <c r="D11" i="69"/>
  <c r="D10" i="69"/>
  <c r="D12" i="70"/>
  <c r="D11" i="70"/>
  <c r="D10" i="70"/>
  <c r="D12" i="71"/>
  <c r="D11" i="71"/>
  <c r="D10" i="71"/>
  <c r="D12" i="68"/>
  <c r="D10" i="68"/>
  <c r="D12" i="77"/>
  <c r="D11" i="77"/>
  <c r="D10" i="77"/>
  <c r="D12" i="78"/>
  <c r="D11" i="78"/>
  <c r="D10" i="78"/>
  <c r="D12" i="30"/>
  <c r="D11" i="30"/>
  <c r="D10" i="30"/>
  <c r="C12" i="16"/>
  <c r="C11" i="16"/>
  <c r="C12" i="17"/>
  <c r="C11" i="17"/>
  <c r="C12" i="18"/>
  <c r="C11" i="18"/>
  <c r="C12" i="20"/>
  <c r="C11" i="20"/>
  <c r="C12" i="21"/>
  <c r="C11" i="21"/>
  <c r="C12" i="25"/>
  <c r="C11" i="25"/>
  <c r="C12" i="24"/>
  <c r="C11" i="24"/>
  <c r="C12" i="22"/>
  <c r="C11" i="22"/>
  <c r="C12" i="26"/>
  <c r="C11" i="26"/>
  <c r="C12" i="27"/>
  <c r="C11" i="27"/>
  <c r="C12" i="28"/>
  <c r="C11" i="28"/>
  <c r="C12" i="31"/>
  <c r="C11" i="31"/>
  <c r="C12" i="32"/>
  <c r="C11" i="32"/>
  <c r="C12" i="33"/>
  <c r="C11" i="33"/>
  <c r="C12" i="34"/>
  <c r="C11" i="34"/>
  <c r="C12" i="35"/>
  <c r="C11" i="35"/>
  <c r="C12" i="23"/>
  <c r="C11" i="23"/>
  <c r="C12" i="36"/>
  <c r="C11" i="36"/>
  <c r="C12" i="37"/>
  <c r="C11" i="37"/>
  <c r="C12" i="38"/>
  <c r="C11" i="38"/>
  <c r="C12" i="39"/>
  <c r="C11" i="39"/>
  <c r="C12" i="40"/>
  <c r="C11" i="40"/>
  <c r="C12" i="42"/>
  <c r="C11" i="42"/>
  <c r="C12" i="43"/>
  <c r="C11" i="43"/>
  <c r="C12" i="44"/>
  <c r="C11" i="44"/>
  <c r="C12" i="45"/>
  <c r="C11" i="45"/>
  <c r="C12" i="47"/>
  <c r="C11" i="47"/>
  <c r="C12" i="48"/>
  <c r="C11" i="48"/>
  <c r="C12" i="50"/>
  <c r="C11" i="50"/>
  <c r="C12" i="51"/>
  <c r="C11" i="51"/>
  <c r="C12" i="52"/>
  <c r="C11" i="52"/>
  <c r="C12" i="75"/>
  <c r="C11" i="75"/>
  <c r="C12" i="76"/>
  <c r="C11" i="76"/>
  <c r="C12" i="55"/>
  <c r="C11" i="55"/>
  <c r="C12" i="56"/>
  <c r="C11" i="56"/>
  <c r="C12" i="57"/>
  <c r="C11" i="57"/>
  <c r="C12" i="58"/>
  <c r="C11" i="58"/>
  <c r="C12" i="66"/>
  <c r="C11" i="66"/>
  <c r="C12" i="67"/>
  <c r="C11" i="67"/>
  <c r="C12" i="69"/>
  <c r="C11" i="69"/>
  <c r="C12" i="70"/>
  <c r="C11" i="70"/>
  <c r="C12" i="71"/>
  <c r="C11" i="71"/>
  <c r="C12" i="68"/>
  <c r="C12" i="77"/>
  <c r="C11" i="77"/>
  <c r="C12" i="78"/>
  <c r="C11" i="78"/>
  <c r="C12" i="30"/>
  <c r="C11" i="30"/>
  <c r="C10" i="16"/>
  <c r="C10" i="17"/>
  <c r="C10" i="18"/>
  <c r="C10" i="20"/>
  <c r="C10" i="21"/>
  <c r="C10" i="25"/>
  <c r="C10" i="24"/>
  <c r="C10" i="22"/>
  <c r="C10" i="26"/>
  <c r="C10" i="27"/>
  <c r="C10" i="28"/>
  <c r="C10" i="31"/>
  <c r="C10" i="32"/>
  <c r="C10" i="33"/>
  <c r="C10" i="34"/>
  <c r="C10" i="35"/>
  <c r="C10" i="23"/>
  <c r="C10" i="36"/>
  <c r="C10" i="37"/>
  <c r="C10" i="38"/>
  <c r="C10" i="39"/>
  <c r="C10" i="40"/>
  <c r="C10" i="42"/>
  <c r="C10" i="43"/>
  <c r="C10" i="44"/>
  <c r="C10" i="45"/>
  <c r="C10" i="47"/>
  <c r="C10" i="48"/>
  <c r="C10" i="50"/>
  <c r="C10" i="51"/>
  <c r="C10" i="52"/>
  <c r="C10" i="75"/>
  <c r="C10" i="76"/>
  <c r="C10" i="55"/>
  <c r="C10" i="56"/>
  <c r="C10" i="57"/>
  <c r="C10" i="58"/>
  <c r="C10" i="66"/>
  <c r="C10" i="67"/>
  <c r="C10" i="69"/>
  <c r="C10" i="70"/>
  <c r="C10" i="71"/>
  <c r="C10" i="68"/>
  <c r="C10" i="77"/>
  <c r="C10" i="78"/>
  <c r="C10" i="30"/>
  <c r="I57" i="20" l="1"/>
  <c r="I64" i="18"/>
  <c r="E58" i="43"/>
  <c r="E57" i="43"/>
  <c r="E65" i="43"/>
  <c r="E60" i="43"/>
  <c r="E64" i="43"/>
  <c r="I64" i="43" s="1"/>
  <c r="E63" i="43"/>
  <c r="I63" i="43" s="1"/>
  <c r="E62" i="43"/>
  <c r="I62" i="43" s="1"/>
  <c r="E61" i="43"/>
  <c r="I61" i="43" s="1"/>
  <c r="E59" i="43"/>
  <c r="I59" i="43" s="1"/>
  <c r="E64" i="7"/>
  <c r="I64" i="7" s="1"/>
  <c r="E63" i="7"/>
  <c r="E62" i="23"/>
  <c r="E59" i="23"/>
  <c r="I59" i="23" s="1"/>
  <c r="E61" i="23"/>
  <c r="I61" i="23" s="1"/>
  <c r="E60" i="23"/>
  <c r="E58" i="23"/>
  <c r="E57" i="23"/>
  <c r="I57" i="23" s="1"/>
  <c r="E64" i="23"/>
  <c r="I64" i="23" s="1"/>
  <c r="E65" i="23"/>
  <c r="I65" i="23" s="1"/>
  <c r="E63" i="23"/>
  <c r="I63" i="23" s="1"/>
  <c r="E62" i="28"/>
  <c r="I62" i="28" s="1"/>
  <c r="E59" i="28"/>
  <c r="I59" i="28" s="1"/>
  <c r="E61" i="28"/>
  <c r="I61" i="28" s="1"/>
  <c r="E60" i="28"/>
  <c r="I60" i="28" s="1"/>
  <c r="E58" i="28"/>
  <c r="E57" i="28"/>
  <c r="E64" i="28"/>
  <c r="E65" i="28"/>
  <c r="E63" i="28"/>
  <c r="I63" i="28" s="1"/>
  <c r="E65" i="22"/>
  <c r="I65" i="22" s="1"/>
  <c r="E64" i="22"/>
  <c r="I64" i="22" s="1"/>
  <c r="E58" i="22"/>
  <c r="E63" i="22"/>
  <c r="I63" i="22" s="1"/>
  <c r="E62" i="22"/>
  <c r="I62" i="22" s="1"/>
  <c r="E61" i="22"/>
  <c r="I61" i="22" s="1"/>
  <c r="E60" i="22"/>
  <c r="E59" i="22"/>
  <c r="E57" i="22"/>
  <c r="E62" i="77"/>
  <c r="I62" i="77" s="1"/>
  <c r="E61" i="77"/>
  <c r="I61" i="77" s="1"/>
  <c r="E59" i="77"/>
  <c r="I59" i="77" s="1"/>
  <c r="E60" i="77"/>
  <c r="I60" i="77" s="1"/>
  <c r="E58" i="77"/>
  <c r="I58" i="77" s="1"/>
  <c r="E57" i="77"/>
  <c r="I57" i="77" s="1"/>
  <c r="E64" i="77"/>
  <c r="I64" i="77" s="1"/>
  <c r="E65" i="77"/>
  <c r="I65" i="77" s="1"/>
  <c r="E63" i="77"/>
  <c r="I63" i="77" s="1"/>
  <c r="E63" i="70"/>
  <c r="I63" i="70" s="1"/>
  <c r="E65" i="70"/>
  <c r="E64" i="70"/>
  <c r="E62" i="70"/>
  <c r="I62" i="70" s="1"/>
  <c r="E61" i="70"/>
  <c r="I61" i="70" s="1"/>
  <c r="E60" i="70"/>
  <c r="E59" i="70"/>
  <c r="I59" i="70" s="1"/>
  <c r="E58" i="70"/>
  <c r="I58" i="70" s="1"/>
  <c r="E57" i="70"/>
  <c r="I57" i="70" s="1"/>
  <c r="E58" i="57"/>
  <c r="I58" i="57" s="1"/>
  <c r="E57" i="57"/>
  <c r="E60" i="57"/>
  <c r="I60" i="57" s="1"/>
  <c r="E65" i="57"/>
  <c r="I65" i="57" s="1"/>
  <c r="E64" i="57"/>
  <c r="I64" i="57" s="1"/>
  <c r="E63" i="57"/>
  <c r="E62" i="57"/>
  <c r="E61" i="57"/>
  <c r="E59" i="57"/>
  <c r="I59" i="57" s="1"/>
  <c r="E65" i="51"/>
  <c r="I65" i="51" s="1"/>
  <c r="E64" i="51"/>
  <c r="I64" i="51" s="1"/>
  <c r="E63" i="51"/>
  <c r="I63" i="51" s="1"/>
  <c r="E62" i="51"/>
  <c r="I62" i="51" s="1"/>
  <c r="E61" i="51"/>
  <c r="I61" i="51" s="1"/>
  <c r="E60" i="51"/>
  <c r="E59" i="51"/>
  <c r="E58" i="51"/>
  <c r="E57" i="51"/>
  <c r="E64" i="33"/>
  <c r="E63" i="33"/>
  <c r="E62" i="33"/>
  <c r="E61" i="33"/>
  <c r="I61" i="33" s="1"/>
  <c r="E60" i="33"/>
  <c r="I60" i="33" s="1"/>
  <c r="E58" i="33"/>
  <c r="I58" i="33" s="1"/>
  <c r="E59" i="33"/>
  <c r="E57" i="33"/>
  <c r="I57" i="33" s="1"/>
  <c r="E65" i="33"/>
  <c r="I65" i="33" s="1"/>
  <c r="E59" i="21"/>
  <c r="I59" i="21" s="1"/>
  <c r="E58" i="21"/>
  <c r="E57" i="21"/>
  <c r="I57" i="21" s="1"/>
  <c r="E61" i="21"/>
  <c r="I61" i="21" s="1"/>
  <c r="E60" i="21"/>
  <c r="E62" i="76"/>
  <c r="E61" i="76"/>
  <c r="I61" i="76" s="1"/>
  <c r="E60" i="76"/>
  <c r="I60" i="76" s="1"/>
  <c r="E58" i="76"/>
  <c r="I58" i="76" s="1"/>
  <c r="E57" i="76"/>
  <c r="I57" i="76" s="1"/>
  <c r="E64" i="76"/>
  <c r="I64" i="76" s="1"/>
  <c r="E65" i="76"/>
  <c r="E63" i="76"/>
  <c r="I63" i="76" s="1"/>
  <c r="E59" i="76"/>
  <c r="E62" i="45"/>
  <c r="E61" i="45"/>
  <c r="I61" i="45" s="1"/>
  <c r="E60" i="45"/>
  <c r="I60" i="45" s="1"/>
  <c r="E58" i="45"/>
  <c r="I58" i="45" s="1"/>
  <c r="E57" i="45"/>
  <c r="E64" i="45"/>
  <c r="I64" i="45" s="1"/>
  <c r="E65" i="45"/>
  <c r="I65" i="45" s="1"/>
  <c r="E63" i="45"/>
  <c r="I63" i="45" s="1"/>
  <c r="E59" i="45"/>
  <c r="I59" i="45" s="1"/>
  <c r="E65" i="42"/>
  <c r="E64" i="42"/>
  <c r="E63" i="42"/>
  <c r="E62" i="42"/>
  <c r="E61" i="42"/>
  <c r="E60" i="42"/>
  <c r="I60" i="42" s="1"/>
  <c r="E58" i="42"/>
  <c r="I58" i="42" s="1"/>
  <c r="E59" i="42"/>
  <c r="I59" i="42" s="1"/>
  <c r="E57" i="42"/>
  <c r="I57" i="42" s="1"/>
  <c r="E61" i="66"/>
  <c r="I61" i="66" s="1"/>
  <c r="E60" i="66"/>
  <c r="I60" i="66" s="1"/>
  <c r="E59" i="66"/>
  <c r="I59" i="66" s="1"/>
  <c r="E57" i="66"/>
  <c r="E65" i="66"/>
  <c r="I65" i="66" s="1"/>
  <c r="E64" i="66"/>
  <c r="E63" i="66"/>
  <c r="E62" i="66"/>
  <c r="I62" i="66" s="1"/>
  <c r="E58" i="66"/>
  <c r="I58" i="66" s="1"/>
  <c r="E65" i="37"/>
  <c r="I65" i="37" s="1"/>
  <c r="E64" i="37"/>
  <c r="I64" i="37" s="1"/>
  <c r="E62" i="37"/>
  <c r="I62" i="37" s="1"/>
  <c r="E61" i="37"/>
  <c r="I61" i="37" s="1"/>
  <c r="E60" i="37"/>
  <c r="I60" i="37" s="1"/>
  <c r="E59" i="37"/>
  <c r="I59" i="37" s="1"/>
  <c r="E58" i="37"/>
  <c r="E57" i="37"/>
  <c r="E63" i="37"/>
  <c r="E57" i="48"/>
  <c r="I57" i="48" s="1"/>
  <c r="E65" i="48"/>
  <c r="I65" i="48" s="1"/>
  <c r="E64" i="48"/>
  <c r="E63" i="48"/>
  <c r="E62" i="48"/>
  <c r="I62" i="48" s="1"/>
  <c r="E58" i="48"/>
  <c r="I58" i="48" s="1"/>
  <c r="E61" i="48"/>
  <c r="I61" i="48" s="1"/>
  <c r="E60" i="48"/>
  <c r="I60" i="48" s="1"/>
  <c r="E59" i="48"/>
  <c r="I59" i="48" s="1"/>
  <c r="E61" i="27"/>
  <c r="I61" i="27" s="1"/>
  <c r="E60" i="27"/>
  <c r="I60" i="27" s="1"/>
  <c r="E59" i="27"/>
  <c r="E58" i="27"/>
  <c r="E57" i="27"/>
  <c r="E65" i="27"/>
  <c r="I65" i="27" s="1"/>
  <c r="E64" i="27"/>
  <c r="E63" i="27"/>
  <c r="I63" i="27" s="1"/>
  <c r="E62" i="27"/>
  <c r="I62" i="27" s="1"/>
  <c r="E60" i="68"/>
  <c r="I60" i="68" s="1"/>
  <c r="E57" i="68"/>
  <c r="I57" i="68" s="1"/>
  <c r="E59" i="68"/>
  <c r="I59" i="68" s="1"/>
  <c r="E58" i="68"/>
  <c r="I58" i="68" s="1"/>
  <c r="E62" i="68"/>
  <c r="E65" i="68"/>
  <c r="I65" i="68" s="1"/>
  <c r="E64" i="68"/>
  <c r="I64" i="68" s="1"/>
  <c r="E63" i="68"/>
  <c r="E61" i="68"/>
  <c r="E65" i="69"/>
  <c r="I65" i="69" s="1"/>
  <c r="E64" i="69"/>
  <c r="I64" i="69" s="1"/>
  <c r="E62" i="69"/>
  <c r="I62" i="69" s="1"/>
  <c r="E63" i="69"/>
  <c r="I63" i="69" s="1"/>
  <c r="E61" i="69"/>
  <c r="I61" i="69" s="1"/>
  <c r="E60" i="69"/>
  <c r="I60" i="69" s="1"/>
  <c r="E59" i="69"/>
  <c r="I59" i="69" s="1"/>
  <c r="E58" i="69"/>
  <c r="E57" i="69"/>
  <c r="I57" i="69" s="1"/>
  <c r="E64" i="56"/>
  <c r="E65" i="56"/>
  <c r="I65" i="56" s="1"/>
  <c r="E63" i="56"/>
  <c r="I63" i="56" s="1"/>
  <c r="E62" i="56"/>
  <c r="E61" i="56"/>
  <c r="I61" i="56" s="1"/>
  <c r="E60" i="56"/>
  <c r="I60" i="56" s="1"/>
  <c r="E59" i="56"/>
  <c r="I59" i="56" s="1"/>
  <c r="E58" i="56"/>
  <c r="I58" i="56" s="1"/>
  <c r="E57" i="56"/>
  <c r="I57" i="56" s="1"/>
  <c r="E60" i="75"/>
  <c r="I60" i="75" s="1"/>
  <c r="I57" i="75"/>
  <c r="E59" i="75"/>
  <c r="I59" i="75" s="1"/>
  <c r="E58" i="75"/>
  <c r="E62" i="75"/>
  <c r="E65" i="75"/>
  <c r="I65" i="75" s="1"/>
  <c r="E64" i="75"/>
  <c r="I64" i="75" s="1"/>
  <c r="E63" i="75"/>
  <c r="I63" i="75" s="1"/>
  <c r="E61" i="75"/>
  <c r="I61" i="75" s="1"/>
  <c r="E65" i="40"/>
  <c r="I65" i="40" s="1"/>
  <c r="E64" i="40"/>
  <c r="I64" i="40" s="1"/>
  <c r="E63" i="40"/>
  <c r="I63" i="40" s="1"/>
  <c r="E62" i="40"/>
  <c r="I62" i="40" s="1"/>
  <c r="E61" i="40"/>
  <c r="E60" i="40"/>
  <c r="I60" i="40" s="1"/>
  <c r="E59" i="40"/>
  <c r="E58" i="40"/>
  <c r="E57" i="40"/>
  <c r="I57" i="40" s="1"/>
  <c r="E60" i="35"/>
  <c r="I60" i="35" s="1"/>
  <c r="E59" i="35"/>
  <c r="I59" i="35" s="1"/>
  <c r="E58" i="35"/>
  <c r="I58" i="35" s="1"/>
  <c r="E57" i="35"/>
  <c r="I57" i="35" s="1"/>
  <c r="E62" i="35"/>
  <c r="I62" i="35" s="1"/>
  <c r="E65" i="35"/>
  <c r="I65" i="35" s="1"/>
  <c r="E64" i="35"/>
  <c r="I64" i="35" s="1"/>
  <c r="E63" i="35"/>
  <c r="I63" i="35" s="1"/>
  <c r="E61" i="35"/>
  <c r="E65" i="30"/>
  <c r="I65" i="30" s="1"/>
  <c r="E64" i="30"/>
  <c r="I64" i="30" s="1"/>
  <c r="E63" i="30"/>
  <c r="I63" i="30" s="1"/>
  <c r="E62" i="30"/>
  <c r="I62" i="30" s="1"/>
  <c r="E61" i="30"/>
  <c r="I61" i="30" s="1"/>
  <c r="E57" i="30"/>
  <c r="I57" i="30" s="1"/>
  <c r="E60" i="30"/>
  <c r="I60" i="30" s="1"/>
  <c r="E59" i="30"/>
  <c r="I59" i="30" s="1"/>
  <c r="E58" i="30"/>
  <c r="I58" i="30" s="1"/>
  <c r="E64" i="36"/>
  <c r="I64" i="36" s="1"/>
  <c r="E63" i="36"/>
  <c r="I63" i="36" s="1"/>
  <c r="E61" i="36"/>
  <c r="E62" i="36"/>
  <c r="E60" i="36"/>
  <c r="E59" i="36"/>
  <c r="I59" i="36" s="1"/>
  <c r="E58" i="36"/>
  <c r="I58" i="36" s="1"/>
  <c r="E57" i="36"/>
  <c r="I57" i="36" s="1"/>
  <c r="E65" i="36"/>
  <c r="I65" i="36" s="1"/>
  <c r="E65" i="32"/>
  <c r="I65" i="32" s="1"/>
  <c r="E63" i="32"/>
  <c r="I63" i="32" s="1"/>
  <c r="E64" i="32"/>
  <c r="I64" i="32" s="1"/>
  <c r="E62" i="32"/>
  <c r="I62" i="32" s="1"/>
  <c r="E61" i="32"/>
  <c r="I61" i="32" s="1"/>
  <c r="E60" i="32"/>
  <c r="I60" i="32" s="1"/>
  <c r="E59" i="32"/>
  <c r="I59" i="32" s="1"/>
  <c r="E58" i="32"/>
  <c r="I58" i="32" s="1"/>
  <c r="E57" i="32"/>
  <c r="E65" i="25"/>
  <c r="I65" i="25" s="1"/>
  <c r="E62" i="25"/>
  <c r="I62" i="25" s="1"/>
  <c r="E64" i="25"/>
  <c r="I64" i="25" s="1"/>
  <c r="E63" i="25"/>
  <c r="I63" i="25" s="1"/>
  <c r="E61" i="25"/>
  <c r="I61" i="25" s="1"/>
  <c r="E60" i="25"/>
  <c r="I60" i="25" s="1"/>
  <c r="E59" i="25"/>
  <c r="I59" i="25" s="1"/>
  <c r="E58" i="25"/>
  <c r="E57" i="25"/>
  <c r="I57" i="25" s="1"/>
  <c r="E60" i="44"/>
  <c r="I60" i="44" s="1"/>
  <c r="E59" i="44"/>
  <c r="I59" i="44" s="1"/>
  <c r="E57" i="44"/>
  <c r="I57" i="44" s="1"/>
  <c r="E58" i="44"/>
  <c r="E65" i="44"/>
  <c r="I65" i="44" s="1"/>
  <c r="E64" i="44"/>
  <c r="I64" i="44" s="1"/>
  <c r="E63" i="44"/>
  <c r="I63" i="44" s="1"/>
  <c r="E62" i="44"/>
  <c r="I62" i="44" s="1"/>
  <c r="E61" i="44"/>
  <c r="I61" i="44" s="1"/>
  <c r="E58" i="52"/>
  <c r="I58" i="52" s="1"/>
  <c r="E57" i="52"/>
  <c r="E65" i="52"/>
  <c r="I65" i="52" s="1"/>
  <c r="E64" i="52"/>
  <c r="I64" i="52" s="1"/>
  <c r="E63" i="52"/>
  <c r="E62" i="52"/>
  <c r="I62" i="52" s="1"/>
  <c r="E60" i="52"/>
  <c r="E61" i="52"/>
  <c r="I61" i="52" s="1"/>
  <c r="E59" i="52"/>
  <c r="I59" i="52" s="1"/>
  <c r="E65" i="47"/>
  <c r="I65" i="47" s="1"/>
  <c r="E62" i="47"/>
  <c r="I62" i="47" s="1"/>
  <c r="E64" i="47"/>
  <c r="I64" i="47" s="1"/>
  <c r="E63" i="47"/>
  <c r="I63" i="47" s="1"/>
  <c r="E61" i="47"/>
  <c r="I61" i="47" s="1"/>
  <c r="E60" i="47"/>
  <c r="I60" i="47" s="1"/>
  <c r="E59" i="47"/>
  <c r="E58" i="47"/>
  <c r="E57" i="47"/>
  <c r="I57" i="47" s="1"/>
  <c r="E65" i="39"/>
  <c r="E63" i="39"/>
  <c r="I63" i="39" s="1"/>
  <c r="E62" i="39"/>
  <c r="I62" i="39" s="1"/>
  <c r="E61" i="39"/>
  <c r="I61" i="39" s="1"/>
  <c r="E60" i="39"/>
  <c r="I60" i="39" s="1"/>
  <c r="E59" i="39"/>
  <c r="I59" i="39" s="1"/>
  <c r="E58" i="39"/>
  <c r="I58" i="39" s="1"/>
  <c r="E57" i="39"/>
  <c r="E64" i="39"/>
  <c r="I64" i="39" s="1"/>
  <c r="E58" i="34"/>
  <c r="E57" i="34"/>
  <c r="E65" i="34"/>
  <c r="I65" i="34" s="1"/>
  <c r="E60" i="34"/>
  <c r="I60" i="34" s="1"/>
  <c r="E64" i="34"/>
  <c r="I64" i="34" s="1"/>
  <c r="E63" i="34"/>
  <c r="I63" i="34" s="1"/>
  <c r="E62" i="34"/>
  <c r="I62" i="34" s="1"/>
  <c r="E61" i="34"/>
  <c r="I61" i="34" s="1"/>
  <c r="E59" i="34"/>
  <c r="E64" i="31"/>
  <c r="I64" i="31" s="1"/>
  <c r="E61" i="31"/>
  <c r="E63" i="31"/>
  <c r="E62" i="31"/>
  <c r="E60" i="31"/>
  <c r="I60" i="31" s="1"/>
  <c r="E59" i="31"/>
  <c r="I59" i="31" s="1"/>
  <c r="E58" i="31"/>
  <c r="I58" i="31" s="1"/>
  <c r="E57" i="31"/>
  <c r="I57" i="31" s="1"/>
  <c r="E65" i="31"/>
  <c r="I65" i="31" s="1"/>
  <c r="E58" i="26"/>
  <c r="I58" i="26" s="1"/>
  <c r="E57" i="26"/>
  <c r="I57" i="26" s="1"/>
  <c r="E65" i="26"/>
  <c r="I65" i="26" s="1"/>
  <c r="E64" i="26"/>
  <c r="I64" i="26" s="1"/>
  <c r="E63" i="26"/>
  <c r="I63" i="26" s="1"/>
  <c r="E62" i="26"/>
  <c r="E61" i="26"/>
  <c r="E60" i="26"/>
  <c r="I60" i="26" s="1"/>
  <c r="E59" i="26"/>
  <c r="I59" i="26" s="1"/>
  <c r="E65" i="78"/>
  <c r="I65" i="78" s="1"/>
  <c r="E64" i="78"/>
  <c r="I64" i="78" s="1"/>
  <c r="E63" i="78"/>
  <c r="I63" i="78" s="1"/>
  <c r="E61" i="78"/>
  <c r="I61" i="78" s="1"/>
  <c r="E60" i="78"/>
  <c r="I60" i="78" s="1"/>
  <c r="E59" i="78"/>
  <c r="E58" i="78"/>
  <c r="I58" i="78" s="1"/>
  <c r="E57" i="78"/>
  <c r="E62" i="78"/>
  <c r="I62" i="78" s="1"/>
  <c r="E57" i="71"/>
  <c r="E65" i="71"/>
  <c r="I65" i="71" s="1"/>
  <c r="E64" i="71"/>
  <c r="I64" i="71" s="1"/>
  <c r="E63" i="71"/>
  <c r="I63" i="71" s="1"/>
  <c r="E62" i="71"/>
  <c r="I62" i="71" s="1"/>
  <c r="E61" i="71"/>
  <c r="I61" i="71" s="1"/>
  <c r="E60" i="71"/>
  <c r="I60" i="71" s="1"/>
  <c r="E59" i="71"/>
  <c r="I59" i="71" s="1"/>
  <c r="E58" i="71"/>
  <c r="I58" i="71" s="1"/>
  <c r="E63" i="67"/>
  <c r="I63" i="67" s="1"/>
  <c r="E60" i="67"/>
  <c r="E62" i="67"/>
  <c r="E61" i="67"/>
  <c r="I61" i="67" s="1"/>
  <c r="E59" i="67"/>
  <c r="I59" i="67" s="1"/>
  <c r="E58" i="67"/>
  <c r="E57" i="67"/>
  <c r="I57" i="67" s="1"/>
  <c r="E65" i="67"/>
  <c r="I65" i="67" s="1"/>
  <c r="E64" i="67"/>
  <c r="I64" i="67" s="1"/>
  <c r="E59" i="58"/>
  <c r="I59" i="58" s="1"/>
  <c r="E58" i="58"/>
  <c r="I58" i="58" s="1"/>
  <c r="E57" i="58"/>
  <c r="I57" i="58" s="1"/>
  <c r="E65" i="58"/>
  <c r="I65" i="58" s="1"/>
  <c r="E64" i="58"/>
  <c r="I64" i="58" s="1"/>
  <c r="E63" i="58"/>
  <c r="I63" i="58" s="1"/>
  <c r="E62" i="58"/>
  <c r="I62" i="58" s="1"/>
  <c r="E61" i="58"/>
  <c r="I61" i="58" s="1"/>
  <c r="E60" i="58"/>
  <c r="I60" i="58" s="1"/>
  <c r="E65" i="55"/>
  <c r="I65" i="55" s="1"/>
  <c r="E64" i="55"/>
  <c r="I64" i="55" s="1"/>
  <c r="E62" i="55"/>
  <c r="I62" i="55" s="1"/>
  <c r="E63" i="55"/>
  <c r="I63" i="55" s="1"/>
  <c r="E61" i="55"/>
  <c r="I61" i="55" s="1"/>
  <c r="E60" i="55"/>
  <c r="I60" i="55" s="1"/>
  <c r="E59" i="55"/>
  <c r="I59" i="55" s="1"/>
  <c r="E58" i="55"/>
  <c r="I58" i="55" s="1"/>
  <c r="E57" i="55"/>
  <c r="E60" i="38"/>
  <c r="I60" i="38" s="1"/>
  <c r="E57" i="38"/>
  <c r="I57" i="38" s="1"/>
  <c r="E62" i="38"/>
  <c r="I62" i="38" s="1"/>
  <c r="E59" i="38"/>
  <c r="E58" i="38"/>
  <c r="I58" i="38" s="1"/>
  <c r="E65" i="38"/>
  <c r="I65" i="38" s="1"/>
  <c r="E64" i="38"/>
  <c r="I64" i="38" s="1"/>
  <c r="E63" i="38"/>
  <c r="I63" i="38" s="1"/>
  <c r="E61" i="38"/>
  <c r="I61" i="38" s="1"/>
  <c r="E65" i="17"/>
  <c r="I65" i="17" s="1"/>
  <c r="E64" i="17"/>
  <c r="I64" i="17" s="1"/>
  <c r="E64" i="16"/>
  <c r="I64" i="16" s="1"/>
  <c r="E63" i="16"/>
  <c r="I63" i="16" s="1"/>
  <c r="I62" i="36"/>
  <c r="I63" i="68"/>
  <c r="I63" i="24"/>
  <c r="I62" i="76"/>
  <c r="I57" i="45"/>
  <c r="I58" i="44"/>
  <c r="I58" i="16"/>
  <c r="I62" i="31"/>
  <c r="I58" i="20"/>
  <c r="I60" i="7"/>
  <c r="U57" i="38"/>
  <c r="U66" i="38" s="1"/>
  <c r="U57" i="22"/>
  <c r="U66" i="22" s="1"/>
  <c r="I62" i="7"/>
  <c r="I61" i="57"/>
  <c r="I58" i="23"/>
  <c r="I65" i="7"/>
  <c r="I61" i="7"/>
  <c r="I63" i="18"/>
  <c r="I57" i="7"/>
  <c r="I58" i="7"/>
  <c r="U57" i="27"/>
  <c r="U66" i="27" s="1"/>
  <c r="I59" i="7"/>
  <c r="I65" i="70"/>
  <c r="I65" i="50"/>
  <c r="U66" i="37"/>
  <c r="U66" i="24"/>
  <c r="I57" i="71"/>
  <c r="I60" i="67"/>
  <c r="I64" i="56"/>
  <c r="I57" i="51"/>
  <c r="I64" i="42"/>
  <c r="I64" i="27"/>
  <c r="I64" i="28"/>
  <c r="I58" i="21"/>
  <c r="I60" i="18"/>
  <c r="I64" i="66"/>
  <c r="I64" i="33"/>
  <c r="I65" i="16"/>
  <c r="I64" i="70"/>
  <c r="I64" i="21"/>
  <c r="I57" i="50"/>
  <c r="I59" i="47"/>
  <c r="I63" i="42"/>
  <c r="I59" i="18"/>
  <c r="U66" i="35"/>
  <c r="U66" i="20"/>
  <c r="I63" i="66"/>
  <c r="I59" i="51"/>
  <c r="I63" i="33"/>
  <c r="I60" i="21"/>
  <c r="I63" i="17"/>
  <c r="I57" i="55"/>
  <c r="U66" i="32"/>
  <c r="U66" i="16"/>
  <c r="I59" i="76"/>
  <c r="I63" i="50"/>
  <c r="I60" i="22"/>
  <c r="I63" i="21"/>
  <c r="I64" i="20"/>
  <c r="I61" i="26"/>
  <c r="I65" i="21"/>
  <c r="I62" i="56"/>
  <c r="I58" i="47"/>
  <c r="I58" i="34"/>
  <c r="I58" i="18"/>
  <c r="U66" i="71"/>
  <c r="U66" i="51"/>
  <c r="U66" i="36"/>
  <c r="U66" i="25"/>
  <c r="U66" i="23"/>
  <c r="U66" i="21"/>
  <c r="I58" i="51"/>
  <c r="I62" i="33"/>
  <c r="U66" i="47"/>
  <c r="U66" i="34"/>
  <c r="U66" i="18"/>
  <c r="I57" i="22"/>
  <c r="U66" i="33"/>
  <c r="U66" i="17"/>
  <c r="I62" i="21"/>
  <c r="U66" i="57"/>
  <c r="U66" i="43"/>
  <c r="U66" i="31"/>
  <c r="U66" i="28"/>
  <c r="I62" i="75"/>
  <c r="I58" i="43"/>
  <c r="U66" i="39"/>
  <c r="U66" i="26"/>
  <c r="U66" i="77"/>
  <c r="U66" i="75"/>
  <c r="U66" i="68"/>
  <c r="U66" i="52"/>
  <c r="U66" i="70"/>
  <c r="U66" i="50"/>
  <c r="U66" i="69"/>
  <c r="U66" i="48"/>
  <c r="U66" i="67"/>
  <c r="U66" i="66"/>
  <c r="U66" i="45"/>
  <c r="U66" i="58"/>
  <c r="U66" i="44"/>
  <c r="I62" i="68"/>
  <c r="I57" i="43"/>
  <c r="U66" i="56"/>
  <c r="U66" i="42"/>
  <c r="U66" i="30"/>
  <c r="U66" i="55"/>
  <c r="U66" i="40"/>
  <c r="U66" i="78"/>
  <c r="U66" i="76"/>
  <c r="I57" i="24"/>
  <c r="I65" i="76"/>
  <c r="I65" i="39"/>
  <c r="I65" i="43"/>
  <c r="I61" i="35"/>
  <c r="I61" i="68"/>
  <c r="I59" i="20"/>
  <c r="I65" i="42"/>
  <c r="I59" i="40"/>
  <c r="I64" i="50"/>
  <c r="I58" i="50"/>
  <c r="I63" i="57"/>
  <c r="I63" i="31"/>
  <c r="I58" i="28"/>
  <c r="I59" i="27"/>
  <c r="I62" i="24"/>
  <c r="I61" i="17"/>
  <c r="I62" i="16"/>
  <c r="I58" i="69"/>
  <c r="I63" i="48"/>
  <c r="I62" i="45"/>
  <c r="I61" i="42"/>
  <c r="I58" i="37"/>
  <c r="I65" i="28"/>
  <c r="I64" i="24"/>
  <c r="I62" i="20"/>
  <c r="I61" i="18"/>
  <c r="I60" i="70"/>
  <c r="I58" i="67"/>
  <c r="I64" i="48"/>
  <c r="I62" i="42"/>
  <c r="I59" i="38"/>
  <c r="I65" i="24"/>
  <c r="I63" i="20"/>
  <c r="I62" i="18"/>
  <c r="I62" i="17"/>
  <c r="I58" i="75"/>
  <c r="I61" i="36"/>
  <c r="I60" i="23"/>
  <c r="I58" i="27"/>
  <c r="I62" i="67"/>
  <c r="I62" i="57"/>
  <c r="I60" i="52"/>
  <c r="I63" i="37"/>
  <c r="I62" i="23"/>
  <c r="I61" i="31"/>
  <c r="I59" i="22"/>
  <c r="I59" i="24"/>
  <c r="I63" i="52"/>
  <c r="I62" i="50"/>
  <c r="I58" i="40"/>
  <c r="I62" i="26"/>
  <c r="I60" i="20"/>
  <c r="I60" i="17"/>
  <c r="I60" i="16"/>
  <c r="I57" i="18"/>
  <c r="I57" i="16"/>
  <c r="I57" i="78"/>
  <c r="I57" i="17"/>
  <c r="I57" i="34"/>
  <c r="I57" i="32"/>
  <c r="I57" i="27"/>
  <c r="E66" i="24"/>
  <c r="I57" i="28"/>
  <c r="I61" i="16"/>
  <c r="E66" i="18"/>
  <c r="E66" i="20"/>
  <c r="E66" i="50"/>
  <c r="I60" i="51"/>
  <c r="I60" i="43"/>
  <c r="I60" i="36"/>
  <c r="E66" i="16" l="1"/>
  <c r="E66" i="33"/>
  <c r="I59" i="33"/>
  <c r="E66" i="27"/>
  <c r="E66" i="34"/>
  <c r="E66" i="31"/>
  <c r="E66" i="7"/>
  <c r="E66" i="30"/>
  <c r="E66" i="78"/>
  <c r="I59" i="78"/>
  <c r="I66" i="78" s="1"/>
  <c r="E66" i="71"/>
  <c r="E66" i="67"/>
  <c r="E66" i="58"/>
  <c r="E66" i="56"/>
  <c r="E66" i="55"/>
  <c r="E66" i="52"/>
  <c r="E66" i="51"/>
  <c r="E66" i="45"/>
  <c r="E66" i="42"/>
  <c r="E66" i="40"/>
  <c r="E66" i="39"/>
  <c r="E66" i="37"/>
  <c r="E66" i="35"/>
  <c r="I59" i="34"/>
  <c r="I66" i="34" s="1"/>
  <c r="E64" i="60"/>
  <c r="E66" i="22"/>
  <c r="I58" i="22"/>
  <c r="I66" i="22" s="1"/>
  <c r="E60" i="60"/>
  <c r="E66" i="25"/>
  <c r="E66" i="23"/>
  <c r="E66" i="28"/>
  <c r="E66" i="77"/>
  <c r="E66" i="68"/>
  <c r="E66" i="70"/>
  <c r="E66" i="69"/>
  <c r="E66" i="66"/>
  <c r="I57" i="66"/>
  <c r="I66" i="66" s="1"/>
  <c r="E66" i="57"/>
  <c r="I57" i="57"/>
  <c r="I66" i="57" s="1"/>
  <c r="E66" i="76"/>
  <c r="E66" i="75"/>
  <c r="E59" i="60"/>
  <c r="I57" i="52"/>
  <c r="I66" i="52" s="1"/>
  <c r="E66" i="48"/>
  <c r="E66" i="47"/>
  <c r="E66" i="44"/>
  <c r="E66" i="43"/>
  <c r="I61" i="40"/>
  <c r="I66" i="40" s="1"/>
  <c r="I57" i="39"/>
  <c r="I66" i="39" s="1"/>
  <c r="I57" i="37"/>
  <c r="I66" i="37" s="1"/>
  <c r="E66" i="36"/>
  <c r="E66" i="32"/>
  <c r="E66" i="26"/>
  <c r="I58" i="25"/>
  <c r="I66" i="25" s="1"/>
  <c r="E66" i="21"/>
  <c r="E61" i="60"/>
  <c r="E66" i="60"/>
  <c r="I63" i="7"/>
  <c r="I66" i="7" s="1"/>
  <c r="E63" i="60"/>
  <c r="E65" i="60"/>
  <c r="E66" i="38"/>
  <c r="E62" i="60"/>
  <c r="E66" i="17"/>
  <c r="E67" i="60"/>
  <c r="I64" i="60"/>
  <c r="I62" i="60"/>
  <c r="I66" i="60"/>
  <c r="I67" i="60"/>
  <c r="I66" i="35"/>
  <c r="I66" i="30"/>
  <c r="I66" i="47"/>
  <c r="I66" i="68"/>
  <c r="I66" i="45"/>
  <c r="I66" i="18"/>
  <c r="I66" i="21"/>
  <c r="I66" i="51"/>
  <c r="I66" i="56"/>
  <c r="I66" i="43"/>
  <c r="I66" i="50"/>
  <c r="I66" i="20"/>
  <c r="I66" i="24"/>
  <c r="I66" i="44"/>
  <c r="I66" i="48"/>
  <c r="I66" i="70"/>
  <c r="I66" i="17"/>
  <c r="I66" i="58"/>
  <c r="I66" i="69"/>
  <c r="I66" i="23"/>
  <c r="I66" i="33"/>
  <c r="I66" i="42"/>
  <c r="I66" i="38"/>
  <c r="I66" i="71"/>
  <c r="I66" i="55"/>
  <c r="I66" i="76"/>
  <c r="I66" i="75"/>
  <c r="I66" i="31"/>
  <c r="I66" i="27"/>
  <c r="I66" i="26"/>
  <c r="I66" i="16"/>
  <c r="I66" i="36"/>
  <c r="I66" i="77"/>
  <c r="I66" i="28"/>
  <c r="I66" i="32"/>
  <c r="I66" i="67"/>
  <c r="I63" i="60" l="1"/>
  <c r="I59" i="60"/>
  <c r="I61" i="60"/>
  <c r="I65" i="60"/>
  <c r="I60" i="60"/>
  <c r="E68" i="60"/>
  <c r="I68" i="60" l="1"/>
  <c r="D117" i="60"/>
  <c r="C117" i="60"/>
  <c r="G112" i="60"/>
  <c r="G111" i="60"/>
  <c r="H54" i="60"/>
  <c r="H53" i="60"/>
  <c r="D12" i="60"/>
  <c r="D58" i="60" s="1"/>
  <c r="C12" i="60"/>
  <c r="C58" i="60" s="1"/>
  <c r="D11" i="60"/>
  <c r="C11" i="60"/>
  <c r="D37" i="60" l="1"/>
  <c r="D57" i="60"/>
  <c r="C37" i="60"/>
  <c r="C57" i="60"/>
  <c r="I141" i="60" l="1"/>
  <c r="D112" i="60"/>
  <c r="D111" i="60"/>
  <c r="F104" i="60"/>
  <c r="F103" i="60"/>
  <c r="F102" i="60"/>
  <c r="D104" i="60"/>
  <c r="D103" i="60"/>
  <c r="D102" i="60"/>
  <c r="F97" i="60"/>
  <c r="F95" i="60"/>
  <c r="F93" i="60"/>
  <c r="F91" i="60"/>
  <c r="F89" i="60"/>
  <c r="F86" i="60"/>
  <c r="H83" i="60"/>
  <c r="H80" i="60"/>
  <c r="H77" i="60"/>
  <c r="H74" i="60"/>
  <c r="H71" i="60"/>
  <c r="E121" i="60"/>
  <c r="H120" i="60"/>
  <c r="F120" i="60"/>
  <c r="H119" i="60"/>
  <c r="H121" i="60" s="1"/>
  <c r="H9" i="60"/>
  <c r="I121" i="60" l="1"/>
  <c r="E123" i="16" l="1"/>
  <c r="E122" i="16"/>
  <c r="E123" i="17"/>
  <c r="E122" i="17"/>
  <c r="E123" i="18"/>
  <c r="E122" i="18"/>
  <c r="E123" i="20"/>
  <c r="E122" i="20"/>
  <c r="E123" i="21"/>
  <c r="E122" i="21"/>
  <c r="E123" i="25"/>
  <c r="E122" i="25"/>
  <c r="E123" i="24"/>
  <c r="E122" i="24"/>
  <c r="E123" i="22"/>
  <c r="E122" i="22"/>
  <c r="E123" i="26"/>
  <c r="E122" i="26"/>
  <c r="E123" i="27"/>
  <c r="E122" i="27"/>
  <c r="E123" i="28"/>
  <c r="E122" i="28"/>
  <c r="E123" i="31"/>
  <c r="E122" i="31"/>
  <c r="E123" i="32"/>
  <c r="E122" i="32"/>
  <c r="E123" i="33"/>
  <c r="E122" i="33"/>
  <c r="E123" i="34"/>
  <c r="E122" i="34"/>
  <c r="E123" i="35"/>
  <c r="E122" i="35"/>
  <c r="E123" i="23"/>
  <c r="E122" i="23"/>
  <c r="E123" i="36"/>
  <c r="E122" i="36"/>
  <c r="E123" i="37"/>
  <c r="E122" i="37"/>
  <c r="E123" i="38"/>
  <c r="E122" i="38"/>
  <c r="E123" i="39"/>
  <c r="E122" i="39"/>
  <c r="E123" i="40"/>
  <c r="E122" i="40"/>
  <c r="E123" i="42"/>
  <c r="E122" i="42"/>
  <c r="E123" i="43"/>
  <c r="E122" i="43"/>
  <c r="E123" i="44"/>
  <c r="E122" i="44"/>
  <c r="E123" i="45"/>
  <c r="E122" i="45"/>
  <c r="E123" i="47"/>
  <c r="E122" i="47"/>
  <c r="E123" i="48"/>
  <c r="E122" i="48"/>
  <c r="E123" i="50"/>
  <c r="E122" i="50"/>
  <c r="E123" i="51"/>
  <c r="E122" i="51"/>
  <c r="E123" i="52"/>
  <c r="E122" i="52"/>
  <c r="E123" i="75"/>
  <c r="E122" i="75"/>
  <c r="E123" i="76"/>
  <c r="E122" i="76"/>
  <c r="E123" i="55"/>
  <c r="E122" i="55"/>
  <c r="E123" i="56"/>
  <c r="E122" i="56"/>
  <c r="E123" i="57"/>
  <c r="E122" i="57"/>
  <c r="E123" i="58"/>
  <c r="E122" i="58"/>
  <c r="E123" i="66"/>
  <c r="E122" i="66"/>
  <c r="E123" i="67"/>
  <c r="E122" i="67"/>
  <c r="E123" i="69"/>
  <c r="E122" i="69"/>
  <c r="E123" i="70"/>
  <c r="E122" i="70"/>
  <c r="E123" i="71"/>
  <c r="E122" i="71"/>
  <c r="E123" i="68"/>
  <c r="E122" i="68"/>
  <c r="E123" i="77"/>
  <c r="E122" i="77"/>
  <c r="E123" i="78"/>
  <c r="E122" i="78"/>
  <c r="E123" i="30"/>
  <c r="E122" i="30"/>
  <c r="E123" i="7"/>
  <c r="E122" i="7"/>
  <c r="H81" i="16"/>
  <c r="T81" i="16" s="1"/>
  <c r="H81" i="17"/>
  <c r="T81" i="17" s="1"/>
  <c r="H81" i="18"/>
  <c r="T81" i="18" s="1"/>
  <c r="H81" i="20"/>
  <c r="H81" i="21"/>
  <c r="T81" i="21" s="1"/>
  <c r="H81" i="25"/>
  <c r="H81" i="24"/>
  <c r="T81" i="24" s="1"/>
  <c r="H81" i="22"/>
  <c r="T81" i="22" s="1"/>
  <c r="H81" i="26"/>
  <c r="T81" i="26" s="1"/>
  <c r="H81" i="27"/>
  <c r="T81" i="27" s="1"/>
  <c r="H81" i="28"/>
  <c r="T81" i="28" s="1"/>
  <c r="H81" i="31"/>
  <c r="T81" i="31" s="1"/>
  <c r="H81" i="32"/>
  <c r="T81" i="32" s="1"/>
  <c r="H81" i="33"/>
  <c r="T81" i="33" s="1"/>
  <c r="H81" i="34"/>
  <c r="T81" i="34" s="1"/>
  <c r="H81" i="35"/>
  <c r="T81" i="35" s="1"/>
  <c r="H81" i="23"/>
  <c r="T81" i="23" s="1"/>
  <c r="H81" i="36"/>
  <c r="H81" i="37"/>
  <c r="T81" i="37" s="1"/>
  <c r="H81" i="38"/>
  <c r="H81" i="39"/>
  <c r="T81" i="39" s="1"/>
  <c r="H81" i="40"/>
  <c r="T81" i="40" s="1"/>
  <c r="H81" i="42"/>
  <c r="T81" i="42" s="1"/>
  <c r="H81" i="43"/>
  <c r="T81" i="43" s="1"/>
  <c r="H81" i="44"/>
  <c r="T81" i="44" s="1"/>
  <c r="H81" i="45"/>
  <c r="T81" i="45" s="1"/>
  <c r="H81" i="47"/>
  <c r="T81" i="47" s="1"/>
  <c r="H81" i="48"/>
  <c r="H81" i="50"/>
  <c r="T81" i="50" s="1"/>
  <c r="H81" i="51"/>
  <c r="T81" i="51" s="1"/>
  <c r="H81" i="52"/>
  <c r="H81" i="75"/>
  <c r="T81" i="75" s="1"/>
  <c r="H81" i="76"/>
  <c r="T81" i="76" s="1"/>
  <c r="H81" i="55"/>
  <c r="T81" i="55" s="1"/>
  <c r="H81" i="56"/>
  <c r="T81" i="56" s="1"/>
  <c r="H81" i="57"/>
  <c r="T81" i="57" s="1"/>
  <c r="H81" i="58"/>
  <c r="T81" i="58" s="1"/>
  <c r="H81" i="66"/>
  <c r="T81" i="66" s="1"/>
  <c r="H81" i="67"/>
  <c r="H81" i="69"/>
  <c r="T81" i="69" s="1"/>
  <c r="H81" i="70"/>
  <c r="T81" i="70" s="1"/>
  <c r="H81" i="71"/>
  <c r="T81" i="71" s="1"/>
  <c r="H81" i="68"/>
  <c r="H81" i="77"/>
  <c r="T81" i="77" s="1"/>
  <c r="H81" i="78"/>
  <c r="T81" i="78" s="1"/>
  <c r="H81" i="30"/>
  <c r="T81" i="30" s="1"/>
  <c r="T81" i="7"/>
  <c r="H78" i="16"/>
  <c r="T78" i="16" s="1"/>
  <c r="H78" i="17"/>
  <c r="H78" i="18"/>
  <c r="T78" i="18" s="1"/>
  <c r="H78" i="20"/>
  <c r="T78" i="20" s="1"/>
  <c r="H78" i="21"/>
  <c r="T78" i="21" s="1"/>
  <c r="H78" i="25"/>
  <c r="T78" i="25" s="1"/>
  <c r="H78" i="24"/>
  <c r="T78" i="24" s="1"/>
  <c r="H78" i="22"/>
  <c r="T78" i="22" s="1"/>
  <c r="H78" i="26"/>
  <c r="H78" i="27"/>
  <c r="T78" i="27" s="1"/>
  <c r="H78" i="28"/>
  <c r="T78" i="28" s="1"/>
  <c r="H78" i="31"/>
  <c r="T78" i="31" s="1"/>
  <c r="H78" i="32"/>
  <c r="T78" i="32" s="1"/>
  <c r="H78" i="33"/>
  <c r="H78" i="34"/>
  <c r="H78" i="35"/>
  <c r="T78" i="35" s="1"/>
  <c r="H78" i="23"/>
  <c r="T78" i="23" s="1"/>
  <c r="H78" i="36"/>
  <c r="T78" i="36" s="1"/>
  <c r="H78" i="37"/>
  <c r="H78" i="38"/>
  <c r="H78" i="39"/>
  <c r="T78" i="39" s="1"/>
  <c r="H78" i="40"/>
  <c r="T78" i="40" s="1"/>
  <c r="H78" i="42"/>
  <c r="T78" i="42" s="1"/>
  <c r="H78" i="43"/>
  <c r="T78" i="43" s="1"/>
  <c r="H78" i="44"/>
  <c r="T78" i="44" s="1"/>
  <c r="H78" i="45"/>
  <c r="T78" i="45" s="1"/>
  <c r="H78" i="47"/>
  <c r="T78" i="47" s="1"/>
  <c r="H78" i="48"/>
  <c r="T78" i="48" s="1"/>
  <c r="H78" i="50"/>
  <c r="H78" i="51"/>
  <c r="T78" i="51" s="1"/>
  <c r="H78" i="52"/>
  <c r="T78" i="52" s="1"/>
  <c r="H78" i="75"/>
  <c r="H78" i="76"/>
  <c r="T78" i="76" s="1"/>
  <c r="H78" i="55"/>
  <c r="H78" i="56"/>
  <c r="T78" i="56" s="1"/>
  <c r="H78" i="57"/>
  <c r="T78" i="57" s="1"/>
  <c r="H78" i="58"/>
  <c r="T78" i="58" s="1"/>
  <c r="H78" i="66"/>
  <c r="H78" i="67"/>
  <c r="H78" i="69"/>
  <c r="H78" i="70"/>
  <c r="T78" i="70" s="1"/>
  <c r="H78" i="71"/>
  <c r="T78" i="71" s="1"/>
  <c r="H78" i="68"/>
  <c r="T78" i="68" s="1"/>
  <c r="H78" i="77"/>
  <c r="H78" i="78"/>
  <c r="T78" i="78" s="1"/>
  <c r="H78" i="30"/>
  <c r="T78" i="30" s="1"/>
  <c r="T78" i="7"/>
  <c r="H75" i="16"/>
  <c r="T75" i="16" s="1"/>
  <c r="H75" i="17"/>
  <c r="T75" i="17" s="1"/>
  <c r="H75" i="18"/>
  <c r="T75" i="18" s="1"/>
  <c r="H75" i="20"/>
  <c r="T75" i="20" s="1"/>
  <c r="H75" i="21"/>
  <c r="T75" i="21" s="1"/>
  <c r="H75" i="25"/>
  <c r="T75" i="25" s="1"/>
  <c r="H75" i="24"/>
  <c r="T75" i="24" s="1"/>
  <c r="H75" i="22"/>
  <c r="T75" i="22" s="1"/>
  <c r="H75" i="26"/>
  <c r="T75" i="26" s="1"/>
  <c r="H75" i="27"/>
  <c r="T75" i="27" s="1"/>
  <c r="H75" i="28"/>
  <c r="T75" i="28" s="1"/>
  <c r="H75" i="31"/>
  <c r="T75" i="31" s="1"/>
  <c r="H75" i="32"/>
  <c r="T75" i="32" s="1"/>
  <c r="H75" i="33"/>
  <c r="T75" i="33" s="1"/>
  <c r="H75" i="34"/>
  <c r="T75" i="34" s="1"/>
  <c r="H75" i="35"/>
  <c r="T75" i="35" s="1"/>
  <c r="H75" i="23"/>
  <c r="T75" i="23" s="1"/>
  <c r="H75" i="36"/>
  <c r="T75" i="36" s="1"/>
  <c r="H75" i="37"/>
  <c r="T75" i="37" s="1"/>
  <c r="H75" i="38"/>
  <c r="T75" i="38" s="1"/>
  <c r="H75" i="39"/>
  <c r="T75" i="39" s="1"/>
  <c r="H75" i="40"/>
  <c r="T75" i="40" s="1"/>
  <c r="H75" i="42"/>
  <c r="T75" i="42" s="1"/>
  <c r="H75" i="43"/>
  <c r="T75" i="43" s="1"/>
  <c r="H75" i="44"/>
  <c r="T75" i="44" s="1"/>
  <c r="H75" i="45"/>
  <c r="T75" i="45" s="1"/>
  <c r="H75" i="47"/>
  <c r="T75" i="47" s="1"/>
  <c r="H75" i="48"/>
  <c r="T75" i="48" s="1"/>
  <c r="H75" i="50"/>
  <c r="T75" i="50" s="1"/>
  <c r="H75" i="51"/>
  <c r="T75" i="51" s="1"/>
  <c r="H75" i="52"/>
  <c r="T75" i="52" s="1"/>
  <c r="H75" i="75"/>
  <c r="T75" i="75" s="1"/>
  <c r="H75" i="76"/>
  <c r="T75" i="76" s="1"/>
  <c r="H75" i="55"/>
  <c r="T75" i="55" s="1"/>
  <c r="H75" i="56"/>
  <c r="T75" i="56" s="1"/>
  <c r="H75" i="57"/>
  <c r="T75" i="57" s="1"/>
  <c r="H75" i="58"/>
  <c r="T75" i="58" s="1"/>
  <c r="H75" i="66"/>
  <c r="T75" i="66" s="1"/>
  <c r="H75" i="67"/>
  <c r="T75" i="67" s="1"/>
  <c r="H75" i="69"/>
  <c r="T75" i="69" s="1"/>
  <c r="H75" i="70"/>
  <c r="T75" i="70" s="1"/>
  <c r="H75" i="71"/>
  <c r="T75" i="71" s="1"/>
  <c r="H75" i="68"/>
  <c r="T75" i="68" s="1"/>
  <c r="H75" i="77"/>
  <c r="T75" i="77" s="1"/>
  <c r="H75" i="78"/>
  <c r="T75" i="78" s="1"/>
  <c r="H75" i="30"/>
  <c r="T75" i="30" s="1"/>
  <c r="T75" i="7"/>
  <c r="T81" i="68" l="1"/>
  <c r="T81" i="52"/>
  <c r="T78" i="55"/>
  <c r="T78" i="34"/>
  <c r="T81" i="48"/>
  <c r="T81" i="25"/>
  <c r="T81" i="36"/>
  <c r="T81" i="20"/>
  <c r="T81" i="67"/>
  <c r="T81" i="38"/>
  <c r="T78" i="66"/>
  <c r="T78" i="33"/>
  <c r="T78" i="26"/>
  <c r="T78" i="50"/>
  <c r="T78" i="77"/>
  <c r="T78" i="69"/>
  <c r="T78" i="75"/>
  <c r="T78" i="38"/>
  <c r="T78" i="17"/>
  <c r="T78" i="67"/>
  <c r="T78" i="37"/>
  <c r="U37" i="16" l="1"/>
  <c r="U37" i="17"/>
  <c r="U37" i="18"/>
  <c r="U37" i="20"/>
  <c r="U37" i="21"/>
  <c r="U37" i="25"/>
  <c r="U37" i="24"/>
  <c r="U37" i="22"/>
  <c r="U37" i="26"/>
  <c r="U37" i="27"/>
  <c r="U37" i="28"/>
  <c r="U37" i="31"/>
  <c r="U37" i="32"/>
  <c r="U37" i="33"/>
  <c r="U37" i="34"/>
  <c r="U37" i="35"/>
  <c r="U37" i="23"/>
  <c r="U37" i="36"/>
  <c r="U37" i="37"/>
  <c r="U37" i="38"/>
  <c r="U37" i="39"/>
  <c r="U37" i="40"/>
  <c r="U37" i="42"/>
  <c r="U37" i="43"/>
  <c r="U37" i="44"/>
  <c r="U37" i="45"/>
  <c r="U37" i="47"/>
  <c r="U37" i="48"/>
  <c r="U37" i="50"/>
  <c r="U37" i="51"/>
  <c r="U37" i="52"/>
  <c r="U37" i="75"/>
  <c r="U37" i="76"/>
  <c r="U37" i="55"/>
  <c r="U37" i="56"/>
  <c r="U37" i="57"/>
  <c r="U37" i="58"/>
  <c r="U37" i="66"/>
  <c r="U37" i="67"/>
  <c r="U37" i="69"/>
  <c r="U37" i="70"/>
  <c r="U37" i="71"/>
  <c r="U37" i="68"/>
  <c r="U37" i="77"/>
  <c r="U37" i="78"/>
  <c r="U37" i="30"/>
  <c r="U37" i="7"/>
  <c r="U35" i="16"/>
  <c r="U35" i="17"/>
  <c r="U35" i="18"/>
  <c r="U35" i="20"/>
  <c r="U35" i="21"/>
  <c r="U35" i="25"/>
  <c r="U35" i="24"/>
  <c r="U35" i="22"/>
  <c r="U35" i="26"/>
  <c r="U35" i="27"/>
  <c r="U35" i="28"/>
  <c r="U35" i="31"/>
  <c r="U35" i="32"/>
  <c r="U35" i="33"/>
  <c r="U35" i="34"/>
  <c r="U35" i="35"/>
  <c r="U35" i="23"/>
  <c r="U35" i="36"/>
  <c r="U35" i="37"/>
  <c r="U35" i="38"/>
  <c r="U35" i="39"/>
  <c r="U35" i="40"/>
  <c r="U35" i="42"/>
  <c r="U35" i="43"/>
  <c r="U35" i="44"/>
  <c r="U35" i="45"/>
  <c r="U35" i="47"/>
  <c r="U35" i="48"/>
  <c r="U35" i="50"/>
  <c r="U35" i="51"/>
  <c r="U35" i="52"/>
  <c r="U35" i="75"/>
  <c r="U35" i="76"/>
  <c r="U35" i="55"/>
  <c r="U35" i="56"/>
  <c r="U35" i="57"/>
  <c r="U35" i="58"/>
  <c r="U35" i="66"/>
  <c r="U35" i="67"/>
  <c r="U35" i="69"/>
  <c r="U35" i="70"/>
  <c r="U35" i="71"/>
  <c r="U35" i="68"/>
  <c r="U35" i="77"/>
  <c r="U35" i="78"/>
  <c r="U35" i="30"/>
  <c r="U12" i="16"/>
  <c r="U12" i="17"/>
  <c r="U12" i="18"/>
  <c r="U12" i="20"/>
  <c r="U12" i="21"/>
  <c r="U12" i="25"/>
  <c r="U12" i="24"/>
  <c r="U12" i="22"/>
  <c r="U12" i="26"/>
  <c r="U12" i="27"/>
  <c r="U12" i="28"/>
  <c r="U12" i="31"/>
  <c r="U12" i="32"/>
  <c r="U12" i="33"/>
  <c r="U12" i="34"/>
  <c r="U12" i="35"/>
  <c r="U12" i="23"/>
  <c r="U12" i="36"/>
  <c r="U12" i="37"/>
  <c r="U12" i="38"/>
  <c r="U12" i="39"/>
  <c r="U12" i="40"/>
  <c r="U12" i="42"/>
  <c r="U12" i="43"/>
  <c r="U12" i="44"/>
  <c r="U12" i="45"/>
  <c r="U12" i="47"/>
  <c r="U12" i="48"/>
  <c r="U12" i="50"/>
  <c r="U12" i="51"/>
  <c r="U12" i="52"/>
  <c r="U12" i="75"/>
  <c r="U12" i="76"/>
  <c r="U12" i="55"/>
  <c r="U12" i="56"/>
  <c r="U12" i="57"/>
  <c r="U12" i="58"/>
  <c r="U12" i="66"/>
  <c r="U12" i="67"/>
  <c r="U12" i="69"/>
  <c r="U12" i="70"/>
  <c r="U12" i="71"/>
  <c r="U12" i="68"/>
  <c r="U12" i="77"/>
  <c r="U12" i="78"/>
  <c r="U12" i="30"/>
  <c r="U12" i="7"/>
  <c r="U10" i="7"/>
  <c r="N7" i="7"/>
  <c r="P8" i="7"/>
  <c r="H9" i="16"/>
  <c r="T9" i="16" s="1"/>
  <c r="H9" i="17"/>
  <c r="T9" i="17" s="1"/>
  <c r="H9" i="18"/>
  <c r="T9" i="18" s="1"/>
  <c r="H9" i="20"/>
  <c r="T9" i="20" s="1"/>
  <c r="H9" i="21"/>
  <c r="T9" i="21" s="1"/>
  <c r="H9" i="25"/>
  <c r="T9" i="25" s="1"/>
  <c r="H9" i="24"/>
  <c r="T9" i="24" s="1"/>
  <c r="H9" i="22"/>
  <c r="T9" i="22" s="1"/>
  <c r="H9" i="26"/>
  <c r="T9" i="26" s="1"/>
  <c r="H9" i="27"/>
  <c r="T9" i="27" s="1"/>
  <c r="H9" i="28"/>
  <c r="T9" i="28" s="1"/>
  <c r="H9" i="31"/>
  <c r="T9" i="31" s="1"/>
  <c r="H9" i="32"/>
  <c r="T9" i="32" s="1"/>
  <c r="H9" i="33"/>
  <c r="T9" i="33" s="1"/>
  <c r="H9" i="34"/>
  <c r="T9" i="34" s="1"/>
  <c r="H9" i="35"/>
  <c r="T9" i="35" s="1"/>
  <c r="H9" i="23"/>
  <c r="T9" i="23" s="1"/>
  <c r="H9" i="36"/>
  <c r="T9" i="36" s="1"/>
  <c r="H9" i="37"/>
  <c r="T9" i="37" s="1"/>
  <c r="H9" i="38"/>
  <c r="T9" i="38" s="1"/>
  <c r="H9" i="39"/>
  <c r="T9" i="39" s="1"/>
  <c r="H9" i="40"/>
  <c r="T9" i="40" s="1"/>
  <c r="H9" i="42"/>
  <c r="T9" i="42" s="1"/>
  <c r="H9" i="43"/>
  <c r="T9" i="43" s="1"/>
  <c r="H9" i="44"/>
  <c r="T9" i="44" s="1"/>
  <c r="H9" i="45"/>
  <c r="T9" i="45" s="1"/>
  <c r="H9" i="47"/>
  <c r="T9" i="47" s="1"/>
  <c r="H9" i="48"/>
  <c r="T9" i="48" s="1"/>
  <c r="H9" i="50"/>
  <c r="T9" i="50" s="1"/>
  <c r="H9" i="51"/>
  <c r="T9" i="51" s="1"/>
  <c r="H9" i="52"/>
  <c r="T9" i="52" s="1"/>
  <c r="H9" i="75"/>
  <c r="T9" i="75" s="1"/>
  <c r="H9" i="76"/>
  <c r="T9" i="76" s="1"/>
  <c r="H9" i="55"/>
  <c r="T9" i="55" s="1"/>
  <c r="H9" i="56"/>
  <c r="T9" i="56" s="1"/>
  <c r="H9" i="57"/>
  <c r="T9" i="57" s="1"/>
  <c r="H9" i="58"/>
  <c r="T9" i="58" s="1"/>
  <c r="H9" i="66"/>
  <c r="T9" i="66" s="1"/>
  <c r="H9" i="67"/>
  <c r="T9" i="67" s="1"/>
  <c r="H9" i="69"/>
  <c r="T9" i="69" s="1"/>
  <c r="H9" i="70"/>
  <c r="T9" i="70" s="1"/>
  <c r="H9" i="71"/>
  <c r="T9" i="71" s="1"/>
  <c r="H9" i="68"/>
  <c r="T9" i="68" s="1"/>
  <c r="H9" i="77"/>
  <c r="T9" i="77" s="1"/>
  <c r="H9" i="78"/>
  <c r="T9" i="78" s="1"/>
  <c r="H9" i="30"/>
  <c r="T9" i="30" s="1"/>
  <c r="T9" i="7"/>
  <c r="E114" i="7" l="1"/>
  <c r="E114" i="16" l="1"/>
  <c r="E112" i="60" s="1"/>
  <c r="E114" i="17"/>
  <c r="E114" i="18"/>
  <c r="E114" i="20"/>
  <c r="E114" i="26"/>
  <c r="E114" i="27"/>
  <c r="E114" i="28"/>
  <c r="E114" i="31"/>
  <c r="E114" i="32"/>
  <c r="E114" i="33"/>
  <c r="E114" i="35"/>
  <c r="E114" i="23"/>
  <c r="E114" i="36"/>
  <c r="E114" i="37"/>
  <c r="E114" i="38"/>
  <c r="E114" i="39"/>
  <c r="E114" i="40"/>
  <c r="E114" i="42"/>
  <c r="E114" i="43"/>
  <c r="E114" i="44"/>
  <c r="E114" i="45"/>
  <c r="E114" i="47"/>
  <c r="E114" i="50"/>
  <c r="E114" i="51"/>
  <c r="E114" i="52"/>
  <c r="E114" i="75"/>
  <c r="E114" i="76"/>
  <c r="E114" i="58"/>
  <c r="E114" i="67"/>
  <c r="E114" i="69"/>
  <c r="E114" i="68"/>
  <c r="E114" i="30"/>
  <c r="E113" i="37"/>
  <c r="E111" i="60" s="1"/>
  <c r="E113" i="44"/>
  <c r="E113" i="68"/>
  <c r="E113" i="30"/>
  <c r="H69" i="32" l="1"/>
  <c r="H72" i="32"/>
  <c r="I10" i="16" l="1"/>
  <c r="U10" i="16" s="1"/>
  <c r="I10" i="17"/>
  <c r="U10" i="17" s="1"/>
  <c r="I10" i="18"/>
  <c r="U10" i="18" s="1"/>
  <c r="I10" i="20"/>
  <c r="U10" i="20" s="1"/>
  <c r="I10" i="21"/>
  <c r="U10" i="21" s="1"/>
  <c r="I10" i="25"/>
  <c r="U10" i="25" s="1"/>
  <c r="I10" i="24"/>
  <c r="U10" i="24" s="1"/>
  <c r="I10" i="22"/>
  <c r="U10" i="22" s="1"/>
  <c r="I10" i="26"/>
  <c r="U10" i="26" s="1"/>
  <c r="I10" i="27"/>
  <c r="U10" i="27" s="1"/>
  <c r="I10" i="28"/>
  <c r="U10" i="28" s="1"/>
  <c r="I10" i="31"/>
  <c r="U10" i="31" s="1"/>
  <c r="I10" i="32"/>
  <c r="U10" i="32" s="1"/>
  <c r="I10" i="33"/>
  <c r="U10" i="33" s="1"/>
  <c r="I10" i="34"/>
  <c r="U10" i="34" s="1"/>
  <c r="I10" i="35"/>
  <c r="U10" i="35" s="1"/>
  <c r="I10" i="23"/>
  <c r="U10" i="23" s="1"/>
  <c r="I10" i="36"/>
  <c r="U10" i="36" s="1"/>
  <c r="I10" i="37"/>
  <c r="U10" i="37" s="1"/>
  <c r="I10" i="38"/>
  <c r="U10" i="38" s="1"/>
  <c r="I10" i="39"/>
  <c r="U10" i="39" s="1"/>
  <c r="I10" i="40"/>
  <c r="U10" i="40" s="1"/>
  <c r="I10" i="42"/>
  <c r="U10" i="42" s="1"/>
  <c r="I10" i="43"/>
  <c r="U10" i="43" s="1"/>
  <c r="I10" i="44"/>
  <c r="U10" i="44" s="1"/>
  <c r="I10" i="45"/>
  <c r="U10" i="45" s="1"/>
  <c r="I10" i="47"/>
  <c r="U10" i="47" s="1"/>
  <c r="I10" i="48"/>
  <c r="U10" i="48" s="1"/>
  <c r="I10" i="50"/>
  <c r="U10" i="50" s="1"/>
  <c r="I10" i="51"/>
  <c r="U10" i="51" s="1"/>
  <c r="I10" i="52"/>
  <c r="U10" i="52" s="1"/>
  <c r="I10" i="75"/>
  <c r="U10" i="75" s="1"/>
  <c r="I10" i="76"/>
  <c r="U10" i="76" s="1"/>
  <c r="I10" i="55"/>
  <c r="U10" i="55" s="1"/>
  <c r="I10" i="56"/>
  <c r="U10" i="56" s="1"/>
  <c r="I10" i="57"/>
  <c r="U10" i="57" s="1"/>
  <c r="I10" i="58"/>
  <c r="U10" i="58" s="1"/>
  <c r="I10" i="66"/>
  <c r="U10" i="66" s="1"/>
  <c r="I10" i="67"/>
  <c r="U10" i="67" s="1"/>
  <c r="I10" i="69"/>
  <c r="U10" i="69" s="1"/>
  <c r="I10" i="70"/>
  <c r="U10" i="70" s="1"/>
  <c r="I10" i="71"/>
  <c r="U10" i="71" s="1"/>
  <c r="I10" i="68"/>
  <c r="U10" i="68" s="1"/>
  <c r="I10" i="77"/>
  <c r="U10" i="77" s="1"/>
  <c r="I10" i="78"/>
  <c r="U10" i="78" s="1"/>
  <c r="I10" i="30"/>
  <c r="U10" i="30" s="1"/>
  <c r="E3" i="62" l="1"/>
  <c r="E14" i="62"/>
  <c r="E18" i="62" s="1"/>
  <c r="E24" i="62"/>
  <c r="N1" i="30"/>
  <c r="A3" i="30"/>
  <c r="N3" i="30" s="1"/>
  <c r="F4" i="30"/>
  <c r="P4" i="30"/>
  <c r="N7" i="30"/>
  <c r="C8" i="30"/>
  <c r="P8" i="30" s="1"/>
  <c r="H8" i="30"/>
  <c r="F14" i="30"/>
  <c r="F15" i="30"/>
  <c r="F16" i="30"/>
  <c r="F17" i="30"/>
  <c r="F18" i="30"/>
  <c r="F19" i="30"/>
  <c r="F20" i="30"/>
  <c r="F21" i="30"/>
  <c r="F22" i="30"/>
  <c r="F23" i="30"/>
  <c r="F24" i="30"/>
  <c r="F25" i="30"/>
  <c r="F26" i="30"/>
  <c r="F27" i="30"/>
  <c r="F28" i="30"/>
  <c r="F29" i="30"/>
  <c r="C30" i="30"/>
  <c r="D30" i="30"/>
  <c r="C44" i="30"/>
  <c r="D44" i="30"/>
  <c r="E38" i="30" s="1"/>
  <c r="H69" i="30"/>
  <c r="T69" i="30" s="1"/>
  <c r="H72" i="30"/>
  <c r="T72" i="30" s="1"/>
  <c r="F85" i="30"/>
  <c r="F88" i="30"/>
  <c r="R88" i="30" s="1"/>
  <c r="F90" i="30"/>
  <c r="F92" i="30"/>
  <c r="R92" i="30" s="1"/>
  <c r="F94" i="30"/>
  <c r="R94" i="30" s="1"/>
  <c r="F96" i="30"/>
  <c r="R96" i="30" s="1"/>
  <c r="F104" i="30"/>
  <c r="R104" i="30" s="1"/>
  <c r="F105" i="30"/>
  <c r="R105" i="30" s="1"/>
  <c r="F106" i="30"/>
  <c r="R106" i="30" s="1"/>
  <c r="G113" i="30"/>
  <c r="I113" i="30" s="1"/>
  <c r="G114" i="30"/>
  <c r="T114" i="30" s="1"/>
  <c r="U114" i="30" s="1"/>
  <c r="H121" i="30"/>
  <c r="H123" i="30" s="1"/>
  <c r="T123" i="30" s="1"/>
  <c r="R121" i="30"/>
  <c r="R122" i="30" s="1"/>
  <c r="F122" i="30"/>
  <c r="H122" i="30"/>
  <c r="I143" i="30"/>
  <c r="A152" i="30"/>
  <c r="A162" i="30"/>
  <c r="A164" i="30"/>
  <c r="A168" i="30"/>
  <c r="A172" i="30"/>
  <c r="A173" i="30"/>
  <c r="A174" i="30"/>
  <c r="A178" i="30"/>
  <c r="A179" i="30"/>
  <c r="A180" i="30"/>
  <c r="A182" i="30"/>
  <c r="A183" i="30"/>
  <c r="A184" i="30"/>
  <c r="A185" i="30"/>
  <c r="N1" i="78"/>
  <c r="A3" i="78"/>
  <c r="N3" i="78" s="1"/>
  <c r="F4" i="78"/>
  <c r="P4" i="78"/>
  <c r="N7" i="78"/>
  <c r="C8" i="78"/>
  <c r="P8" i="78" s="1"/>
  <c r="H8" i="78"/>
  <c r="T8" i="78" s="1"/>
  <c r="P105" i="78" s="1"/>
  <c r="F14" i="78"/>
  <c r="F15" i="78"/>
  <c r="F16" i="78"/>
  <c r="F17" i="78"/>
  <c r="F18" i="78"/>
  <c r="F19" i="78"/>
  <c r="F20" i="78"/>
  <c r="F21" i="78"/>
  <c r="F22" i="78"/>
  <c r="F23" i="78"/>
  <c r="F24" i="78"/>
  <c r="F25" i="78"/>
  <c r="F26" i="78"/>
  <c r="F27" i="78"/>
  <c r="F28" i="78"/>
  <c r="F29" i="78"/>
  <c r="C30" i="78"/>
  <c r="D30" i="78"/>
  <c r="C44" i="78"/>
  <c r="D44" i="78"/>
  <c r="H69" i="78"/>
  <c r="T69" i="78" s="1"/>
  <c r="H72" i="78"/>
  <c r="T72" i="78" s="1"/>
  <c r="F85" i="78"/>
  <c r="F88" i="78"/>
  <c r="F90" i="78"/>
  <c r="F92" i="78"/>
  <c r="F94" i="78"/>
  <c r="R94" i="78" s="1"/>
  <c r="F96" i="78"/>
  <c r="F104" i="78"/>
  <c r="R104" i="78" s="1"/>
  <c r="F105" i="78"/>
  <c r="R105" i="78" s="1"/>
  <c r="F106" i="78"/>
  <c r="R106" i="78" s="1"/>
  <c r="G113" i="78"/>
  <c r="T113" i="78" s="1"/>
  <c r="G114" i="78"/>
  <c r="I114" i="78" s="1"/>
  <c r="H121" i="78"/>
  <c r="R121" i="78"/>
  <c r="R122" i="78" s="1"/>
  <c r="F122" i="78"/>
  <c r="H122" i="78"/>
  <c r="I143" i="78"/>
  <c r="A152" i="78"/>
  <c r="A162" i="78"/>
  <c r="A164" i="78"/>
  <c r="A168" i="78"/>
  <c r="A172" i="78"/>
  <c r="A173" i="78"/>
  <c r="A174" i="78"/>
  <c r="A178" i="78"/>
  <c r="A179" i="78"/>
  <c r="A180" i="78"/>
  <c r="A182" i="78"/>
  <c r="A183" i="78"/>
  <c r="A184" i="78"/>
  <c r="A185" i="78"/>
  <c r="N1" i="77"/>
  <c r="A3" i="77"/>
  <c r="N3" i="77" s="1"/>
  <c r="F4" i="77"/>
  <c r="P4" i="77"/>
  <c r="N7" i="77"/>
  <c r="C8" i="77"/>
  <c r="P8" i="77" s="1"/>
  <c r="H8" i="77"/>
  <c r="T8" i="77" s="1"/>
  <c r="F14" i="77"/>
  <c r="F15" i="77"/>
  <c r="F16" i="77"/>
  <c r="F17" i="77"/>
  <c r="F18" i="77"/>
  <c r="F19" i="77"/>
  <c r="F20" i="77"/>
  <c r="F21" i="77"/>
  <c r="F22" i="77"/>
  <c r="F23" i="77"/>
  <c r="F24" i="77"/>
  <c r="F25" i="77"/>
  <c r="F26" i="77"/>
  <c r="F27" i="77"/>
  <c r="F28" i="77"/>
  <c r="F29" i="77"/>
  <c r="C30" i="77"/>
  <c r="D30" i="77"/>
  <c r="E121" i="77" s="1"/>
  <c r="C44" i="77"/>
  <c r="D44" i="77"/>
  <c r="E40" i="77" s="1"/>
  <c r="H69" i="77"/>
  <c r="T69" i="77" s="1"/>
  <c r="H72" i="77"/>
  <c r="T72" i="77" s="1"/>
  <c r="F85" i="77"/>
  <c r="R85" i="77" s="1"/>
  <c r="F88" i="77"/>
  <c r="F90" i="77"/>
  <c r="R90" i="77" s="1"/>
  <c r="F92" i="77"/>
  <c r="R92" i="77" s="1"/>
  <c r="F94" i="77"/>
  <c r="F96" i="77"/>
  <c r="F104" i="77"/>
  <c r="R104" i="77" s="1"/>
  <c r="F105" i="77"/>
  <c r="R105" i="77" s="1"/>
  <c r="F106" i="77"/>
  <c r="R106" i="77" s="1"/>
  <c r="G113" i="77"/>
  <c r="T113" i="77" s="1"/>
  <c r="G114" i="77"/>
  <c r="I114" i="77" s="1"/>
  <c r="H121" i="77"/>
  <c r="R121" i="77"/>
  <c r="R122" i="77" s="1"/>
  <c r="F122" i="77"/>
  <c r="H122" i="77"/>
  <c r="T122" i="77" s="1"/>
  <c r="I143" i="77"/>
  <c r="A152" i="77"/>
  <c r="A162" i="77"/>
  <c r="A164" i="77"/>
  <c r="A168" i="77"/>
  <c r="A172" i="77"/>
  <c r="A173" i="77"/>
  <c r="A174" i="77"/>
  <c r="A178" i="77"/>
  <c r="A179" i="77"/>
  <c r="A180" i="77"/>
  <c r="A182" i="77"/>
  <c r="A183" i="77"/>
  <c r="A184" i="77"/>
  <c r="A185" i="77"/>
  <c r="N1" i="68"/>
  <c r="A3" i="68"/>
  <c r="N3" i="68" s="1"/>
  <c r="F4" i="68"/>
  <c r="P4" i="68"/>
  <c r="N7" i="68"/>
  <c r="C8" i="68"/>
  <c r="P8" i="68" s="1"/>
  <c r="H8" i="68"/>
  <c r="E104" i="68" s="1"/>
  <c r="F14" i="68"/>
  <c r="F15" i="68"/>
  <c r="F16" i="68"/>
  <c r="F17" i="68"/>
  <c r="F18" i="68"/>
  <c r="F19" i="68"/>
  <c r="F20" i="68"/>
  <c r="F21" i="68"/>
  <c r="F22" i="68"/>
  <c r="F23" i="68"/>
  <c r="F24" i="68"/>
  <c r="F25" i="68"/>
  <c r="F26" i="68"/>
  <c r="F27" i="68"/>
  <c r="F28" i="68"/>
  <c r="F29" i="68"/>
  <c r="D30" i="68"/>
  <c r="C44" i="68"/>
  <c r="D44" i="68"/>
  <c r="E38" i="68" s="1"/>
  <c r="H69" i="68"/>
  <c r="T69" i="68" s="1"/>
  <c r="H72" i="68"/>
  <c r="T72" i="68" s="1"/>
  <c r="F85" i="68"/>
  <c r="R85" i="68" s="1"/>
  <c r="F88" i="68"/>
  <c r="R88" i="68" s="1"/>
  <c r="F90" i="68"/>
  <c r="R90" i="68" s="1"/>
  <c r="F92" i="68"/>
  <c r="R92" i="68" s="1"/>
  <c r="F94" i="68"/>
  <c r="R94" i="68" s="1"/>
  <c r="F96" i="68"/>
  <c r="R96" i="68" s="1"/>
  <c r="F104" i="68"/>
  <c r="R104" i="68" s="1"/>
  <c r="F105" i="68"/>
  <c r="R105" i="68" s="1"/>
  <c r="F106" i="68"/>
  <c r="R106" i="68" s="1"/>
  <c r="G113" i="68"/>
  <c r="G114" i="68"/>
  <c r="H121" i="68"/>
  <c r="T121" i="68" s="1"/>
  <c r="R121" i="68"/>
  <c r="R122" i="68" s="1"/>
  <c r="F122" i="68"/>
  <c r="H122" i="68"/>
  <c r="T122" i="68" s="1"/>
  <c r="I143" i="68"/>
  <c r="A152" i="68"/>
  <c r="A162" i="68"/>
  <c r="A164" i="68"/>
  <c r="A168" i="68"/>
  <c r="A172" i="68"/>
  <c r="A173" i="68"/>
  <c r="A174" i="68"/>
  <c r="A178" i="68"/>
  <c r="A179" i="68"/>
  <c r="A180" i="68"/>
  <c r="A182" i="68"/>
  <c r="A183" i="68"/>
  <c r="A184" i="68"/>
  <c r="A185" i="68"/>
  <c r="N1" i="71"/>
  <c r="A3" i="71"/>
  <c r="N3" i="71" s="1"/>
  <c r="F4" i="71"/>
  <c r="P4" i="71"/>
  <c r="N7" i="71"/>
  <c r="C8" i="71"/>
  <c r="P8" i="71" s="1"/>
  <c r="H8" i="71"/>
  <c r="F14" i="71"/>
  <c r="F15" i="71"/>
  <c r="F16" i="71"/>
  <c r="F17" i="71"/>
  <c r="F18" i="71"/>
  <c r="F19" i="71"/>
  <c r="F20" i="71"/>
  <c r="F21" i="71"/>
  <c r="F22" i="71"/>
  <c r="F23" i="71"/>
  <c r="F24" i="71"/>
  <c r="F25" i="71"/>
  <c r="F26" i="71"/>
  <c r="F27" i="71"/>
  <c r="F28" i="71"/>
  <c r="F29" i="71"/>
  <c r="C30" i="71"/>
  <c r="D30" i="71"/>
  <c r="C44" i="71"/>
  <c r="D44" i="71"/>
  <c r="H69" i="71"/>
  <c r="T69" i="71" s="1"/>
  <c r="H72" i="71"/>
  <c r="T72" i="71" s="1"/>
  <c r="F85" i="71"/>
  <c r="R85" i="71" s="1"/>
  <c r="F88" i="71"/>
  <c r="R88" i="71" s="1"/>
  <c r="F90" i="71"/>
  <c r="R90" i="71" s="1"/>
  <c r="F92" i="71"/>
  <c r="F94" i="71"/>
  <c r="R94" i="71" s="1"/>
  <c r="F96" i="71"/>
  <c r="R96" i="71" s="1"/>
  <c r="F104" i="71"/>
  <c r="R104" i="71" s="1"/>
  <c r="F105" i="71"/>
  <c r="R105" i="71" s="1"/>
  <c r="F106" i="71"/>
  <c r="R106" i="71" s="1"/>
  <c r="G113" i="71"/>
  <c r="I113" i="71" s="1"/>
  <c r="G114" i="71"/>
  <c r="T114" i="71" s="1"/>
  <c r="U114" i="71" s="1"/>
  <c r="H121" i="71"/>
  <c r="H123" i="71" s="1"/>
  <c r="T123" i="71" s="1"/>
  <c r="R121" i="71"/>
  <c r="R122" i="71" s="1"/>
  <c r="F122" i="71"/>
  <c r="H122" i="71"/>
  <c r="T122" i="71" s="1"/>
  <c r="I143" i="71"/>
  <c r="A152" i="71"/>
  <c r="A162" i="71"/>
  <c r="A164" i="71"/>
  <c r="A168" i="71"/>
  <c r="A172" i="71"/>
  <c r="A173" i="71"/>
  <c r="A174" i="71"/>
  <c r="A178" i="71"/>
  <c r="A179" i="71"/>
  <c r="A180" i="71"/>
  <c r="A182" i="71"/>
  <c r="A183" i="71"/>
  <c r="A184" i="71"/>
  <c r="A185" i="71"/>
  <c r="N1" i="70"/>
  <c r="A3" i="70"/>
  <c r="N3" i="70" s="1"/>
  <c r="F4" i="70"/>
  <c r="P4" i="70"/>
  <c r="N7" i="70"/>
  <c r="C8" i="70"/>
  <c r="P8" i="70" s="1"/>
  <c r="H8" i="70"/>
  <c r="T8" i="70" s="1"/>
  <c r="F14" i="70"/>
  <c r="F15" i="70"/>
  <c r="F16" i="70"/>
  <c r="F17" i="70"/>
  <c r="F18" i="70"/>
  <c r="F19" i="70"/>
  <c r="F20" i="70"/>
  <c r="F21" i="70"/>
  <c r="F22" i="70"/>
  <c r="F23" i="70"/>
  <c r="F24" i="70"/>
  <c r="F25" i="70"/>
  <c r="F26" i="70"/>
  <c r="F27" i="70"/>
  <c r="F28" i="70"/>
  <c r="F29" i="70"/>
  <c r="C30" i="70"/>
  <c r="D30" i="70"/>
  <c r="C44" i="70"/>
  <c r="D44" i="70"/>
  <c r="H69" i="70"/>
  <c r="T69" i="70" s="1"/>
  <c r="H72" i="70"/>
  <c r="T72" i="70" s="1"/>
  <c r="F85" i="70"/>
  <c r="R85" i="70" s="1"/>
  <c r="F88" i="70"/>
  <c r="R88" i="70" s="1"/>
  <c r="F90" i="70"/>
  <c r="R90" i="70" s="1"/>
  <c r="F92" i="70"/>
  <c r="R92" i="70" s="1"/>
  <c r="F94" i="70"/>
  <c r="R94" i="70" s="1"/>
  <c r="F96" i="70"/>
  <c r="R96" i="70" s="1"/>
  <c r="F104" i="70"/>
  <c r="R104" i="70" s="1"/>
  <c r="F105" i="70"/>
  <c r="R105" i="70" s="1"/>
  <c r="F106" i="70"/>
  <c r="R106" i="70" s="1"/>
  <c r="G113" i="70"/>
  <c r="T113" i="70" s="1"/>
  <c r="G114" i="70"/>
  <c r="I114" i="70" s="1"/>
  <c r="H121" i="70"/>
  <c r="R121" i="70"/>
  <c r="R122" i="70" s="1"/>
  <c r="F122" i="70"/>
  <c r="H122" i="70"/>
  <c r="T122" i="70" s="1"/>
  <c r="I143" i="70"/>
  <c r="A152" i="70"/>
  <c r="A162" i="70"/>
  <c r="A164" i="70"/>
  <c r="A168" i="70"/>
  <c r="A172" i="70"/>
  <c r="A173" i="70"/>
  <c r="A174" i="70"/>
  <c r="A178" i="70"/>
  <c r="A179" i="70"/>
  <c r="A180" i="70"/>
  <c r="A182" i="70"/>
  <c r="A183" i="70"/>
  <c r="A184" i="70"/>
  <c r="A185" i="70"/>
  <c r="N1" i="69"/>
  <c r="A3" i="69"/>
  <c r="N3" i="69" s="1"/>
  <c r="F4" i="69"/>
  <c r="P4" i="69"/>
  <c r="N7" i="69"/>
  <c r="C8" i="69"/>
  <c r="P8" i="69" s="1"/>
  <c r="H8" i="69"/>
  <c r="F14" i="69"/>
  <c r="F15" i="69"/>
  <c r="F16" i="69"/>
  <c r="F17" i="69"/>
  <c r="F18" i="69"/>
  <c r="F19" i="69"/>
  <c r="F20" i="69"/>
  <c r="F21" i="69"/>
  <c r="F22" i="69"/>
  <c r="F23" i="69"/>
  <c r="F24" i="69"/>
  <c r="F25" i="69"/>
  <c r="F26" i="69"/>
  <c r="F27" i="69"/>
  <c r="F28" i="69"/>
  <c r="F29" i="69"/>
  <c r="C30" i="69"/>
  <c r="D30" i="69"/>
  <c r="C44" i="69"/>
  <c r="D44" i="69"/>
  <c r="H69" i="69"/>
  <c r="T69" i="69" s="1"/>
  <c r="H72" i="69"/>
  <c r="T72" i="69" s="1"/>
  <c r="F85" i="69"/>
  <c r="R85" i="69" s="1"/>
  <c r="F88" i="69"/>
  <c r="R88" i="69" s="1"/>
  <c r="F90" i="69"/>
  <c r="R90" i="69" s="1"/>
  <c r="F92" i="69"/>
  <c r="F94" i="69"/>
  <c r="R94" i="69" s="1"/>
  <c r="F96" i="69"/>
  <c r="R96" i="69" s="1"/>
  <c r="F104" i="69"/>
  <c r="R104" i="69" s="1"/>
  <c r="F105" i="69"/>
  <c r="R105" i="69" s="1"/>
  <c r="F106" i="69"/>
  <c r="R106" i="69" s="1"/>
  <c r="G113" i="69"/>
  <c r="I113" i="69" s="1"/>
  <c r="G114" i="69"/>
  <c r="T114" i="69" s="1"/>
  <c r="U114" i="69" s="1"/>
  <c r="H121" i="69"/>
  <c r="T121" i="69" s="1"/>
  <c r="R121" i="69"/>
  <c r="R122" i="69" s="1"/>
  <c r="F122" i="69"/>
  <c r="H122" i="69"/>
  <c r="T122" i="69" s="1"/>
  <c r="I143" i="69"/>
  <c r="A152" i="69"/>
  <c r="A162" i="69"/>
  <c r="A164" i="69"/>
  <c r="A168" i="69"/>
  <c r="A172" i="69"/>
  <c r="A173" i="69"/>
  <c r="A174" i="69"/>
  <c r="A178" i="69"/>
  <c r="A179" i="69"/>
  <c r="A180" i="69"/>
  <c r="A182" i="69"/>
  <c r="A183" i="69"/>
  <c r="A184" i="69"/>
  <c r="A185" i="69"/>
  <c r="N1" i="67"/>
  <c r="A3" i="67"/>
  <c r="N3" i="67" s="1"/>
  <c r="F4" i="67"/>
  <c r="P4" i="67"/>
  <c r="N7" i="67"/>
  <c r="C8" i="67"/>
  <c r="P8" i="67" s="1"/>
  <c r="H8" i="67"/>
  <c r="E104" i="67" s="1"/>
  <c r="F14" i="67"/>
  <c r="F15" i="67"/>
  <c r="F16" i="67"/>
  <c r="F17" i="67"/>
  <c r="F18" i="67"/>
  <c r="F19" i="67"/>
  <c r="F20" i="67"/>
  <c r="F21" i="67"/>
  <c r="F22" i="67"/>
  <c r="F23" i="67"/>
  <c r="F24" i="67"/>
  <c r="F25" i="67"/>
  <c r="F26" i="67"/>
  <c r="F27" i="67"/>
  <c r="F28" i="67"/>
  <c r="F29" i="67"/>
  <c r="C30" i="67"/>
  <c r="D30" i="67"/>
  <c r="E121" i="67" s="1"/>
  <c r="C44" i="67"/>
  <c r="D44" i="67"/>
  <c r="E39" i="67" s="1"/>
  <c r="H69" i="67"/>
  <c r="T69" i="67" s="1"/>
  <c r="H72" i="67"/>
  <c r="T72" i="67" s="1"/>
  <c r="F85" i="67"/>
  <c r="R85" i="67" s="1"/>
  <c r="F88" i="67"/>
  <c r="R88" i="67" s="1"/>
  <c r="F90" i="67"/>
  <c r="R90" i="67" s="1"/>
  <c r="F92" i="67"/>
  <c r="R92" i="67" s="1"/>
  <c r="F94" i="67"/>
  <c r="R94" i="67" s="1"/>
  <c r="F96" i="67"/>
  <c r="R96" i="67" s="1"/>
  <c r="F104" i="67"/>
  <c r="R104" i="67" s="1"/>
  <c r="F105" i="67"/>
  <c r="R105" i="67" s="1"/>
  <c r="F106" i="67"/>
  <c r="R106" i="67" s="1"/>
  <c r="G113" i="67"/>
  <c r="T113" i="67" s="1"/>
  <c r="G114" i="67"/>
  <c r="T114" i="67" s="1"/>
  <c r="U114" i="67" s="1"/>
  <c r="H121" i="67"/>
  <c r="H123" i="67" s="1"/>
  <c r="T123" i="67" s="1"/>
  <c r="R121" i="67"/>
  <c r="R122" i="67" s="1"/>
  <c r="F122" i="67"/>
  <c r="H122" i="67"/>
  <c r="T122" i="67" s="1"/>
  <c r="I143" i="67"/>
  <c r="A152" i="67"/>
  <c r="A162" i="67"/>
  <c r="A164" i="67"/>
  <c r="A168" i="67"/>
  <c r="A172" i="67"/>
  <c r="A173" i="67"/>
  <c r="A174" i="67"/>
  <c r="A178" i="67"/>
  <c r="A179" i="67"/>
  <c r="A180" i="67"/>
  <c r="A182" i="67"/>
  <c r="A183" i="67"/>
  <c r="A184" i="67"/>
  <c r="A185" i="67"/>
  <c r="N1" i="66"/>
  <c r="A3" i="66"/>
  <c r="N3" i="66" s="1"/>
  <c r="F4" i="66"/>
  <c r="P4" i="66"/>
  <c r="N7" i="66"/>
  <c r="C8" i="66"/>
  <c r="P8" i="66" s="1"/>
  <c r="H8" i="66"/>
  <c r="E105" i="66" s="1"/>
  <c r="F14" i="66"/>
  <c r="F15" i="66"/>
  <c r="F16" i="66"/>
  <c r="F17" i="66"/>
  <c r="F18" i="66"/>
  <c r="F19" i="66"/>
  <c r="F20" i="66"/>
  <c r="F21" i="66"/>
  <c r="F22" i="66"/>
  <c r="F23" i="66"/>
  <c r="F24" i="66"/>
  <c r="F25" i="66"/>
  <c r="F26" i="66"/>
  <c r="F27" i="66"/>
  <c r="F28" i="66"/>
  <c r="F29" i="66"/>
  <c r="C30" i="66"/>
  <c r="D30" i="66"/>
  <c r="C44" i="66"/>
  <c r="D44" i="66"/>
  <c r="E39" i="66" s="1"/>
  <c r="H69" i="66"/>
  <c r="T69" i="66" s="1"/>
  <c r="H72" i="66"/>
  <c r="T72" i="66" s="1"/>
  <c r="F85" i="66"/>
  <c r="R85" i="66" s="1"/>
  <c r="F88" i="66"/>
  <c r="R88" i="66" s="1"/>
  <c r="F90" i="66"/>
  <c r="R90" i="66" s="1"/>
  <c r="F92" i="66"/>
  <c r="R92" i="66" s="1"/>
  <c r="F94" i="66"/>
  <c r="R94" i="66" s="1"/>
  <c r="F96" i="66"/>
  <c r="R96" i="66" s="1"/>
  <c r="F104" i="66"/>
  <c r="R104" i="66" s="1"/>
  <c r="F105" i="66"/>
  <c r="R105" i="66" s="1"/>
  <c r="F106" i="66"/>
  <c r="R106" i="66" s="1"/>
  <c r="G113" i="66"/>
  <c r="T113" i="66" s="1"/>
  <c r="G114" i="66"/>
  <c r="T114" i="66" s="1"/>
  <c r="U114" i="66" s="1"/>
  <c r="H121" i="66"/>
  <c r="R121" i="66"/>
  <c r="R122" i="66" s="1"/>
  <c r="F122" i="66"/>
  <c r="H122" i="66"/>
  <c r="T122" i="66" s="1"/>
  <c r="I143" i="66"/>
  <c r="A152" i="66"/>
  <c r="A162" i="66"/>
  <c r="A164" i="66"/>
  <c r="A168" i="66"/>
  <c r="A172" i="66"/>
  <c r="A173" i="66"/>
  <c r="A174" i="66"/>
  <c r="A178" i="66"/>
  <c r="A179" i="66"/>
  <c r="A180" i="66"/>
  <c r="A182" i="66"/>
  <c r="A183" i="66"/>
  <c r="A184" i="66"/>
  <c r="A185" i="66"/>
  <c r="N1" i="58"/>
  <c r="A3" i="58"/>
  <c r="N3" i="58" s="1"/>
  <c r="F4" i="58"/>
  <c r="P4" i="58"/>
  <c r="N7" i="58"/>
  <c r="C8" i="58"/>
  <c r="P8" i="58" s="1"/>
  <c r="H8" i="58"/>
  <c r="T8" i="58" s="1"/>
  <c r="F14" i="58"/>
  <c r="F15" i="58"/>
  <c r="F16" i="58"/>
  <c r="F17" i="58"/>
  <c r="F18" i="58"/>
  <c r="F19" i="58"/>
  <c r="F20" i="58"/>
  <c r="F21" i="58"/>
  <c r="F22" i="58"/>
  <c r="F23" i="58"/>
  <c r="F24" i="58"/>
  <c r="F25" i="58"/>
  <c r="F26" i="58"/>
  <c r="F27" i="58"/>
  <c r="F28" i="58"/>
  <c r="F29" i="58"/>
  <c r="C30" i="58"/>
  <c r="D30" i="58"/>
  <c r="C44" i="58"/>
  <c r="D44" i="58"/>
  <c r="H69" i="58"/>
  <c r="T69" i="58" s="1"/>
  <c r="H72" i="58"/>
  <c r="T72" i="58" s="1"/>
  <c r="F85" i="58"/>
  <c r="F88" i="58"/>
  <c r="R88" i="58" s="1"/>
  <c r="F90" i="58"/>
  <c r="F92" i="58"/>
  <c r="R92" i="58" s="1"/>
  <c r="F94" i="58"/>
  <c r="R94" i="58" s="1"/>
  <c r="F96" i="58"/>
  <c r="R96" i="58" s="1"/>
  <c r="F104" i="58"/>
  <c r="R104" i="58" s="1"/>
  <c r="F105" i="58"/>
  <c r="R105" i="58" s="1"/>
  <c r="F106" i="58"/>
  <c r="R106" i="58" s="1"/>
  <c r="G113" i="58"/>
  <c r="I113" i="58" s="1"/>
  <c r="G114" i="58"/>
  <c r="T114" i="58" s="1"/>
  <c r="U114" i="58" s="1"/>
  <c r="H121" i="58"/>
  <c r="T121" i="58" s="1"/>
  <c r="R121" i="58"/>
  <c r="R122" i="58" s="1"/>
  <c r="F122" i="58"/>
  <c r="H122" i="58"/>
  <c r="T122" i="58" s="1"/>
  <c r="I143" i="58"/>
  <c r="A152" i="58"/>
  <c r="A162" i="58"/>
  <c r="A164" i="58"/>
  <c r="A168" i="58"/>
  <c r="A172" i="58"/>
  <c r="A173" i="58"/>
  <c r="A174" i="58"/>
  <c r="A178" i="58"/>
  <c r="A179" i="58"/>
  <c r="A180" i="58"/>
  <c r="A182" i="58"/>
  <c r="A183" i="58"/>
  <c r="A184" i="58"/>
  <c r="A185" i="58"/>
  <c r="N1" i="57"/>
  <c r="A3" i="57"/>
  <c r="N3" i="57" s="1"/>
  <c r="F4" i="57"/>
  <c r="P4" i="57"/>
  <c r="N7" i="57"/>
  <c r="C8" i="57"/>
  <c r="P8" i="57" s="1"/>
  <c r="H8" i="57"/>
  <c r="E105" i="57" s="1"/>
  <c r="F14" i="57"/>
  <c r="F15" i="57"/>
  <c r="F16" i="57"/>
  <c r="F17" i="57"/>
  <c r="F18" i="57"/>
  <c r="F19" i="57"/>
  <c r="F20" i="57"/>
  <c r="F21" i="57"/>
  <c r="F22" i="57"/>
  <c r="F23" i="57"/>
  <c r="F24" i="57"/>
  <c r="F25" i="57"/>
  <c r="F26" i="57"/>
  <c r="F27" i="57"/>
  <c r="F28" i="57"/>
  <c r="F29" i="57"/>
  <c r="C30" i="57"/>
  <c r="D30" i="57"/>
  <c r="E121" i="57" s="1"/>
  <c r="C44" i="57"/>
  <c r="D44" i="57"/>
  <c r="E40" i="57" s="1"/>
  <c r="H69" i="57"/>
  <c r="T69" i="57" s="1"/>
  <c r="H72" i="57"/>
  <c r="T72" i="57" s="1"/>
  <c r="F85" i="57"/>
  <c r="R85" i="57" s="1"/>
  <c r="F88" i="57"/>
  <c r="R88" i="57" s="1"/>
  <c r="F90" i="57"/>
  <c r="R90" i="57" s="1"/>
  <c r="F92" i="57"/>
  <c r="R92" i="57" s="1"/>
  <c r="F94" i="57"/>
  <c r="R94" i="57" s="1"/>
  <c r="F96" i="57"/>
  <c r="R96" i="57" s="1"/>
  <c r="F104" i="57"/>
  <c r="R104" i="57" s="1"/>
  <c r="F105" i="57"/>
  <c r="R105" i="57" s="1"/>
  <c r="F106" i="57"/>
  <c r="R106" i="57" s="1"/>
  <c r="G113" i="57"/>
  <c r="T113" i="57" s="1"/>
  <c r="G114" i="57"/>
  <c r="H121" i="57"/>
  <c r="R121" i="57"/>
  <c r="R122" i="57" s="1"/>
  <c r="F122" i="57"/>
  <c r="H122" i="57"/>
  <c r="T122" i="57" s="1"/>
  <c r="I143" i="57"/>
  <c r="A152" i="57"/>
  <c r="A162" i="57"/>
  <c r="A164" i="57"/>
  <c r="A168" i="57"/>
  <c r="A172" i="57"/>
  <c r="A173" i="57"/>
  <c r="A174" i="57"/>
  <c r="A178" i="57"/>
  <c r="A179" i="57"/>
  <c r="A180" i="57"/>
  <c r="A182" i="57"/>
  <c r="A183" i="57"/>
  <c r="A184" i="57"/>
  <c r="A185" i="57"/>
  <c r="N1" i="56"/>
  <c r="A3" i="56"/>
  <c r="N3" i="56" s="1"/>
  <c r="F4" i="56"/>
  <c r="P4" i="56"/>
  <c r="N7" i="56"/>
  <c r="C8" i="56"/>
  <c r="P8" i="56" s="1"/>
  <c r="H8" i="56"/>
  <c r="T8" i="56" s="1"/>
  <c r="F14" i="56"/>
  <c r="F15" i="56"/>
  <c r="F16" i="56"/>
  <c r="F17" i="56"/>
  <c r="F18" i="56"/>
  <c r="F19" i="56"/>
  <c r="F20" i="56"/>
  <c r="F21" i="56"/>
  <c r="F22" i="56"/>
  <c r="F23" i="56"/>
  <c r="F24" i="56"/>
  <c r="F25" i="56"/>
  <c r="F26" i="56"/>
  <c r="F27" i="56"/>
  <c r="F28" i="56"/>
  <c r="F29" i="56"/>
  <c r="C30" i="56"/>
  <c r="D30" i="56"/>
  <c r="C44" i="56"/>
  <c r="D44" i="56"/>
  <c r="H69" i="56"/>
  <c r="T69" i="56" s="1"/>
  <c r="H72" i="56"/>
  <c r="T72" i="56" s="1"/>
  <c r="F85" i="56"/>
  <c r="R85" i="56" s="1"/>
  <c r="F88" i="56"/>
  <c r="R88" i="56" s="1"/>
  <c r="F90" i="56"/>
  <c r="R90" i="56" s="1"/>
  <c r="F92" i="56"/>
  <c r="F94" i="56"/>
  <c r="R94" i="56" s="1"/>
  <c r="F96" i="56"/>
  <c r="R96" i="56" s="1"/>
  <c r="F104" i="56"/>
  <c r="R104" i="56" s="1"/>
  <c r="F105" i="56"/>
  <c r="R105" i="56" s="1"/>
  <c r="F106" i="56"/>
  <c r="R106" i="56" s="1"/>
  <c r="G113" i="56"/>
  <c r="I113" i="56" s="1"/>
  <c r="G114" i="56"/>
  <c r="T114" i="56" s="1"/>
  <c r="U114" i="56" s="1"/>
  <c r="H121" i="56"/>
  <c r="T121" i="56" s="1"/>
  <c r="R121" i="56"/>
  <c r="R122" i="56" s="1"/>
  <c r="F122" i="56"/>
  <c r="H122" i="56"/>
  <c r="I143" i="56"/>
  <c r="A152" i="56"/>
  <c r="A162" i="56"/>
  <c r="A164" i="56"/>
  <c r="A168" i="56"/>
  <c r="A172" i="56"/>
  <c r="A173" i="56"/>
  <c r="A174" i="56"/>
  <c r="A178" i="56"/>
  <c r="A179" i="56"/>
  <c r="A180" i="56"/>
  <c r="A182" i="56"/>
  <c r="A183" i="56"/>
  <c r="A184" i="56"/>
  <c r="A185" i="56"/>
  <c r="N1" i="55"/>
  <c r="A3" i="55"/>
  <c r="N3" i="55" s="1"/>
  <c r="F4" i="55"/>
  <c r="P4" i="55"/>
  <c r="N7" i="55"/>
  <c r="C8" i="55"/>
  <c r="P8" i="55" s="1"/>
  <c r="H8" i="55"/>
  <c r="F14" i="55"/>
  <c r="F15" i="55"/>
  <c r="F16" i="55"/>
  <c r="F17" i="55"/>
  <c r="F18" i="55"/>
  <c r="F19" i="55"/>
  <c r="F20" i="55"/>
  <c r="F21" i="55"/>
  <c r="F22" i="55"/>
  <c r="F23" i="55"/>
  <c r="F24" i="55"/>
  <c r="F25" i="55"/>
  <c r="F26" i="55"/>
  <c r="F27" i="55"/>
  <c r="F28" i="55"/>
  <c r="F29" i="55"/>
  <c r="C30" i="55"/>
  <c r="D30" i="55"/>
  <c r="C44" i="55"/>
  <c r="D44" i="55"/>
  <c r="E38" i="55" s="1"/>
  <c r="H69" i="55"/>
  <c r="T69" i="55" s="1"/>
  <c r="H72" i="55"/>
  <c r="T72" i="55" s="1"/>
  <c r="F85" i="55"/>
  <c r="F88" i="55"/>
  <c r="R88" i="55" s="1"/>
  <c r="F90" i="55"/>
  <c r="F92" i="55"/>
  <c r="R92" i="55" s="1"/>
  <c r="F94" i="55"/>
  <c r="F96" i="55"/>
  <c r="R96" i="55" s="1"/>
  <c r="F104" i="55"/>
  <c r="R104" i="55" s="1"/>
  <c r="F105" i="55"/>
  <c r="R105" i="55" s="1"/>
  <c r="F106" i="55"/>
  <c r="R106" i="55" s="1"/>
  <c r="G113" i="55"/>
  <c r="T113" i="55" s="1"/>
  <c r="G114" i="55"/>
  <c r="T114" i="55" s="1"/>
  <c r="U114" i="55" s="1"/>
  <c r="H121" i="55"/>
  <c r="T121" i="55" s="1"/>
  <c r="R121" i="55"/>
  <c r="R122" i="55" s="1"/>
  <c r="F122" i="55"/>
  <c r="H122" i="55"/>
  <c r="T122" i="55" s="1"/>
  <c r="I143" i="55"/>
  <c r="A152" i="55"/>
  <c r="A162" i="55"/>
  <c r="A164" i="55"/>
  <c r="A168" i="55"/>
  <c r="A172" i="55"/>
  <c r="A173" i="55"/>
  <c r="A174" i="55"/>
  <c r="A178" i="55"/>
  <c r="A179" i="55"/>
  <c r="A180" i="55"/>
  <c r="A182" i="55"/>
  <c r="A183" i="55"/>
  <c r="A184" i="55"/>
  <c r="A185" i="55"/>
  <c r="N1" i="76"/>
  <c r="A3" i="76"/>
  <c r="N3" i="76" s="1"/>
  <c r="F4" i="76"/>
  <c r="P4" i="76"/>
  <c r="N7" i="76"/>
  <c r="C8" i="76"/>
  <c r="P8" i="76" s="1"/>
  <c r="H8" i="76"/>
  <c r="F14" i="76"/>
  <c r="F15" i="76"/>
  <c r="F16" i="76"/>
  <c r="F17" i="76"/>
  <c r="F18" i="76"/>
  <c r="F19" i="76"/>
  <c r="F20" i="76"/>
  <c r="F21" i="76"/>
  <c r="F22" i="76"/>
  <c r="F23" i="76"/>
  <c r="F24" i="76"/>
  <c r="F25" i="76"/>
  <c r="F26" i="76"/>
  <c r="F27" i="76"/>
  <c r="F28" i="76"/>
  <c r="F29" i="76"/>
  <c r="C30" i="76"/>
  <c r="D30" i="76"/>
  <c r="C44" i="76"/>
  <c r="D44" i="76"/>
  <c r="E41" i="76" s="1"/>
  <c r="H69" i="76"/>
  <c r="T69" i="76" s="1"/>
  <c r="H72" i="76"/>
  <c r="T72" i="76" s="1"/>
  <c r="F85" i="76"/>
  <c r="R85" i="76" s="1"/>
  <c r="F88" i="76"/>
  <c r="R88" i="76" s="1"/>
  <c r="F90" i="76"/>
  <c r="R90" i="76" s="1"/>
  <c r="F92" i="76"/>
  <c r="F94" i="76"/>
  <c r="R94" i="76" s="1"/>
  <c r="F96" i="76"/>
  <c r="R96" i="76" s="1"/>
  <c r="F104" i="76"/>
  <c r="R104" i="76" s="1"/>
  <c r="F105" i="76"/>
  <c r="R105" i="76" s="1"/>
  <c r="F106" i="76"/>
  <c r="R106" i="76" s="1"/>
  <c r="G113" i="76"/>
  <c r="I113" i="76" s="1"/>
  <c r="G114" i="76"/>
  <c r="H121" i="76"/>
  <c r="H123" i="76" s="1"/>
  <c r="R121" i="76"/>
  <c r="R122" i="76" s="1"/>
  <c r="F122" i="76"/>
  <c r="H122" i="76"/>
  <c r="T122" i="76" s="1"/>
  <c r="I143" i="76"/>
  <c r="A152" i="76"/>
  <c r="A162" i="76"/>
  <c r="A164" i="76"/>
  <c r="A168" i="76"/>
  <c r="A172" i="76"/>
  <c r="A173" i="76"/>
  <c r="A174" i="76"/>
  <c r="A178" i="76"/>
  <c r="A179" i="76"/>
  <c r="A180" i="76"/>
  <c r="A182" i="76"/>
  <c r="A183" i="76"/>
  <c r="A184" i="76"/>
  <c r="A185" i="76"/>
  <c r="N1" i="75"/>
  <c r="A3" i="75"/>
  <c r="N3" i="75" s="1"/>
  <c r="F4" i="75"/>
  <c r="P4" i="75"/>
  <c r="N7" i="75"/>
  <c r="C8" i="75"/>
  <c r="P8" i="75" s="1"/>
  <c r="H8" i="75"/>
  <c r="F14" i="75"/>
  <c r="F15" i="75"/>
  <c r="F16" i="75"/>
  <c r="F17" i="75"/>
  <c r="F18" i="75"/>
  <c r="F19" i="75"/>
  <c r="F20" i="75"/>
  <c r="F21" i="75"/>
  <c r="F22" i="75"/>
  <c r="F23" i="75"/>
  <c r="F24" i="75"/>
  <c r="F25" i="75"/>
  <c r="F26" i="75"/>
  <c r="F27" i="75"/>
  <c r="F28" i="75"/>
  <c r="F29" i="75"/>
  <c r="C30" i="75"/>
  <c r="D30" i="75"/>
  <c r="C44" i="75"/>
  <c r="D44" i="75"/>
  <c r="H69" i="75"/>
  <c r="T69" i="75" s="1"/>
  <c r="H72" i="75"/>
  <c r="T72" i="75" s="1"/>
  <c r="F85" i="75"/>
  <c r="F88" i="75"/>
  <c r="R88" i="75" s="1"/>
  <c r="F90" i="75"/>
  <c r="F92" i="75"/>
  <c r="R92" i="75" s="1"/>
  <c r="F94" i="75"/>
  <c r="R94" i="75" s="1"/>
  <c r="F96" i="75"/>
  <c r="R96" i="75" s="1"/>
  <c r="F104" i="75"/>
  <c r="R104" i="75" s="1"/>
  <c r="F105" i="75"/>
  <c r="R105" i="75" s="1"/>
  <c r="F106" i="75"/>
  <c r="R106" i="75" s="1"/>
  <c r="G113" i="75"/>
  <c r="I113" i="75" s="1"/>
  <c r="G114" i="75"/>
  <c r="T114" i="75" s="1"/>
  <c r="U114" i="75" s="1"/>
  <c r="H121" i="75"/>
  <c r="T121" i="75" s="1"/>
  <c r="R121" i="75"/>
  <c r="R122" i="75" s="1"/>
  <c r="F122" i="75"/>
  <c r="H122" i="75"/>
  <c r="I143" i="75"/>
  <c r="A152" i="75"/>
  <c r="A162" i="75"/>
  <c r="A164" i="75"/>
  <c r="A168" i="75"/>
  <c r="A172" i="75"/>
  <c r="A173" i="75"/>
  <c r="A174" i="75"/>
  <c r="A178" i="75"/>
  <c r="A179" i="75"/>
  <c r="A180" i="75"/>
  <c r="A182" i="75"/>
  <c r="A183" i="75"/>
  <c r="A184" i="75"/>
  <c r="A185" i="75"/>
  <c r="N1" i="52"/>
  <c r="A3" i="52"/>
  <c r="N3" i="52" s="1"/>
  <c r="F4" i="52"/>
  <c r="P4" i="52"/>
  <c r="N7" i="52"/>
  <c r="C8" i="52"/>
  <c r="P8" i="52" s="1"/>
  <c r="H8" i="52"/>
  <c r="T8" i="52" s="1"/>
  <c r="F14" i="52"/>
  <c r="F15" i="52"/>
  <c r="F16" i="52"/>
  <c r="F17" i="52"/>
  <c r="F18" i="52"/>
  <c r="F19" i="52"/>
  <c r="F20" i="52"/>
  <c r="F21" i="52"/>
  <c r="F22" i="52"/>
  <c r="F23" i="52"/>
  <c r="F24" i="52"/>
  <c r="F25" i="52"/>
  <c r="F26" i="52"/>
  <c r="F27" i="52"/>
  <c r="F28" i="52"/>
  <c r="F29" i="52"/>
  <c r="C30" i="52"/>
  <c r="D30" i="52"/>
  <c r="C44" i="52"/>
  <c r="D44" i="52"/>
  <c r="E42" i="52" s="1"/>
  <c r="H69" i="52"/>
  <c r="T69" i="52" s="1"/>
  <c r="H72" i="52"/>
  <c r="T72" i="52" s="1"/>
  <c r="F85" i="52"/>
  <c r="R85" i="52" s="1"/>
  <c r="F88" i="52"/>
  <c r="R88" i="52" s="1"/>
  <c r="F90" i="52"/>
  <c r="R90" i="52" s="1"/>
  <c r="F92" i="52"/>
  <c r="F94" i="52"/>
  <c r="F96" i="52"/>
  <c r="R96" i="52" s="1"/>
  <c r="F104" i="52"/>
  <c r="R104" i="52" s="1"/>
  <c r="F105" i="52"/>
  <c r="R105" i="52" s="1"/>
  <c r="F106" i="52"/>
  <c r="R106" i="52" s="1"/>
  <c r="G113" i="52"/>
  <c r="I113" i="52" s="1"/>
  <c r="G114" i="52"/>
  <c r="I114" i="52" s="1"/>
  <c r="H121" i="52"/>
  <c r="T121" i="52" s="1"/>
  <c r="R121" i="52"/>
  <c r="R122" i="52" s="1"/>
  <c r="F122" i="52"/>
  <c r="H122" i="52"/>
  <c r="T122" i="52" s="1"/>
  <c r="I143" i="52"/>
  <c r="A152" i="52"/>
  <c r="A162" i="52"/>
  <c r="A164" i="52"/>
  <c r="A168" i="52"/>
  <c r="A172" i="52"/>
  <c r="A173" i="52"/>
  <c r="A174" i="52"/>
  <c r="A178" i="52"/>
  <c r="A179" i="52"/>
  <c r="A180" i="52"/>
  <c r="A182" i="52"/>
  <c r="A183" i="52"/>
  <c r="A184" i="52"/>
  <c r="A185" i="52"/>
  <c r="N1" i="51"/>
  <c r="A3" i="51"/>
  <c r="N3" i="51" s="1"/>
  <c r="F4" i="51"/>
  <c r="P4" i="51"/>
  <c r="N7" i="51"/>
  <c r="C8" i="51"/>
  <c r="P8" i="51" s="1"/>
  <c r="H8" i="51"/>
  <c r="T8" i="51" s="1"/>
  <c r="P104" i="51" s="1"/>
  <c r="F14" i="51"/>
  <c r="F15" i="51"/>
  <c r="F16" i="51"/>
  <c r="F17" i="51"/>
  <c r="F18" i="51"/>
  <c r="F19" i="51"/>
  <c r="F20" i="51"/>
  <c r="F21" i="51"/>
  <c r="F22" i="51"/>
  <c r="F23" i="51"/>
  <c r="F24" i="51"/>
  <c r="F25" i="51"/>
  <c r="F26" i="51"/>
  <c r="F27" i="51"/>
  <c r="F28" i="51"/>
  <c r="F29" i="51"/>
  <c r="C30" i="51"/>
  <c r="D30" i="51"/>
  <c r="C44" i="51"/>
  <c r="D44" i="51"/>
  <c r="E40" i="51" s="1"/>
  <c r="H69" i="51"/>
  <c r="T69" i="51" s="1"/>
  <c r="H72" i="51"/>
  <c r="T72" i="51" s="1"/>
  <c r="F85" i="51"/>
  <c r="R85" i="51" s="1"/>
  <c r="F88" i="51"/>
  <c r="R88" i="51" s="1"/>
  <c r="F90" i="51"/>
  <c r="R90" i="51" s="1"/>
  <c r="F92" i="51"/>
  <c r="R92" i="51" s="1"/>
  <c r="F94" i="51"/>
  <c r="F96" i="51"/>
  <c r="F104" i="51"/>
  <c r="R104" i="51" s="1"/>
  <c r="F105" i="51"/>
  <c r="R105" i="51" s="1"/>
  <c r="F106" i="51"/>
  <c r="R106" i="51" s="1"/>
  <c r="G113" i="51"/>
  <c r="I113" i="51" s="1"/>
  <c r="G114" i="51"/>
  <c r="T114" i="51" s="1"/>
  <c r="U114" i="51" s="1"/>
  <c r="H121" i="51"/>
  <c r="T121" i="51" s="1"/>
  <c r="R121" i="51"/>
  <c r="R122" i="51" s="1"/>
  <c r="F122" i="51"/>
  <c r="H122" i="51"/>
  <c r="T122" i="51" s="1"/>
  <c r="I143" i="51"/>
  <c r="A152" i="51"/>
  <c r="A162" i="51"/>
  <c r="A164" i="51"/>
  <c r="A168" i="51"/>
  <c r="A172" i="51"/>
  <c r="A173" i="51"/>
  <c r="A174" i="51"/>
  <c r="A178" i="51"/>
  <c r="A179" i="51"/>
  <c r="A180" i="51"/>
  <c r="A182" i="51"/>
  <c r="A183" i="51"/>
  <c r="A184" i="51"/>
  <c r="A185" i="51"/>
  <c r="N1" i="50"/>
  <c r="A3" i="50"/>
  <c r="N3" i="50" s="1"/>
  <c r="F4" i="50"/>
  <c r="P4" i="50"/>
  <c r="N7" i="50"/>
  <c r="C8" i="50"/>
  <c r="P8" i="50" s="1"/>
  <c r="H8" i="50"/>
  <c r="E104" i="50" s="1"/>
  <c r="F14" i="50"/>
  <c r="F15" i="50"/>
  <c r="F16" i="50"/>
  <c r="F17" i="50"/>
  <c r="F18" i="50"/>
  <c r="F19" i="50"/>
  <c r="F20" i="50"/>
  <c r="F21" i="50"/>
  <c r="F22" i="50"/>
  <c r="F23" i="50"/>
  <c r="F24" i="50"/>
  <c r="F25" i="50"/>
  <c r="F26" i="50"/>
  <c r="F27" i="50"/>
  <c r="F28" i="50"/>
  <c r="F29" i="50"/>
  <c r="C30" i="50"/>
  <c r="D30" i="50"/>
  <c r="C44" i="50"/>
  <c r="D44" i="50"/>
  <c r="E40" i="50" s="1"/>
  <c r="H69" i="50"/>
  <c r="T69" i="50" s="1"/>
  <c r="H72" i="50"/>
  <c r="T72" i="50" s="1"/>
  <c r="F85" i="50"/>
  <c r="R85" i="50" s="1"/>
  <c r="F88" i="50"/>
  <c r="R88" i="50" s="1"/>
  <c r="F90" i="50"/>
  <c r="R90" i="50" s="1"/>
  <c r="F92" i="50"/>
  <c r="R92" i="50" s="1"/>
  <c r="F94" i="50"/>
  <c r="R94" i="50" s="1"/>
  <c r="F96" i="50"/>
  <c r="R96" i="50" s="1"/>
  <c r="F104" i="50"/>
  <c r="R104" i="50" s="1"/>
  <c r="F105" i="50"/>
  <c r="R105" i="50" s="1"/>
  <c r="F106" i="50"/>
  <c r="R106" i="50" s="1"/>
  <c r="G113" i="50"/>
  <c r="T113" i="50" s="1"/>
  <c r="G114" i="50"/>
  <c r="I114" i="50" s="1"/>
  <c r="H121" i="50"/>
  <c r="R121" i="50"/>
  <c r="R122" i="50" s="1"/>
  <c r="F122" i="50"/>
  <c r="H122" i="50"/>
  <c r="T122" i="50" s="1"/>
  <c r="I143" i="50"/>
  <c r="A152" i="50"/>
  <c r="A162" i="50"/>
  <c r="A164" i="50"/>
  <c r="A168" i="50"/>
  <c r="A172" i="50"/>
  <c r="A173" i="50"/>
  <c r="A174" i="50"/>
  <c r="A178" i="50"/>
  <c r="A179" i="50"/>
  <c r="A180" i="50"/>
  <c r="A182" i="50"/>
  <c r="A183" i="50"/>
  <c r="A184" i="50"/>
  <c r="A185" i="50"/>
  <c r="N1" i="48"/>
  <c r="A3" i="48"/>
  <c r="N3" i="48" s="1"/>
  <c r="F4" i="48"/>
  <c r="P4" i="48"/>
  <c r="N7" i="48"/>
  <c r="C8" i="48"/>
  <c r="P8" i="48" s="1"/>
  <c r="H8" i="48"/>
  <c r="F14" i="48"/>
  <c r="F15" i="48"/>
  <c r="F16" i="48"/>
  <c r="F17" i="48"/>
  <c r="F18" i="48"/>
  <c r="F19" i="48"/>
  <c r="F20" i="48"/>
  <c r="F21" i="48"/>
  <c r="F22" i="48"/>
  <c r="F23" i="48"/>
  <c r="F24" i="48"/>
  <c r="F25" i="48"/>
  <c r="F26" i="48"/>
  <c r="F27" i="48"/>
  <c r="F28" i="48"/>
  <c r="F29" i="48"/>
  <c r="C30" i="48"/>
  <c r="D30" i="48"/>
  <c r="C44" i="48"/>
  <c r="D44" i="48"/>
  <c r="H69" i="48"/>
  <c r="T69" i="48" s="1"/>
  <c r="H72" i="48"/>
  <c r="T72" i="48" s="1"/>
  <c r="F85" i="48"/>
  <c r="R85" i="48" s="1"/>
  <c r="F88" i="48"/>
  <c r="F90" i="48"/>
  <c r="R90" i="48" s="1"/>
  <c r="F92" i="48"/>
  <c r="F94" i="48"/>
  <c r="R94" i="48" s="1"/>
  <c r="F96" i="48"/>
  <c r="F104" i="48"/>
  <c r="R104" i="48" s="1"/>
  <c r="F105" i="48"/>
  <c r="R105" i="48" s="1"/>
  <c r="F106" i="48"/>
  <c r="R106" i="48" s="1"/>
  <c r="G113" i="48"/>
  <c r="T113" i="48" s="1"/>
  <c r="G114" i="48"/>
  <c r="I114" i="48" s="1"/>
  <c r="H121" i="48"/>
  <c r="R121" i="48"/>
  <c r="R122" i="48" s="1"/>
  <c r="F122" i="48"/>
  <c r="H122" i="48"/>
  <c r="I143" i="48"/>
  <c r="A152" i="48"/>
  <c r="A162" i="48"/>
  <c r="A164" i="48"/>
  <c r="A168" i="48"/>
  <c r="A172" i="48"/>
  <c r="A173" i="48"/>
  <c r="A174" i="48"/>
  <c r="A178" i="48"/>
  <c r="A179" i="48"/>
  <c r="A180" i="48"/>
  <c r="A182" i="48"/>
  <c r="A183" i="48"/>
  <c r="A184" i="48"/>
  <c r="A185" i="48"/>
  <c r="N1" i="47"/>
  <c r="A3" i="47"/>
  <c r="N3" i="47" s="1"/>
  <c r="F4" i="47"/>
  <c r="P4" i="47"/>
  <c r="N7" i="47"/>
  <c r="C8" i="47"/>
  <c r="P8" i="47" s="1"/>
  <c r="H8" i="47"/>
  <c r="F14" i="47"/>
  <c r="F15" i="47"/>
  <c r="F16" i="47"/>
  <c r="F17" i="47"/>
  <c r="F18" i="47"/>
  <c r="F19" i="47"/>
  <c r="F20" i="47"/>
  <c r="F21" i="47"/>
  <c r="F22" i="47"/>
  <c r="F23" i="47"/>
  <c r="F24" i="47"/>
  <c r="F25" i="47"/>
  <c r="F26" i="47"/>
  <c r="F27" i="47"/>
  <c r="F28" i="47"/>
  <c r="F29" i="47"/>
  <c r="C30" i="47"/>
  <c r="D30" i="47"/>
  <c r="C44" i="47"/>
  <c r="D44" i="47"/>
  <c r="H69" i="47"/>
  <c r="T69" i="47" s="1"/>
  <c r="H72" i="47"/>
  <c r="T72" i="47" s="1"/>
  <c r="F85" i="47"/>
  <c r="R85" i="47" s="1"/>
  <c r="F88" i="47"/>
  <c r="R88" i="47" s="1"/>
  <c r="F90" i="47"/>
  <c r="R90" i="47" s="1"/>
  <c r="F92" i="47"/>
  <c r="F94" i="47"/>
  <c r="R94" i="47" s="1"/>
  <c r="F96" i="47"/>
  <c r="R96" i="47" s="1"/>
  <c r="F104" i="47"/>
  <c r="R104" i="47" s="1"/>
  <c r="F105" i="47"/>
  <c r="R105" i="47" s="1"/>
  <c r="F106" i="47"/>
  <c r="R106" i="47" s="1"/>
  <c r="G113" i="47"/>
  <c r="T113" i="47" s="1"/>
  <c r="G114" i="47"/>
  <c r="I114" i="47" s="1"/>
  <c r="H121" i="47"/>
  <c r="R121" i="47"/>
  <c r="R122" i="47" s="1"/>
  <c r="F122" i="47"/>
  <c r="H122" i="47"/>
  <c r="T122" i="47" s="1"/>
  <c r="I143" i="47"/>
  <c r="A152" i="47"/>
  <c r="A162" i="47"/>
  <c r="A164" i="47"/>
  <c r="A168" i="47"/>
  <c r="A172" i="47"/>
  <c r="A173" i="47"/>
  <c r="A174" i="47"/>
  <c r="A178" i="47"/>
  <c r="A179" i="47"/>
  <c r="A180" i="47"/>
  <c r="A182" i="47"/>
  <c r="A183" i="47"/>
  <c r="A184" i="47"/>
  <c r="A185" i="47"/>
  <c r="N1" i="45"/>
  <c r="A3" i="45"/>
  <c r="N3" i="45" s="1"/>
  <c r="F4" i="45"/>
  <c r="P4" i="45"/>
  <c r="N7" i="45"/>
  <c r="C8" i="45"/>
  <c r="P8" i="45" s="1"/>
  <c r="H8" i="45"/>
  <c r="T8" i="45" s="1"/>
  <c r="P104" i="45" s="1"/>
  <c r="F14" i="45"/>
  <c r="F15" i="45"/>
  <c r="F16" i="45"/>
  <c r="F17" i="45"/>
  <c r="F18" i="45"/>
  <c r="F19" i="45"/>
  <c r="F20" i="45"/>
  <c r="F21" i="45"/>
  <c r="F22" i="45"/>
  <c r="F23" i="45"/>
  <c r="F24" i="45"/>
  <c r="F25" i="45"/>
  <c r="F26" i="45"/>
  <c r="F27" i="45"/>
  <c r="F28" i="45"/>
  <c r="F29" i="45"/>
  <c r="C30" i="45"/>
  <c r="D30" i="45"/>
  <c r="C44" i="45"/>
  <c r="D44" i="45"/>
  <c r="E40" i="45" s="1"/>
  <c r="H69" i="45"/>
  <c r="T69" i="45" s="1"/>
  <c r="H72" i="45"/>
  <c r="T72" i="45" s="1"/>
  <c r="F85" i="45"/>
  <c r="R85" i="45" s="1"/>
  <c r="F88" i="45"/>
  <c r="R88" i="45" s="1"/>
  <c r="F90" i="45"/>
  <c r="R90" i="45" s="1"/>
  <c r="F92" i="45"/>
  <c r="F94" i="45"/>
  <c r="F96" i="45"/>
  <c r="R96" i="45" s="1"/>
  <c r="F104" i="45"/>
  <c r="R104" i="45" s="1"/>
  <c r="F105" i="45"/>
  <c r="R105" i="45" s="1"/>
  <c r="F106" i="45"/>
  <c r="R106" i="45" s="1"/>
  <c r="G113" i="45"/>
  <c r="G114" i="45"/>
  <c r="I114" i="45" s="1"/>
  <c r="H121" i="45"/>
  <c r="R121" i="45"/>
  <c r="R122" i="45" s="1"/>
  <c r="F122" i="45"/>
  <c r="H122" i="45"/>
  <c r="T122" i="45" s="1"/>
  <c r="I143" i="45"/>
  <c r="A152" i="45"/>
  <c r="A162" i="45"/>
  <c r="A164" i="45"/>
  <c r="A168" i="45"/>
  <c r="A172" i="45"/>
  <c r="A173" i="45"/>
  <c r="A174" i="45"/>
  <c r="A178" i="45"/>
  <c r="A179" i="45"/>
  <c r="A180" i="45"/>
  <c r="A182" i="45"/>
  <c r="A183" i="45"/>
  <c r="A184" i="45"/>
  <c r="A185" i="45"/>
  <c r="N1" i="44"/>
  <c r="A3" i="44"/>
  <c r="N3" i="44" s="1"/>
  <c r="F4" i="44"/>
  <c r="P4" i="44"/>
  <c r="N7" i="44"/>
  <c r="C8" i="44"/>
  <c r="P8" i="44" s="1"/>
  <c r="H8" i="44"/>
  <c r="F14" i="44"/>
  <c r="F15" i="44"/>
  <c r="F16" i="44"/>
  <c r="F17" i="44"/>
  <c r="F18" i="44"/>
  <c r="F19" i="44"/>
  <c r="F20" i="44"/>
  <c r="F21" i="44"/>
  <c r="F22" i="44"/>
  <c r="F23" i="44"/>
  <c r="F24" i="44"/>
  <c r="F25" i="44"/>
  <c r="F26" i="44"/>
  <c r="F27" i="44"/>
  <c r="F28" i="44"/>
  <c r="F29" i="44"/>
  <c r="C30" i="44"/>
  <c r="D30" i="44"/>
  <c r="C44" i="44"/>
  <c r="D44" i="44"/>
  <c r="H69" i="44"/>
  <c r="T69" i="44" s="1"/>
  <c r="H72" i="44"/>
  <c r="T72" i="44" s="1"/>
  <c r="F85" i="44"/>
  <c r="R85" i="44" s="1"/>
  <c r="F88" i="44"/>
  <c r="F90" i="44"/>
  <c r="R90" i="44" s="1"/>
  <c r="F92" i="44"/>
  <c r="R92" i="44" s="1"/>
  <c r="F94" i="44"/>
  <c r="R94" i="44" s="1"/>
  <c r="F96" i="44"/>
  <c r="R96" i="44" s="1"/>
  <c r="F104" i="44"/>
  <c r="R104" i="44" s="1"/>
  <c r="F105" i="44"/>
  <c r="R105" i="44" s="1"/>
  <c r="F106" i="44"/>
  <c r="R106" i="44" s="1"/>
  <c r="G113" i="44"/>
  <c r="I113" i="44" s="1"/>
  <c r="G114" i="44"/>
  <c r="T114" i="44" s="1"/>
  <c r="U114" i="44" s="1"/>
  <c r="H121" i="44"/>
  <c r="H123" i="44" s="1"/>
  <c r="R121" i="44"/>
  <c r="R122" i="44" s="1"/>
  <c r="F122" i="44"/>
  <c r="H122" i="44"/>
  <c r="I143" i="44"/>
  <c r="A152" i="44"/>
  <c r="A162" i="44"/>
  <c r="A164" i="44"/>
  <c r="A168" i="44"/>
  <c r="A172" i="44"/>
  <c r="A173" i="44"/>
  <c r="A174" i="44"/>
  <c r="A178" i="44"/>
  <c r="A179" i="44"/>
  <c r="A180" i="44"/>
  <c r="A182" i="44"/>
  <c r="A183" i="44"/>
  <c r="A184" i="44"/>
  <c r="A185" i="44"/>
  <c r="N1" i="43"/>
  <c r="A3" i="43"/>
  <c r="N3" i="43" s="1"/>
  <c r="F4" i="43"/>
  <c r="P4" i="43"/>
  <c r="N7" i="43"/>
  <c r="C8" i="43"/>
  <c r="P8" i="43" s="1"/>
  <c r="H8" i="43"/>
  <c r="T8" i="43" s="1"/>
  <c r="F14" i="43"/>
  <c r="F15" i="43"/>
  <c r="F16" i="43"/>
  <c r="F17" i="43"/>
  <c r="F18" i="43"/>
  <c r="F19" i="43"/>
  <c r="F20" i="43"/>
  <c r="F21" i="43"/>
  <c r="F22" i="43"/>
  <c r="F23" i="43"/>
  <c r="F24" i="43"/>
  <c r="F25" i="43"/>
  <c r="F26" i="43"/>
  <c r="F27" i="43"/>
  <c r="F28" i="43"/>
  <c r="F29" i="43"/>
  <c r="C30" i="43"/>
  <c r="D30" i="43"/>
  <c r="C44" i="43"/>
  <c r="D44" i="43"/>
  <c r="E38" i="43" s="1"/>
  <c r="H69" i="43"/>
  <c r="T69" i="43" s="1"/>
  <c r="H72" i="43"/>
  <c r="T72" i="43" s="1"/>
  <c r="F85" i="43"/>
  <c r="R85" i="43" s="1"/>
  <c r="F88" i="43"/>
  <c r="R88" i="43" s="1"/>
  <c r="F90" i="43"/>
  <c r="R90" i="43" s="1"/>
  <c r="F92" i="43"/>
  <c r="R92" i="43" s="1"/>
  <c r="F94" i="43"/>
  <c r="R94" i="43" s="1"/>
  <c r="F96" i="43"/>
  <c r="R96" i="43" s="1"/>
  <c r="F104" i="43"/>
  <c r="R104" i="43" s="1"/>
  <c r="F105" i="43"/>
  <c r="R105" i="43" s="1"/>
  <c r="F106" i="43"/>
  <c r="R106" i="43" s="1"/>
  <c r="G113" i="43"/>
  <c r="G114" i="43"/>
  <c r="I114" i="43" s="1"/>
  <c r="H121" i="43"/>
  <c r="H123" i="43" s="1"/>
  <c r="R121" i="43"/>
  <c r="R122" i="43" s="1"/>
  <c r="F122" i="43"/>
  <c r="H122" i="43"/>
  <c r="T122" i="43" s="1"/>
  <c r="I143" i="43"/>
  <c r="A152" i="43"/>
  <c r="A162" i="43"/>
  <c r="A164" i="43"/>
  <c r="A168" i="43"/>
  <c r="A172" i="43"/>
  <c r="A173" i="43"/>
  <c r="A174" i="43"/>
  <c r="A178" i="43"/>
  <c r="A179" i="43"/>
  <c r="A180" i="43"/>
  <c r="A182" i="43"/>
  <c r="A183" i="43"/>
  <c r="A184" i="43"/>
  <c r="A185" i="43"/>
  <c r="N1" i="42"/>
  <c r="A3" i="42"/>
  <c r="N3" i="42" s="1"/>
  <c r="F4" i="42"/>
  <c r="P4" i="42"/>
  <c r="N7" i="42"/>
  <c r="C8" i="42"/>
  <c r="P8" i="42" s="1"/>
  <c r="H8" i="42"/>
  <c r="E106" i="42" s="1"/>
  <c r="F14" i="42"/>
  <c r="F15" i="42"/>
  <c r="F16" i="42"/>
  <c r="F17" i="42"/>
  <c r="F18" i="42"/>
  <c r="F19" i="42"/>
  <c r="F20" i="42"/>
  <c r="F21" i="42"/>
  <c r="F22" i="42"/>
  <c r="F23" i="42"/>
  <c r="F24" i="42"/>
  <c r="F25" i="42"/>
  <c r="F26" i="42"/>
  <c r="F27" i="42"/>
  <c r="F28" i="42"/>
  <c r="F29" i="42"/>
  <c r="C30" i="42"/>
  <c r="D30" i="42"/>
  <c r="C44" i="42"/>
  <c r="D44" i="42"/>
  <c r="E39" i="42" s="1"/>
  <c r="H69" i="42"/>
  <c r="T69" i="42" s="1"/>
  <c r="H72" i="42"/>
  <c r="T72" i="42" s="1"/>
  <c r="F85" i="42"/>
  <c r="F88" i="42"/>
  <c r="R88" i="42" s="1"/>
  <c r="F90" i="42"/>
  <c r="F92" i="42"/>
  <c r="R92" i="42" s="1"/>
  <c r="F94" i="42"/>
  <c r="F96" i="42"/>
  <c r="R96" i="42" s="1"/>
  <c r="F104" i="42"/>
  <c r="R104" i="42" s="1"/>
  <c r="F105" i="42"/>
  <c r="R105" i="42" s="1"/>
  <c r="F106" i="42"/>
  <c r="R106" i="42" s="1"/>
  <c r="G113" i="42"/>
  <c r="I113" i="42" s="1"/>
  <c r="G114" i="42"/>
  <c r="I114" i="42" s="1"/>
  <c r="H121" i="42"/>
  <c r="H123" i="42" s="1"/>
  <c r="T123" i="42" s="1"/>
  <c r="R121" i="42"/>
  <c r="R122" i="42" s="1"/>
  <c r="F122" i="42"/>
  <c r="H122" i="42"/>
  <c r="T122" i="42" s="1"/>
  <c r="I143" i="42"/>
  <c r="A152" i="42"/>
  <c r="A162" i="42"/>
  <c r="A164" i="42"/>
  <c r="A168" i="42"/>
  <c r="A172" i="42"/>
  <c r="A173" i="42"/>
  <c r="A174" i="42"/>
  <c r="A178" i="42"/>
  <c r="A179" i="42"/>
  <c r="A180" i="42"/>
  <c r="A182" i="42"/>
  <c r="A183" i="42"/>
  <c r="A184" i="42"/>
  <c r="A185" i="42"/>
  <c r="N1" i="40"/>
  <c r="A3" i="40"/>
  <c r="N3" i="40" s="1"/>
  <c r="F4" i="40"/>
  <c r="P4" i="40"/>
  <c r="N7" i="40"/>
  <c r="C8" i="40"/>
  <c r="P8" i="40" s="1"/>
  <c r="H8" i="40"/>
  <c r="F14" i="40"/>
  <c r="F15" i="40"/>
  <c r="F16" i="40"/>
  <c r="F17" i="40"/>
  <c r="F18" i="40"/>
  <c r="F19" i="40"/>
  <c r="F20" i="40"/>
  <c r="F21" i="40"/>
  <c r="F22" i="40"/>
  <c r="F23" i="40"/>
  <c r="F24" i="40"/>
  <c r="F25" i="40"/>
  <c r="F26" i="40"/>
  <c r="F27" i="40"/>
  <c r="F28" i="40"/>
  <c r="F29" i="40"/>
  <c r="C30" i="40"/>
  <c r="D30" i="40"/>
  <c r="E121" i="40" s="1"/>
  <c r="C44" i="40"/>
  <c r="D44" i="40"/>
  <c r="E38" i="40" s="1"/>
  <c r="H69" i="40"/>
  <c r="T69" i="40" s="1"/>
  <c r="H72" i="40"/>
  <c r="T72" i="40" s="1"/>
  <c r="F85" i="40"/>
  <c r="R85" i="40" s="1"/>
  <c r="F88" i="40"/>
  <c r="R88" i="40" s="1"/>
  <c r="F90" i="40"/>
  <c r="R90" i="40" s="1"/>
  <c r="F92" i="40"/>
  <c r="R92" i="40" s="1"/>
  <c r="F94" i="40"/>
  <c r="F96" i="40"/>
  <c r="R96" i="40" s="1"/>
  <c r="F104" i="40"/>
  <c r="R104" i="40" s="1"/>
  <c r="F105" i="40"/>
  <c r="R105" i="40" s="1"/>
  <c r="F106" i="40"/>
  <c r="R106" i="40" s="1"/>
  <c r="G113" i="40"/>
  <c r="I113" i="40" s="1"/>
  <c r="G114" i="40"/>
  <c r="I114" i="40" s="1"/>
  <c r="H121" i="40"/>
  <c r="H123" i="40" s="1"/>
  <c r="T123" i="40" s="1"/>
  <c r="R121" i="40"/>
  <c r="R122" i="40" s="1"/>
  <c r="F122" i="40"/>
  <c r="H122" i="40"/>
  <c r="I143" i="40"/>
  <c r="A152" i="40"/>
  <c r="A162" i="40"/>
  <c r="A164" i="40"/>
  <c r="A168" i="40"/>
  <c r="A172" i="40"/>
  <c r="A173" i="40"/>
  <c r="A174" i="40"/>
  <c r="A178" i="40"/>
  <c r="A179" i="40"/>
  <c r="A180" i="40"/>
  <c r="A182" i="40"/>
  <c r="A183" i="40"/>
  <c r="A184" i="40"/>
  <c r="A185" i="40"/>
  <c r="N1" i="39"/>
  <c r="A3" i="39"/>
  <c r="N3" i="39" s="1"/>
  <c r="F4" i="39"/>
  <c r="P4" i="39"/>
  <c r="N7" i="39"/>
  <c r="C8" i="39"/>
  <c r="P8" i="39" s="1"/>
  <c r="H8" i="39"/>
  <c r="E104" i="39" s="1"/>
  <c r="F14" i="39"/>
  <c r="F15" i="39"/>
  <c r="F16" i="39"/>
  <c r="F17" i="39"/>
  <c r="F18" i="39"/>
  <c r="F19" i="39"/>
  <c r="F20" i="39"/>
  <c r="F21" i="39"/>
  <c r="F22" i="39"/>
  <c r="F23" i="39"/>
  <c r="F24" i="39"/>
  <c r="F25" i="39"/>
  <c r="F26" i="39"/>
  <c r="F27" i="39"/>
  <c r="F28" i="39"/>
  <c r="F29" i="39"/>
  <c r="C30" i="39"/>
  <c r="D30" i="39"/>
  <c r="C44" i="39"/>
  <c r="D44" i="39"/>
  <c r="E39" i="39" s="1"/>
  <c r="H69" i="39"/>
  <c r="T69" i="39" s="1"/>
  <c r="H72" i="39"/>
  <c r="T72" i="39" s="1"/>
  <c r="F85" i="39"/>
  <c r="F88" i="39"/>
  <c r="R88" i="39" s="1"/>
  <c r="F90" i="39"/>
  <c r="F92" i="39"/>
  <c r="R92" i="39" s="1"/>
  <c r="F94" i="39"/>
  <c r="R94" i="39" s="1"/>
  <c r="F96" i="39"/>
  <c r="R96" i="39" s="1"/>
  <c r="F104" i="39"/>
  <c r="R104" i="39" s="1"/>
  <c r="F105" i="39"/>
  <c r="R105" i="39" s="1"/>
  <c r="F106" i="39"/>
  <c r="R106" i="39" s="1"/>
  <c r="G113" i="39"/>
  <c r="I113" i="39" s="1"/>
  <c r="G114" i="39"/>
  <c r="H121" i="39"/>
  <c r="T121" i="39" s="1"/>
  <c r="R121" i="39"/>
  <c r="R122" i="39" s="1"/>
  <c r="F122" i="39"/>
  <c r="H122" i="39"/>
  <c r="I143" i="39"/>
  <c r="A152" i="39"/>
  <c r="A162" i="39"/>
  <c r="A164" i="39"/>
  <c r="A168" i="39"/>
  <c r="A172" i="39"/>
  <c r="A173" i="39"/>
  <c r="A174" i="39"/>
  <c r="A178" i="39"/>
  <c r="A179" i="39"/>
  <c r="A180" i="39"/>
  <c r="A182" i="39"/>
  <c r="A183" i="39"/>
  <c r="A184" i="39"/>
  <c r="A185" i="39"/>
  <c r="N1" i="38"/>
  <c r="A3" i="38"/>
  <c r="N3" i="38" s="1"/>
  <c r="F4" i="38"/>
  <c r="P4" i="38"/>
  <c r="N7" i="38"/>
  <c r="C8" i="38"/>
  <c r="P8" i="38" s="1"/>
  <c r="H8" i="38"/>
  <c r="E104" i="38" s="1"/>
  <c r="F14" i="38"/>
  <c r="F15" i="38"/>
  <c r="F16" i="38"/>
  <c r="F17" i="38"/>
  <c r="F18" i="38"/>
  <c r="F19" i="38"/>
  <c r="F20" i="38"/>
  <c r="F21" i="38"/>
  <c r="F22" i="38"/>
  <c r="F23" i="38"/>
  <c r="F24" i="38"/>
  <c r="F25" i="38"/>
  <c r="F26" i="38"/>
  <c r="F27" i="38"/>
  <c r="F28" i="38"/>
  <c r="F29" i="38"/>
  <c r="C30" i="38"/>
  <c r="D30" i="38"/>
  <c r="C44" i="38"/>
  <c r="D44" i="38"/>
  <c r="E40" i="38" s="1"/>
  <c r="H69" i="38"/>
  <c r="T69" i="38" s="1"/>
  <c r="H72" i="38"/>
  <c r="T72" i="38" s="1"/>
  <c r="F85" i="38"/>
  <c r="R85" i="38" s="1"/>
  <c r="F88" i="38"/>
  <c r="R88" i="38" s="1"/>
  <c r="F90" i="38"/>
  <c r="R90" i="38" s="1"/>
  <c r="F92" i="38"/>
  <c r="R92" i="38" s="1"/>
  <c r="F94" i="38"/>
  <c r="R94" i="38" s="1"/>
  <c r="F96" i="38"/>
  <c r="R96" i="38" s="1"/>
  <c r="F104" i="38"/>
  <c r="R104" i="38" s="1"/>
  <c r="F105" i="38"/>
  <c r="R105" i="38" s="1"/>
  <c r="F106" i="38"/>
  <c r="R106" i="38" s="1"/>
  <c r="G113" i="38"/>
  <c r="G114" i="38"/>
  <c r="I114" i="38" s="1"/>
  <c r="H121" i="38"/>
  <c r="R121" i="38"/>
  <c r="R122" i="38" s="1"/>
  <c r="F122" i="38"/>
  <c r="H122" i="38"/>
  <c r="I143" i="38"/>
  <c r="A152" i="38"/>
  <c r="A162" i="38"/>
  <c r="A164" i="38"/>
  <c r="A168" i="38"/>
  <c r="A172" i="38"/>
  <c r="A173" i="38"/>
  <c r="A174" i="38"/>
  <c r="A178" i="38"/>
  <c r="A179" i="38"/>
  <c r="A180" i="38"/>
  <c r="A182" i="38"/>
  <c r="A183" i="38"/>
  <c r="A184" i="38"/>
  <c r="A185" i="38"/>
  <c r="N1" i="37"/>
  <c r="A3" i="37"/>
  <c r="N3" i="37" s="1"/>
  <c r="F4" i="37"/>
  <c r="P4" i="37"/>
  <c r="N7" i="37"/>
  <c r="C8" i="37"/>
  <c r="P8" i="37" s="1"/>
  <c r="H8" i="37"/>
  <c r="F14" i="37"/>
  <c r="F15" i="37"/>
  <c r="F16" i="37"/>
  <c r="F17" i="37"/>
  <c r="F18" i="37"/>
  <c r="F19" i="37"/>
  <c r="F20" i="37"/>
  <c r="F21" i="37"/>
  <c r="F22" i="37"/>
  <c r="F23" i="37"/>
  <c r="F24" i="37"/>
  <c r="F25" i="37"/>
  <c r="F26" i="37"/>
  <c r="F27" i="37"/>
  <c r="F28" i="37"/>
  <c r="F29" i="37"/>
  <c r="C30" i="37"/>
  <c r="D30" i="37"/>
  <c r="C44" i="37"/>
  <c r="D44" i="37"/>
  <c r="H69" i="37"/>
  <c r="T69" i="37" s="1"/>
  <c r="H72" i="37"/>
  <c r="T72" i="37" s="1"/>
  <c r="F85" i="37"/>
  <c r="R85" i="37" s="1"/>
  <c r="F88" i="37"/>
  <c r="F90" i="37"/>
  <c r="R90" i="37" s="1"/>
  <c r="F92" i="37"/>
  <c r="R92" i="37" s="1"/>
  <c r="F94" i="37"/>
  <c r="F96" i="37"/>
  <c r="F104" i="37"/>
  <c r="R104" i="37" s="1"/>
  <c r="F105" i="37"/>
  <c r="R105" i="37" s="1"/>
  <c r="F106" i="37"/>
  <c r="R106" i="37" s="1"/>
  <c r="G113" i="37"/>
  <c r="G114" i="37"/>
  <c r="I114" i="37" s="1"/>
  <c r="H121" i="37"/>
  <c r="R121" i="37"/>
  <c r="R122" i="37" s="1"/>
  <c r="F122" i="37"/>
  <c r="H122" i="37"/>
  <c r="T122" i="37" s="1"/>
  <c r="I143" i="37"/>
  <c r="A152" i="37"/>
  <c r="A162" i="37"/>
  <c r="A164" i="37"/>
  <c r="A168" i="37"/>
  <c r="A172" i="37"/>
  <c r="A173" i="37"/>
  <c r="A174" i="37"/>
  <c r="A178" i="37"/>
  <c r="A179" i="37"/>
  <c r="A180" i="37"/>
  <c r="A182" i="37"/>
  <c r="A183" i="37"/>
  <c r="A184" i="37"/>
  <c r="A185" i="37"/>
  <c r="N1" i="36"/>
  <c r="A3" i="36"/>
  <c r="N3" i="36" s="1"/>
  <c r="F4" i="36"/>
  <c r="P4" i="36"/>
  <c r="N7" i="36"/>
  <c r="C8" i="36"/>
  <c r="P8" i="36" s="1"/>
  <c r="H8" i="36"/>
  <c r="F14" i="36"/>
  <c r="F15" i="36"/>
  <c r="F16" i="36"/>
  <c r="F17" i="36"/>
  <c r="F18" i="36"/>
  <c r="F19" i="36"/>
  <c r="F20" i="36"/>
  <c r="F21" i="36"/>
  <c r="F22" i="36"/>
  <c r="F23" i="36"/>
  <c r="F24" i="36"/>
  <c r="F25" i="36"/>
  <c r="F26" i="36"/>
  <c r="F27" i="36"/>
  <c r="F28" i="36"/>
  <c r="F29" i="36"/>
  <c r="C30" i="36"/>
  <c r="D30" i="36"/>
  <c r="E121" i="36" s="1"/>
  <c r="C44" i="36"/>
  <c r="D44" i="36"/>
  <c r="H69" i="36"/>
  <c r="T69" i="36" s="1"/>
  <c r="H72" i="36"/>
  <c r="T72" i="36" s="1"/>
  <c r="F85" i="36"/>
  <c r="R85" i="36" s="1"/>
  <c r="F88" i="36"/>
  <c r="R88" i="36" s="1"/>
  <c r="F90" i="36"/>
  <c r="R90" i="36" s="1"/>
  <c r="F92" i="36"/>
  <c r="R92" i="36" s="1"/>
  <c r="F94" i="36"/>
  <c r="F96" i="36"/>
  <c r="R96" i="36" s="1"/>
  <c r="F104" i="36"/>
  <c r="R104" i="36" s="1"/>
  <c r="F105" i="36"/>
  <c r="R105" i="36" s="1"/>
  <c r="F106" i="36"/>
  <c r="R106" i="36" s="1"/>
  <c r="G113" i="36"/>
  <c r="T113" i="36" s="1"/>
  <c r="G114" i="36"/>
  <c r="H121" i="36"/>
  <c r="R121" i="36"/>
  <c r="R122" i="36" s="1"/>
  <c r="F122" i="36"/>
  <c r="H122" i="36"/>
  <c r="T122" i="36" s="1"/>
  <c r="I143" i="36"/>
  <c r="A152" i="36"/>
  <c r="A162" i="36"/>
  <c r="A164" i="36"/>
  <c r="A168" i="36"/>
  <c r="A172" i="36"/>
  <c r="A173" i="36"/>
  <c r="A174" i="36"/>
  <c r="A178" i="36"/>
  <c r="A179" i="36"/>
  <c r="A180" i="36"/>
  <c r="A182" i="36"/>
  <c r="A183" i="36"/>
  <c r="A184" i="36"/>
  <c r="A185" i="36"/>
  <c r="N1" i="23"/>
  <c r="A3" i="23"/>
  <c r="N3" i="23" s="1"/>
  <c r="F4" i="23"/>
  <c r="P4" i="23"/>
  <c r="N7" i="23"/>
  <c r="C8" i="23"/>
  <c r="P8" i="23" s="1"/>
  <c r="H8" i="23"/>
  <c r="E105" i="23" s="1"/>
  <c r="F14" i="23"/>
  <c r="F15" i="23"/>
  <c r="F16" i="23"/>
  <c r="F17" i="23"/>
  <c r="F18" i="23"/>
  <c r="F19" i="23"/>
  <c r="F20" i="23"/>
  <c r="F21" i="23"/>
  <c r="F22" i="23"/>
  <c r="F23" i="23"/>
  <c r="F24" i="23"/>
  <c r="F25" i="23"/>
  <c r="F26" i="23"/>
  <c r="F27" i="23"/>
  <c r="F28" i="23"/>
  <c r="F29" i="23"/>
  <c r="C30" i="23"/>
  <c r="D30" i="23"/>
  <c r="C44" i="23"/>
  <c r="D44" i="23"/>
  <c r="E39" i="23" s="1"/>
  <c r="H69" i="23"/>
  <c r="T69" i="23" s="1"/>
  <c r="H72" i="23"/>
  <c r="T72" i="23" s="1"/>
  <c r="F85" i="23"/>
  <c r="R85" i="23" s="1"/>
  <c r="F88" i="23"/>
  <c r="F90" i="23"/>
  <c r="R90" i="23" s="1"/>
  <c r="F92" i="23"/>
  <c r="F94" i="23"/>
  <c r="R94" i="23" s="1"/>
  <c r="F96" i="23"/>
  <c r="F104" i="23"/>
  <c r="R104" i="23" s="1"/>
  <c r="F105" i="23"/>
  <c r="R105" i="23" s="1"/>
  <c r="F106" i="23"/>
  <c r="R106" i="23" s="1"/>
  <c r="G113" i="23"/>
  <c r="T113" i="23" s="1"/>
  <c r="G114" i="23"/>
  <c r="I114" i="23" s="1"/>
  <c r="H121" i="23"/>
  <c r="T121" i="23" s="1"/>
  <c r="R121" i="23"/>
  <c r="R122" i="23" s="1"/>
  <c r="F122" i="23"/>
  <c r="H122" i="23"/>
  <c r="T122" i="23" s="1"/>
  <c r="I143" i="23"/>
  <c r="A152" i="23"/>
  <c r="A162" i="23"/>
  <c r="A164" i="23"/>
  <c r="A168" i="23"/>
  <c r="A172" i="23"/>
  <c r="A173" i="23"/>
  <c r="A174" i="23"/>
  <c r="A178" i="23"/>
  <c r="A179" i="23"/>
  <c r="A180" i="23"/>
  <c r="A182" i="23"/>
  <c r="A183" i="23"/>
  <c r="A184" i="23"/>
  <c r="A185" i="23"/>
  <c r="N1" i="35"/>
  <c r="A3" i="35"/>
  <c r="N3" i="35" s="1"/>
  <c r="F4" i="35"/>
  <c r="P4" i="35"/>
  <c r="N7" i="35"/>
  <c r="C8" i="35"/>
  <c r="P8" i="35" s="1"/>
  <c r="H8" i="35"/>
  <c r="T8" i="35" s="1"/>
  <c r="F14" i="35"/>
  <c r="F15" i="35"/>
  <c r="F16" i="35"/>
  <c r="F17" i="35"/>
  <c r="F18" i="35"/>
  <c r="F19" i="35"/>
  <c r="F20" i="35"/>
  <c r="F21" i="35"/>
  <c r="F22" i="35"/>
  <c r="F23" i="35"/>
  <c r="F24" i="35"/>
  <c r="F25" i="35"/>
  <c r="F26" i="35"/>
  <c r="F27" i="35"/>
  <c r="F28" i="35"/>
  <c r="F29" i="35"/>
  <c r="C30" i="35"/>
  <c r="D30" i="35"/>
  <c r="C44" i="35"/>
  <c r="D44" i="35"/>
  <c r="E40" i="35" s="1"/>
  <c r="H69" i="35"/>
  <c r="T69" i="35" s="1"/>
  <c r="H72" i="35"/>
  <c r="T72" i="35" s="1"/>
  <c r="F85" i="35"/>
  <c r="R85" i="35" s="1"/>
  <c r="F88" i="35"/>
  <c r="R88" i="35" s="1"/>
  <c r="F90" i="35"/>
  <c r="R90" i="35" s="1"/>
  <c r="F92" i="35"/>
  <c r="R92" i="35" s="1"/>
  <c r="F94" i="35"/>
  <c r="R94" i="35" s="1"/>
  <c r="F96" i="35"/>
  <c r="R96" i="35" s="1"/>
  <c r="F104" i="35"/>
  <c r="R104" i="35" s="1"/>
  <c r="F105" i="35"/>
  <c r="R105" i="35" s="1"/>
  <c r="F106" i="35"/>
  <c r="R106" i="35" s="1"/>
  <c r="G113" i="35"/>
  <c r="G114" i="35"/>
  <c r="T114" i="35" s="1"/>
  <c r="U114" i="35" s="1"/>
  <c r="H121" i="35"/>
  <c r="R121" i="35"/>
  <c r="R122" i="35" s="1"/>
  <c r="F122" i="35"/>
  <c r="H122" i="35"/>
  <c r="T122" i="35" s="1"/>
  <c r="I143" i="35"/>
  <c r="A152" i="35"/>
  <c r="A162" i="35"/>
  <c r="A164" i="35"/>
  <c r="A168" i="35"/>
  <c r="A172" i="35"/>
  <c r="A173" i="35"/>
  <c r="A174" i="35"/>
  <c r="A178" i="35"/>
  <c r="A179" i="35"/>
  <c r="A180" i="35"/>
  <c r="A182" i="35"/>
  <c r="A183" i="35"/>
  <c r="A184" i="35"/>
  <c r="A185" i="35"/>
  <c r="N1" i="34"/>
  <c r="A3" i="34"/>
  <c r="N3" i="34" s="1"/>
  <c r="F4" i="34"/>
  <c r="P4" i="34"/>
  <c r="N7" i="34"/>
  <c r="C8" i="34"/>
  <c r="P8" i="34" s="1"/>
  <c r="H8" i="34"/>
  <c r="E106" i="34" s="1"/>
  <c r="F14" i="34"/>
  <c r="F15" i="34"/>
  <c r="F16" i="34"/>
  <c r="F17" i="34"/>
  <c r="F18" i="34"/>
  <c r="F19" i="34"/>
  <c r="F20" i="34"/>
  <c r="F21" i="34"/>
  <c r="F22" i="34"/>
  <c r="F23" i="34"/>
  <c r="F24" i="34"/>
  <c r="F25" i="34"/>
  <c r="F26" i="34"/>
  <c r="F27" i="34"/>
  <c r="F28" i="34"/>
  <c r="F29" i="34"/>
  <c r="C30" i="34"/>
  <c r="D30" i="34"/>
  <c r="C44" i="34"/>
  <c r="D44" i="34"/>
  <c r="H69" i="34"/>
  <c r="T69" i="34" s="1"/>
  <c r="H72" i="34"/>
  <c r="T72" i="34" s="1"/>
  <c r="F85" i="34"/>
  <c r="F88" i="34"/>
  <c r="R88" i="34" s="1"/>
  <c r="F90" i="34"/>
  <c r="F92" i="34"/>
  <c r="R92" i="34" s="1"/>
  <c r="F94" i="34"/>
  <c r="F96" i="34"/>
  <c r="F104" i="34"/>
  <c r="R104" i="34" s="1"/>
  <c r="F105" i="34"/>
  <c r="R105" i="34" s="1"/>
  <c r="F106" i="34"/>
  <c r="R106" i="34" s="1"/>
  <c r="G113" i="34"/>
  <c r="G114" i="34"/>
  <c r="T114" i="34" s="1"/>
  <c r="U114" i="34" s="1"/>
  <c r="H121" i="34"/>
  <c r="R121" i="34"/>
  <c r="R122" i="34" s="1"/>
  <c r="F122" i="34"/>
  <c r="H122" i="34"/>
  <c r="T122" i="34" s="1"/>
  <c r="I143" i="34"/>
  <c r="A152" i="34"/>
  <c r="A162" i="34"/>
  <c r="A164" i="34"/>
  <c r="A168" i="34"/>
  <c r="A172" i="34"/>
  <c r="A173" i="34"/>
  <c r="A174" i="34"/>
  <c r="A178" i="34"/>
  <c r="A179" i="34"/>
  <c r="A180" i="34"/>
  <c r="A182" i="34"/>
  <c r="A183" i="34"/>
  <c r="A184" i="34"/>
  <c r="A185" i="34"/>
  <c r="N1" i="33"/>
  <c r="A3" i="33"/>
  <c r="N3" i="33" s="1"/>
  <c r="F4" i="33"/>
  <c r="P4" i="33"/>
  <c r="N7" i="33"/>
  <c r="C8" i="33"/>
  <c r="P8" i="33" s="1"/>
  <c r="H8" i="33"/>
  <c r="E104" i="33" s="1"/>
  <c r="F14" i="33"/>
  <c r="F15" i="33"/>
  <c r="F16" i="33"/>
  <c r="F17" i="33"/>
  <c r="F18" i="33"/>
  <c r="F19" i="33"/>
  <c r="F20" i="33"/>
  <c r="F21" i="33"/>
  <c r="F22" i="33"/>
  <c r="F23" i="33"/>
  <c r="F24" i="33"/>
  <c r="F25" i="33"/>
  <c r="F26" i="33"/>
  <c r="F27" i="33"/>
  <c r="F28" i="33"/>
  <c r="F29" i="33"/>
  <c r="C30" i="33"/>
  <c r="D30" i="33"/>
  <c r="C44" i="33"/>
  <c r="D44" i="33"/>
  <c r="E38" i="33" s="1"/>
  <c r="H69" i="33"/>
  <c r="T69" i="33" s="1"/>
  <c r="H72" i="33"/>
  <c r="T72" i="33" s="1"/>
  <c r="F85" i="33"/>
  <c r="R85" i="33" s="1"/>
  <c r="F88" i="33"/>
  <c r="R88" i="33" s="1"/>
  <c r="F90" i="33"/>
  <c r="R90" i="33" s="1"/>
  <c r="F92" i="33"/>
  <c r="F94" i="33"/>
  <c r="R94" i="33" s="1"/>
  <c r="F96" i="33"/>
  <c r="R96" i="33" s="1"/>
  <c r="F104" i="33"/>
  <c r="R104" i="33" s="1"/>
  <c r="F105" i="33"/>
  <c r="R105" i="33" s="1"/>
  <c r="F106" i="33"/>
  <c r="R106" i="33" s="1"/>
  <c r="G113" i="33"/>
  <c r="I113" i="33" s="1"/>
  <c r="G114" i="33"/>
  <c r="H121" i="33"/>
  <c r="R121" i="33"/>
  <c r="R122" i="33" s="1"/>
  <c r="F122" i="33"/>
  <c r="H122" i="33"/>
  <c r="T122" i="33" s="1"/>
  <c r="I143" i="33"/>
  <c r="A152" i="33"/>
  <c r="A162" i="33"/>
  <c r="A164" i="33"/>
  <c r="A168" i="33"/>
  <c r="A172" i="33"/>
  <c r="A173" i="33"/>
  <c r="A174" i="33"/>
  <c r="A178" i="33"/>
  <c r="A179" i="33"/>
  <c r="A180" i="33"/>
  <c r="A182" i="33"/>
  <c r="A183" i="33"/>
  <c r="A184" i="33"/>
  <c r="A185" i="33"/>
  <c r="N1" i="32"/>
  <c r="A3" i="32"/>
  <c r="N3" i="32" s="1"/>
  <c r="F4" i="32"/>
  <c r="P4" i="32"/>
  <c r="N7" i="32"/>
  <c r="C8" i="32"/>
  <c r="P8" i="32" s="1"/>
  <c r="H8" i="32"/>
  <c r="T8" i="32" s="1"/>
  <c r="P104" i="32" s="1"/>
  <c r="F14" i="32"/>
  <c r="F15" i="32"/>
  <c r="F16" i="32"/>
  <c r="F17" i="32"/>
  <c r="F18" i="32"/>
  <c r="F19" i="32"/>
  <c r="F20" i="32"/>
  <c r="F21" i="32"/>
  <c r="F22" i="32"/>
  <c r="F23" i="32"/>
  <c r="F24" i="32"/>
  <c r="F25" i="32"/>
  <c r="F26" i="32"/>
  <c r="F27" i="32"/>
  <c r="F28" i="32"/>
  <c r="F29" i="32"/>
  <c r="C30" i="32"/>
  <c r="D30" i="32"/>
  <c r="C44" i="32"/>
  <c r="D44" i="32"/>
  <c r="T69" i="32"/>
  <c r="T72" i="32"/>
  <c r="F85" i="32"/>
  <c r="R85" i="32" s="1"/>
  <c r="F88" i="32"/>
  <c r="R88" i="32" s="1"/>
  <c r="F90" i="32"/>
  <c r="R90" i="32" s="1"/>
  <c r="F92" i="32"/>
  <c r="F94" i="32"/>
  <c r="R94" i="32" s="1"/>
  <c r="F96" i="32"/>
  <c r="R96" i="32" s="1"/>
  <c r="F104" i="32"/>
  <c r="R104" i="32" s="1"/>
  <c r="F105" i="32"/>
  <c r="R105" i="32" s="1"/>
  <c r="F106" i="32"/>
  <c r="R106" i="32" s="1"/>
  <c r="G113" i="32"/>
  <c r="I113" i="32" s="1"/>
  <c r="G114" i="32"/>
  <c r="I114" i="32" s="1"/>
  <c r="H121" i="32"/>
  <c r="H123" i="32" s="1"/>
  <c r="T123" i="32" s="1"/>
  <c r="R121" i="32"/>
  <c r="R122" i="32" s="1"/>
  <c r="F122" i="32"/>
  <c r="H122" i="32"/>
  <c r="T122" i="32" s="1"/>
  <c r="I143" i="32"/>
  <c r="A152" i="32"/>
  <c r="A162" i="32"/>
  <c r="A164" i="32"/>
  <c r="A168" i="32"/>
  <c r="A172" i="32"/>
  <c r="A173" i="32"/>
  <c r="A174" i="32"/>
  <c r="A178" i="32"/>
  <c r="A179" i="32"/>
  <c r="A180" i="32"/>
  <c r="A182" i="32"/>
  <c r="A183" i="32"/>
  <c r="A184" i="32"/>
  <c r="A185" i="32"/>
  <c r="N1" i="31"/>
  <c r="A3" i="31"/>
  <c r="N3" i="31" s="1"/>
  <c r="F4" i="31"/>
  <c r="P4" i="31"/>
  <c r="N7" i="31"/>
  <c r="C8" i="31"/>
  <c r="P8" i="31" s="1"/>
  <c r="H8" i="31"/>
  <c r="T8" i="31" s="1"/>
  <c r="F14" i="31"/>
  <c r="F15" i="31"/>
  <c r="F16" i="31"/>
  <c r="F17" i="31"/>
  <c r="F18" i="31"/>
  <c r="F19" i="31"/>
  <c r="F20" i="31"/>
  <c r="F21" i="31"/>
  <c r="F22" i="31"/>
  <c r="F23" i="31"/>
  <c r="F24" i="31"/>
  <c r="F25" i="31"/>
  <c r="F26" i="31"/>
  <c r="F27" i="31"/>
  <c r="F28" i="31"/>
  <c r="F29" i="31"/>
  <c r="C30" i="31"/>
  <c r="D30" i="31"/>
  <c r="C44" i="31"/>
  <c r="D44" i="31"/>
  <c r="E42" i="31" s="1"/>
  <c r="H69" i="31"/>
  <c r="T69" i="31" s="1"/>
  <c r="H72" i="31"/>
  <c r="T72" i="31" s="1"/>
  <c r="F85" i="31"/>
  <c r="R85" i="31" s="1"/>
  <c r="F88" i="31"/>
  <c r="R88" i="31" s="1"/>
  <c r="F90" i="31"/>
  <c r="R90" i="31" s="1"/>
  <c r="F92" i="31"/>
  <c r="R92" i="31" s="1"/>
  <c r="F94" i="31"/>
  <c r="R94" i="31" s="1"/>
  <c r="F96" i="31"/>
  <c r="R96" i="31" s="1"/>
  <c r="F104" i="31"/>
  <c r="R104" i="31" s="1"/>
  <c r="F105" i="31"/>
  <c r="R105" i="31" s="1"/>
  <c r="F106" i="31"/>
  <c r="R106" i="31" s="1"/>
  <c r="G113" i="31"/>
  <c r="T113" i="31" s="1"/>
  <c r="G114" i="31"/>
  <c r="I114" i="31" s="1"/>
  <c r="H121" i="31"/>
  <c r="R121" i="31"/>
  <c r="R122" i="31" s="1"/>
  <c r="F122" i="31"/>
  <c r="H122" i="31"/>
  <c r="T122" i="31" s="1"/>
  <c r="I143" i="31"/>
  <c r="A152" i="31"/>
  <c r="A162" i="31"/>
  <c r="A164" i="31"/>
  <c r="A168" i="31"/>
  <c r="A172" i="31"/>
  <c r="A173" i="31"/>
  <c r="A174" i="31"/>
  <c r="A178" i="31"/>
  <c r="A179" i="31"/>
  <c r="A180" i="31"/>
  <c r="A182" i="31"/>
  <c r="A183" i="31"/>
  <c r="A184" i="31"/>
  <c r="A185" i="31"/>
  <c r="N1" i="28"/>
  <c r="A3" i="28"/>
  <c r="N3" i="28" s="1"/>
  <c r="F4" i="28"/>
  <c r="P4" i="28"/>
  <c r="N7" i="28"/>
  <c r="C8" i="28"/>
  <c r="P8" i="28" s="1"/>
  <c r="H8" i="28"/>
  <c r="F14" i="28"/>
  <c r="F15" i="28"/>
  <c r="F16" i="28"/>
  <c r="F17" i="28"/>
  <c r="F18" i="28"/>
  <c r="F19" i="28"/>
  <c r="F20" i="28"/>
  <c r="F21" i="28"/>
  <c r="F22" i="28"/>
  <c r="F23" i="28"/>
  <c r="F24" i="28"/>
  <c r="F25" i="28"/>
  <c r="F26" i="28"/>
  <c r="F27" i="28"/>
  <c r="F28" i="28"/>
  <c r="F29" i="28"/>
  <c r="C30" i="28"/>
  <c r="D30" i="28"/>
  <c r="C44" i="28"/>
  <c r="D44" i="28"/>
  <c r="E38" i="28" s="1"/>
  <c r="H69" i="28"/>
  <c r="T69" i="28" s="1"/>
  <c r="H72" i="28"/>
  <c r="T72" i="28" s="1"/>
  <c r="F85" i="28"/>
  <c r="R85" i="28" s="1"/>
  <c r="F88" i="28"/>
  <c r="F90" i="28"/>
  <c r="R90" i="28" s="1"/>
  <c r="F92" i="28"/>
  <c r="R92" i="28" s="1"/>
  <c r="F94" i="28"/>
  <c r="R94" i="28" s="1"/>
  <c r="F96" i="28"/>
  <c r="F104" i="28"/>
  <c r="R104" i="28" s="1"/>
  <c r="F105" i="28"/>
  <c r="R105" i="28" s="1"/>
  <c r="F106" i="28"/>
  <c r="R106" i="28" s="1"/>
  <c r="G113" i="28"/>
  <c r="T113" i="28" s="1"/>
  <c r="G114" i="28"/>
  <c r="I114" i="28" s="1"/>
  <c r="H121" i="28"/>
  <c r="H123" i="28" s="1"/>
  <c r="R121" i="28"/>
  <c r="R122" i="28" s="1"/>
  <c r="F122" i="28"/>
  <c r="H122" i="28"/>
  <c r="T122" i="28" s="1"/>
  <c r="I143" i="28"/>
  <c r="A152" i="28"/>
  <c r="A162" i="28"/>
  <c r="A164" i="28"/>
  <c r="A168" i="28"/>
  <c r="A172" i="28"/>
  <c r="A173" i="28"/>
  <c r="A174" i="28"/>
  <c r="A178" i="28"/>
  <c r="A179" i="28"/>
  <c r="A180" i="28"/>
  <c r="A182" i="28"/>
  <c r="A183" i="28"/>
  <c r="A184" i="28"/>
  <c r="A185" i="28"/>
  <c r="N1" i="27"/>
  <c r="A3" i="27"/>
  <c r="N3" i="27" s="1"/>
  <c r="F4" i="27"/>
  <c r="P4" i="27"/>
  <c r="N7" i="27"/>
  <c r="C8" i="27"/>
  <c r="P8" i="27" s="1"/>
  <c r="H8" i="27"/>
  <c r="F14" i="27"/>
  <c r="F15" i="27"/>
  <c r="F16" i="27"/>
  <c r="F17" i="27"/>
  <c r="F18" i="27"/>
  <c r="F19" i="27"/>
  <c r="F20" i="27"/>
  <c r="F21" i="27"/>
  <c r="F22" i="27"/>
  <c r="F23" i="27"/>
  <c r="F24" i="27"/>
  <c r="F25" i="27"/>
  <c r="F26" i="27"/>
  <c r="F27" i="27"/>
  <c r="F28" i="27"/>
  <c r="F29" i="27"/>
  <c r="C30" i="27"/>
  <c r="D30" i="27"/>
  <c r="C44" i="27"/>
  <c r="D44" i="27"/>
  <c r="H69" i="27"/>
  <c r="T69" i="27" s="1"/>
  <c r="H72" i="27"/>
  <c r="T72" i="27" s="1"/>
  <c r="F85" i="27"/>
  <c r="R85" i="27" s="1"/>
  <c r="F88" i="27"/>
  <c r="R88" i="27" s="1"/>
  <c r="F90" i="27"/>
  <c r="R90" i="27" s="1"/>
  <c r="F92" i="27"/>
  <c r="F94" i="27"/>
  <c r="R94" i="27" s="1"/>
  <c r="F96" i="27"/>
  <c r="R96" i="27" s="1"/>
  <c r="F104" i="27"/>
  <c r="R104" i="27" s="1"/>
  <c r="F105" i="27"/>
  <c r="R105" i="27" s="1"/>
  <c r="F106" i="27"/>
  <c r="R106" i="27" s="1"/>
  <c r="G113" i="27"/>
  <c r="I113" i="27" s="1"/>
  <c r="G114" i="27"/>
  <c r="I114" i="27" s="1"/>
  <c r="H121" i="27"/>
  <c r="H123" i="27" s="1"/>
  <c r="T123" i="27" s="1"/>
  <c r="R121" i="27"/>
  <c r="R122" i="27" s="1"/>
  <c r="F122" i="27"/>
  <c r="H122" i="27"/>
  <c r="T122" i="27" s="1"/>
  <c r="I143" i="27"/>
  <c r="A152" i="27"/>
  <c r="A162" i="27"/>
  <c r="A164" i="27"/>
  <c r="A168" i="27"/>
  <c r="A172" i="27"/>
  <c r="A173" i="27"/>
  <c r="A174" i="27"/>
  <c r="A178" i="27"/>
  <c r="A179" i="27"/>
  <c r="A180" i="27"/>
  <c r="A182" i="27"/>
  <c r="A183" i="27"/>
  <c r="A184" i="27"/>
  <c r="A185" i="27"/>
  <c r="N1" i="26"/>
  <c r="A3" i="26"/>
  <c r="N3" i="26" s="1"/>
  <c r="F4" i="26"/>
  <c r="P4" i="26"/>
  <c r="N7" i="26"/>
  <c r="C8" i="26"/>
  <c r="P8" i="26" s="1"/>
  <c r="H8" i="26"/>
  <c r="T8" i="26" s="1"/>
  <c r="F14" i="26"/>
  <c r="F15" i="26"/>
  <c r="F16" i="26"/>
  <c r="F17" i="26"/>
  <c r="F18" i="26"/>
  <c r="F19" i="26"/>
  <c r="F20" i="26"/>
  <c r="F21" i="26"/>
  <c r="F22" i="26"/>
  <c r="F23" i="26"/>
  <c r="F24" i="26"/>
  <c r="F25" i="26"/>
  <c r="F26" i="26"/>
  <c r="F27" i="26"/>
  <c r="F28" i="26"/>
  <c r="F29" i="26"/>
  <c r="C30" i="26"/>
  <c r="D30" i="26"/>
  <c r="C44" i="26"/>
  <c r="D44" i="26"/>
  <c r="E40" i="26" s="1"/>
  <c r="H69" i="26"/>
  <c r="T69" i="26" s="1"/>
  <c r="H72" i="26"/>
  <c r="T72" i="26" s="1"/>
  <c r="F85" i="26"/>
  <c r="R85" i="26" s="1"/>
  <c r="F88" i="26"/>
  <c r="R88" i="26" s="1"/>
  <c r="F90" i="26"/>
  <c r="R90" i="26" s="1"/>
  <c r="F92" i="26"/>
  <c r="R92" i="26" s="1"/>
  <c r="F94" i="26"/>
  <c r="R94" i="26" s="1"/>
  <c r="F96" i="26"/>
  <c r="R96" i="26" s="1"/>
  <c r="F104" i="26"/>
  <c r="R104" i="26" s="1"/>
  <c r="F105" i="26"/>
  <c r="R105" i="26" s="1"/>
  <c r="F106" i="26"/>
  <c r="R106" i="26" s="1"/>
  <c r="G113" i="26"/>
  <c r="I113" i="26" s="1"/>
  <c r="G114" i="26"/>
  <c r="I114" i="26" s="1"/>
  <c r="H121" i="26"/>
  <c r="R121" i="26"/>
  <c r="R122" i="26" s="1"/>
  <c r="F122" i="26"/>
  <c r="H122" i="26"/>
  <c r="T122" i="26" s="1"/>
  <c r="I143" i="26"/>
  <c r="A152" i="26"/>
  <c r="A162" i="26"/>
  <c r="A164" i="26"/>
  <c r="A168" i="26"/>
  <c r="A172" i="26"/>
  <c r="A173" i="26"/>
  <c r="A174" i="26"/>
  <c r="A178" i="26"/>
  <c r="A179" i="26"/>
  <c r="A180" i="26"/>
  <c r="A182" i="26"/>
  <c r="A183" i="26"/>
  <c r="A184" i="26"/>
  <c r="A185" i="26"/>
  <c r="N1" i="22"/>
  <c r="A3" i="22"/>
  <c r="N3" i="22" s="1"/>
  <c r="F4" i="22"/>
  <c r="P4" i="22"/>
  <c r="N7" i="22"/>
  <c r="C8" i="22"/>
  <c r="P8" i="22" s="1"/>
  <c r="H8" i="22"/>
  <c r="E104" i="22" s="1"/>
  <c r="F14" i="22"/>
  <c r="F15" i="22"/>
  <c r="F16" i="22"/>
  <c r="F17" i="22"/>
  <c r="F18" i="22"/>
  <c r="F19" i="22"/>
  <c r="F20" i="22"/>
  <c r="F21" i="22"/>
  <c r="F22" i="22"/>
  <c r="F23" i="22"/>
  <c r="F24" i="22"/>
  <c r="F25" i="22"/>
  <c r="F26" i="22"/>
  <c r="F27" i="22"/>
  <c r="F28" i="22"/>
  <c r="F29" i="22"/>
  <c r="C30" i="22"/>
  <c r="D30" i="22"/>
  <c r="C44" i="22"/>
  <c r="D44" i="22"/>
  <c r="E43" i="22" s="1"/>
  <c r="H69" i="22"/>
  <c r="T69" i="22" s="1"/>
  <c r="H72" i="22"/>
  <c r="T72" i="22" s="1"/>
  <c r="F85" i="22"/>
  <c r="R85" i="22" s="1"/>
  <c r="F88" i="22"/>
  <c r="F90" i="22"/>
  <c r="R90" i="22" s="1"/>
  <c r="F92" i="22"/>
  <c r="R92" i="22" s="1"/>
  <c r="F94" i="22"/>
  <c r="R94" i="22" s="1"/>
  <c r="F96" i="22"/>
  <c r="F104" i="22"/>
  <c r="R104" i="22" s="1"/>
  <c r="F105" i="22"/>
  <c r="R105" i="22" s="1"/>
  <c r="F106" i="22"/>
  <c r="R106" i="22" s="1"/>
  <c r="G113" i="22"/>
  <c r="G114" i="22"/>
  <c r="I114" i="22" s="1"/>
  <c r="H121" i="22"/>
  <c r="T121" i="22" s="1"/>
  <c r="R121" i="22"/>
  <c r="R122" i="22" s="1"/>
  <c r="F122" i="22"/>
  <c r="H122" i="22"/>
  <c r="T122" i="22" s="1"/>
  <c r="I143" i="22"/>
  <c r="A152" i="22"/>
  <c r="A162" i="22"/>
  <c r="A164" i="22"/>
  <c r="A168" i="22"/>
  <c r="A172" i="22"/>
  <c r="A173" i="22"/>
  <c r="A174" i="22"/>
  <c r="A178" i="22"/>
  <c r="A179" i="22"/>
  <c r="A180" i="22"/>
  <c r="A182" i="22"/>
  <c r="A183" i="22"/>
  <c r="A184" i="22"/>
  <c r="A185" i="22"/>
  <c r="N1" i="24"/>
  <c r="A3" i="24"/>
  <c r="N3" i="24" s="1"/>
  <c r="F4" i="24"/>
  <c r="P4" i="24"/>
  <c r="N7" i="24"/>
  <c r="C8" i="24"/>
  <c r="P8" i="24" s="1"/>
  <c r="H8" i="24"/>
  <c r="E105" i="24" s="1"/>
  <c r="F14" i="24"/>
  <c r="F15" i="24"/>
  <c r="F16" i="24"/>
  <c r="F17" i="24"/>
  <c r="F18" i="24"/>
  <c r="F19" i="24"/>
  <c r="F20" i="24"/>
  <c r="F21" i="24"/>
  <c r="F22" i="24"/>
  <c r="F23" i="24"/>
  <c r="F24" i="24"/>
  <c r="F25" i="24"/>
  <c r="F26" i="24"/>
  <c r="F27" i="24"/>
  <c r="F28" i="24"/>
  <c r="F29" i="24"/>
  <c r="C30" i="24"/>
  <c r="D30" i="24"/>
  <c r="C44" i="24"/>
  <c r="D44" i="24"/>
  <c r="E39" i="24" s="1"/>
  <c r="H69" i="24"/>
  <c r="T69" i="24" s="1"/>
  <c r="H72" i="24"/>
  <c r="T72" i="24" s="1"/>
  <c r="F85" i="24"/>
  <c r="R85" i="24" s="1"/>
  <c r="F88" i="24"/>
  <c r="R88" i="24" s="1"/>
  <c r="F90" i="24"/>
  <c r="R90" i="24" s="1"/>
  <c r="F92" i="24"/>
  <c r="R92" i="24" s="1"/>
  <c r="F94" i="24"/>
  <c r="R94" i="24" s="1"/>
  <c r="F96" i="24"/>
  <c r="R96" i="24" s="1"/>
  <c r="F104" i="24"/>
  <c r="R104" i="24" s="1"/>
  <c r="F105" i="24"/>
  <c r="R105" i="24" s="1"/>
  <c r="F106" i="24"/>
  <c r="R106" i="24" s="1"/>
  <c r="G113" i="24"/>
  <c r="T113" i="24" s="1"/>
  <c r="G114" i="24"/>
  <c r="I114" i="24" s="1"/>
  <c r="H121" i="24"/>
  <c r="H123" i="24" s="1"/>
  <c r="R121" i="24"/>
  <c r="R122" i="24" s="1"/>
  <c r="F122" i="24"/>
  <c r="H122" i="24"/>
  <c r="T122" i="24" s="1"/>
  <c r="I143" i="24"/>
  <c r="A152" i="24"/>
  <c r="A162" i="24"/>
  <c r="A164" i="24"/>
  <c r="A168" i="24"/>
  <c r="A172" i="24"/>
  <c r="A173" i="24"/>
  <c r="A174" i="24"/>
  <c r="A178" i="24"/>
  <c r="A179" i="24"/>
  <c r="A180" i="24"/>
  <c r="A182" i="24"/>
  <c r="A183" i="24"/>
  <c r="A184" i="24"/>
  <c r="A185" i="24"/>
  <c r="N1" i="25"/>
  <c r="A3" i="25"/>
  <c r="N3" i="25" s="1"/>
  <c r="F4" i="25"/>
  <c r="P4" i="25"/>
  <c r="N7" i="25"/>
  <c r="C8" i="25"/>
  <c r="P8" i="25" s="1"/>
  <c r="H8" i="25"/>
  <c r="T8" i="25" s="1"/>
  <c r="P104" i="25" s="1"/>
  <c r="F14" i="25"/>
  <c r="F15" i="25"/>
  <c r="F16" i="25"/>
  <c r="F17" i="25"/>
  <c r="F18" i="25"/>
  <c r="F19" i="25"/>
  <c r="F20" i="25"/>
  <c r="F21" i="25"/>
  <c r="F22" i="25"/>
  <c r="F23" i="25"/>
  <c r="F24" i="25"/>
  <c r="F25" i="25"/>
  <c r="F26" i="25"/>
  <c r="F27" i="25"/>
  <c r="F28" i="25"/>
  <c r="F29" i="25"/>
  <c r="C30" i="25"/>
  <c r="D30" i="25"/>
  <c r="C44" i="25"/>
  <c r="D44" i="25"/>
  <c r="H69" i="25"/>
  <c r="T69" i="25" s="1"/>
  <c r="H72" i="25"/>
  <c r="T72" i="25" s="1"/>
  <c r="F85" i="25"/>
  <c r="R85" i="25" s="1"/>
  <c r="F88" i="25"/>
  <c r="R88" i="25" s="1"/>
  <c r="F90" i="25"/>
  <c r="R90" i="25" s="1"/>
  <c r="F92" i="25"/>
  <c r="R92" i="25" s="1"/>
  <c r="F94" i="25"/>
  <c r="R94" i="25" s="1"/>
  <c r="F96" i="25"/>
  <c r="R96" i="25" s="1"/>
  <c r="F104" i="25"/>
  <c r="R104" i="25" s="1"/>
  <c r="F105" i="25"/>
  <c r="R105" i="25" s="1"/>
  <c r="F106" i="25"/>
  <c r="R106" i="25" s="1"/>
  <c r="G113" i="25"/>
  <c r="T113" i="25" s="1"/>
  <c r="G114" i="25"/>
  <c r="I114" i="25" s="1"/>
  <c r="H121" i="25"/>
  <c r="R121" i="25"/>
  <c r="R122" i="25" s="1"/>
  <c r="F122" i="25"/>
  <c r="H122" i="25"/>
  <c r="T122" i="25" s="1"/>
  <c r="I143" i="25"/>
  <c r="A152" i="25"/>
  <c r="A162" i="25"/>
  <c r="A164" i="25"/>
  <c r="A168" i="25"/>
  <c r="A172" i="25"/>
  <c r="A173" i="25"/>
  <c r="A174" i="25"/>
  <c r="A178" i="25"/>
  <c r="A179" i="25"/>
  <c r="A180" i="25"/>
  <c r="A182" i="25"/>
  <c r="A183" i="25"/>
  <c r="A184" i="25"/>
  <c r="A185" i="25"/>
  <c r="N1" i="21"/>
  <c r="A3" i="21"/>
  <c r="N3" i="21" s="1"/>
  <c r="F4" i="21"/>
  <c r="P4" i="21"/>
  <c r="N7" i="21"/>
  <c r="C8" i="21"/>
  <c r="P8" i="21" s="1"/>
  <c r="H8" i="21"/>
  <c r="E104" i="21" s="1"/>
  <c r="F14" i="21"/>
  <c r="F15" i="21"/>
  <c r="F16" i="21"/>
  <c r="F17" i="21"/>
  <c r="F18" i="21"/>
  <c r="F19" i="21"/>
  <c r="F20" i="21"/>
  <c r="F21" i="21"/>
  <c r="F22" i="21"/>
  <c r="F23" i="21"/>
  <c r="F24" i="21"/>
  <c r="F25" i="21"/>
  <c r="F26" i="21"/>
  <c r="F27" i="21"/>
  <c r="F28" i="21"/>
  <c r="F29" i="21"/>
  <c r="C30" i="21"/>
  <c r="D30" i="21"/>
  <c r="C44" i="21"/>
  <c r="D44" i="21"/>
  <c r="E40" i="21" s="1"/>
  <c r="H69" i="21"/>
  <c r="T69" i="21" s="1"/>
  <c r="H72" i="21"/>
  <c r="T72" i="21" s="1"/>
  <c r="F85" i="21"/>
  <c r="R85" i="21" s="1"/>
  <c r="F88" i="21"/>
  <c r="F90" i="21"/>
  <c r="R90" i="21" s="1"/>
  <c r="F92" i="21"/>
  <c r="F94" i="21"/>
  <c r="R94" i="21" s="1"/>
  <c r="F96" i="21"/>
  <c r="F104" i="21"/>
  <c r="R104" i="21" s="1"/>
  <c r="F105" i="21"/>
  <c r="R105" i="21" s="1"/>
  <c r="F106" i="21"/>
  <c r="R106" i="21" s="1"/>
  <c r="G113" i="21"/>
  <c r="T113" i="21" s="1"/>
  <c r="G114" i="21"/>
  <c r="I114" i="21" s="1"/>
  <c r="H121" i="21"/>
  <c r="R121" i="21"/>
  <c r="R122" i="21" s="1"/>
  <c r="F122" i="21"/>
  <c r="H122" i="21"/>
  <c r="T122" i="21" s="1"/>
  <c r="I143" i="21"/>
  <c r="A152" i="21"/>
  <c r="A162" i="21"/>
  <c r="A164" i="21"/>
  <c r="A168" i="21"/>
  <c r="A172" i="21"/>
  <c r="A173" i="21"/>
  <c r="A174" i="21"/>
  <c r="A178" i="21"/>
  <c r="A179" i="21"/>
  <c r="A180" i="21"/>
  <c r="A182" i="21"/>
  <c r="A183" i="21"/>
  <c r="A184" i="21"/>
  <c r="A185" i="21"/>
  <c r="N1" i="20"/>
  <c r="A3" i="20"/>
  <c r="N3" i="20" s="1"/>
  <c r="F4" i="20"/>
  <c r="P4" i="20"/>
  <c r="N7" i="20"/>
  <c r="C8" i="20"/>
  <c r="P8" i="20" s="1"/>
  <c r="H8" i="20"/>
  <c r="T8" i="20" s="1"/>
  <c r="F14" i="20"/>
  <c r="F15" i="20"/>
  <c r="F16" i="20"/>
  <c r="F17" i="20"/>
  <c r="F18" i="20"/>
  <c r="F19" i="20"/>
  <c r="F20" i="20"/>
  <c r="F21" i="20"/>
  <c r="F22" i="20"/>
  <c r="F23" i="20"/>
  <c r="F24" i="20"/>
  <c r="F25" i="20"/>
  <c r="F26" i="20"/>
  <c r="F27" i="20"/>
  <c r="F28" i="20"/>
  <c r="F29" i="20"/>
  <c r="C30" i="20"/>
  <c r="D30" i="20"/>
  <c r="C44" i="20"/>
  <c r="D44" i="20"/>
  <c r="E38" i="20" s="1"/>
  <c r="H69" i="20"/>
  <c r="T69" i="20" s="1"/>
  <c r="H72" i="20"/>
  <c r="T72" i="20" s="1"/>
  <c r="F85" i="20"/>
  <c r="R85" i="20" s="1"/>
  <c r="F88" i="20"/>
  <c r="R88" i="20" s="1"/>
  <c r="F90" i="20"/>
  <c r="R90" i="20" s="1"/>
  <c r="F92" i="20"/>
  <c r="R92" i="20" s="1"/>
  <c r="F94" i="20"/>
  <c r="R94" i="20" s="1"/>
  <c r="F96" i="20"/>
  <c r="R96" i="20" s="1"/>
  <c r="F104" i="20"/>
  <c r="R104" i="20" s="1"/>
  <c r="F105" i="20"/>
  <c r="R105" i="20" s="1"/>
  <c r="F106" i="20"/>
  <c r="R106" i="20" s="1"/>
  <c r="G113" i="20"/>
  <c r="G114" i="20"/>
  <c r="H121" i="20"/>
  <c r="H123" i="20" s="1"/>
  <c r="T123" i="20" s="1"/>
  <c r="R121" i="20"/>
  <c r="R122" i="20" s="1"/>
  <c r="F122" i="20"/>
  <c r="H122" i="20"/>
  <c r="T122" i="20" s="1"/>
  <c r="I143" i="20"/>
  <c r="A152" i="20"/>
  <c r="A162" i="20"/>
  <c r="A164" i="20"/>
  <c r="A168" i="20"/>
  <c r="A172" i="20"/>
  <c r="A173" i="20"/>
  <c r="A174" i="20"/>
  <c r="A178" i="20"/>
  <c r="A179" i="20"/>
  <c r="A180" i="20"/>
  <c r="A182" i="20"/>
  <c r="A183" i="20"/>
  <c r="A184" i="20"/>
  <c r="A185" i="20"/>
  <c r="N1" i="18"/>
  <c r="A3" i="18"/>
  <c r="N3" i="18" s="1"/>
  <c r="F4" i="18"/>
  <c r="P4" i="18"/>
  <c r="N7" i="18"/>
  <c r="C8" i="18"/>
  <c r="P8" i="18" s="1"/>
  <c r="H8" i="18"/>
  <c r="T8" i="18" s="1"/>
  <c r="P106" i="18" s="1"/>
  <c r="F14" i="18"/>
  <c r="F15" i="18"/>
  <c r="F16" i="18"/>
  <c r="F17" i="18"/>
  <c r="F18" i="18"/>
  <c r="F19" i="18"/>
  <c r="F20" i="18"/>
  <c r="F21" i="18"/>
  <c r="F22" i="18"/>
  <c r="F23" i="18"/>
  <c r="F24" i="18"/>
  <c r="F25" i="18"/>
  <c r="F26" i="18"/>
  <c r="F27" i="18"/>
  <c r="F28" i="18"/>
  <c r="F29" i="18"/>
  <c r="C30" i="18"/>
  <c r="D30" i="18"/>
  <c r="E15" i="18" s="1"/>
  <c r="C44" i="18"/>
  <c r="D44" i="18"/>
  <c r="E38" i="18" s="1"/>
  <c r="H69" i="18"/>
  <c r="T69" i="18" s="1"/>
  <c r="H72" i="18"/>
  <c r="T72" i="18" s="1"/>
  <c r="F85" i="18"/>
  <c r="R85" i="18" s="1"/>
  <c r="F88" i="18"/>
  <c r="R88" i="18" s="1"/>
  <c r="F90" i="18"/>
  <c r="R90" i="18" s="1"/>
  <c r="F92" i="18"/>
  <c r="R92" i="18" s="1"/>
  <c r="F94" i="18"/>
  <c r="F96" i="18"/>
  <c r="R96" i="18" s="1"/>
  <c r="F104" i="18"/>
  <c r="R104" i="18" s="1"/>
  <c r="F105" i="18"/>
  <c r="R105" i="18" s="1"/>
  <c r="F106" i="18"/>
  <c r="R106" i="18" s="1"/>
  <c r="G113" i="18"/>
  <c r="T113" i="18" s="1"/>
  <c r="G114" i="18"/>
  <c r="I114" i="18" s="1"/>
  <c r="H121" i="18"/>
  <c r="R121" i="18"/>
  <c r="R122" i="18" s="1"/>
  <c r="F122" i="18"/>
  <c r="H122" i="18"/>
  <c r="I143" i="18"/>
  <c r="A152" i="18"/>
  <c r="A162" i="18"/>
  <c r="A164" i="18"/>
  <c r="A168" i="18"/>
  <c r="A172" i="18"/>
  <c r="A173" i="18"/>
  <c r="A174" i="18"/>
  <c r="A178" i="18"/>
  <c r="A179" i="18"/>
  <c r="A180" i="18"/>
  <c r="A182" i="18"/>
  <c r="A183" i="18"/>
  <c r="A184" i="18"/>
  <c r="A185" i="18"/>
  <c r="N1" i="17"/>
  <c r="A3" i="17"/>
  <c r="N3" i="17" s="1"/>
  <c r="F4" i="17"/>
  <c r="P4" i="17"/>
  <c r="N7" i="17"/>
  <c r="C8" i="17"/>
  <c r="P8" i="17" s="1"/>
  <c r="H8" i="17"/>
  <c r="E105" i="17" s="1"/>
  <c r="F14" i="17"/>
  <c r="F15" i="17"/>
  <c r="F16" i="17"/>
  <c r="F17" i="17"/>
  <c r="F18" i="17"/>
  <c r="F19" i="17"/>
  <c r="F20" i="17"/>
  <c r="F21" i="17"/>
  <c r="F22" i="17"/>
  <c r="F23" i="17"/>
  <c r="F24" i="17"/>
  <c r="F25" i="17"/>
  <c r="F26" i="17"/>
  <c r="F27" i="17"/>
  <c r="F28" i="17"/>
  <c r="F29" i="17"/>
  <c r="C30" i="17"/>
  <c r="D30" i="17"/>
  <c r="C44" i="17"/>
  <c r="D44" i="17"/>
  <c r="E43" i="17" s="1"/>
  <c r="H69" i="17"/>
  <c r="T69" i="17" s="1"/>
  <c r="H72" i="17"/>
  <c r="T72" i="17" s="1"/>
  <c r="F85" i="17"/>
  <c r="R85" i="17" s="1"/>
  <c r="F88" i="17"/>
  <c r="F90" i="17"/>
  <c r="R90" i="17" s="1"/>
  <c r="F92" i="17"/>
  <c r="F94" i="17"/>
  <c r="R94" i="17" s="1"/>
  <c r="F96" i="17"/>
  <c r="F104" i="17"/>
  <c r="R104" i="17" s="1"/>
  <c r="F105" i="17"/>
  <c r="R105" i="17" s="1"/>
  <c r="F106" i="17"/>
  <c r="R106" i="17" s="1"/>
  <c r="G113" i="17"/>
  <c r="T113" i="17" s="1"/>
  <c r="G114" i="17"/>
  <c r="T114" i="17" s="1"/>
  <c r="U114" i="17" s="1"/>
  <c r="H121" i="17"/>
  <c r="H123" i="17" s="1"/>
  <c r="R121" i="17"/>
  <c r="R122" i="17" s="1"/>
  <c r="F122" i="17"/>
  <c r="H122" i="17"/>
  <c r="T122" i="17" s="1"/>
  <c r="I143" i="17"/>
  <c r="A152" i="17"/>
  <c r="A162" i="17"/>
  <c r="A164" i="17"/>
  <c r="A168" i="17"/>
  <c r="A172" i="17"/>
  <c r="A173" i="17"/>
  <c r="A174" i="17"/>
  <c r="A178" i="17"/>
  <c r="A179" i="17"/>
  <c r="A180" i="17"/>
  <c r="A182" i="17"/>
  <c r="A183" i="17"/>
  <c r="A184" i="17"/>
  <c r="A185" i="17"/>
  <c r="N1" i="16"/>
  <c r="A3" i="16"/>
  <c r="N3" i="16" s="1"/>
  <c r="F4" i="16"/>
  <c r="P4" i="16"/>
  <c r="N7" i="16"/>
  <c r="C8" i="16"/>
  <c r="P8" i="16" s="1"/>
  <c r="H8" i="16"/>
  <c r="F14" i="16"/>
  <c r="F15" i="16"/>
  <c r="F16" i="16"/>
  <c r="F17" i="16"/>
  <c r="F18" i="16"/>
  <c r="F19" i="16"/>
  <c r="F20" i="16"/>
  <c r="F21" i="16"/>
  <c r="F22" i="16"/>
  <c r="F23" i="16"/>
  <c r="F24" i="16"/>
  <c r="F25" i="16"/>
  <c r="F26" i="16"/>
  <c r="F27" i="16"/>
  <c r="F28" i="16"/>
  <c r="F29" i="16"/>
  <c r="C30" i="16"/>
  <c r="D30" i="16"/>
  <c r="C44" i="16"/>
  <c r="D44" i="16"/>
  <c r="E39" i="16" s="1"/>
  <c r="H69" i="16"/>
  <c r="T69" i="16" s="1"/>
  <c r="H72" i="16"/>
  <c r="T72" i="16" s="1"/>
  <c r="F85" i="16"/>
  <c r="F88" i="16"/>
  <c r="R88" i="16" s="1"/>
  <c r="F90" i="16"/>
  <c r="F92" i="16"/>
  <c r="R92" i="16" s="1"/>
  <c r="F94" i="16"/>
  <c r="R94" i="16" s="1"/>
  <c r="F96" i="16"/>
  <c r="R96" i="16" s="1"/>
  <c r="F104" i="16"/>
  <c r="R104" i="16" s="1"/>
  <c r="F105" i="16"/>
  <c r="R105" i="16" s="1"/>
  <c r="F106" i="16"/>
  <c r="R106" i="16" s="1"/>
  <c r="G113" i="16"/>
  <c r="I113" i="16" s="1"/>
  <c r="G114" i="16"/>
  <c r="H121" i="16"/>
  <c r="R121" i="16"/>
  <c r="R122" i="16" s="1"/>
  <c r="F122" i="16"/>
  <c r="H122" i="16"/>
  <c r="I143" i="16"/>
  <c r="A152" i="16"/>
  <c r="A162" i="16"/>
  <c r="A164" i="16"/>
  <c r="A168" i="16"/>
  <c r="A172" i="16"/>
  <c r="A173" i="16"/>
  <c r="A174" i="16"/>
  <c r="A178" i="16"/>
  <c r="A179" i="16"/>
  <c r="A180" i="16"/>
  <c r="A182" i="16"/>
  <c r="A183" i="16"/>
  <c r="A184" i="16"/>
  <c r="A185" i="16"/>
  <c r="N1" i="7"/>
  <c r="N3" i="7"/>
  <c r="P4" i="7"/>
  <c r="T8" i="7"/>
  <c r="P104" i="7" s="1"/>
  <c r="C30" i="7"/>
  <c r="D30" i="7"/>
  <c r="E18" i="7" s="1"/>
  <c r="I35" i="7"/>
  <c r="U35" i="7" s="1"/>
  <c r="C44" i="7"/>
  <c r="D44" i="7"/>
  <c r="E38" i="7" s="1"/>
  <c r="I38" i="7" s="1"/>
  <c r="T69" i="7"/>
  <c r="T72" i="7"/>
  <c r="R85" i="7"/>
  <c r="R88" i="7"/>
  <c r="R90" i="7"/>
  <c r="R92" i="7"/>
  <c r="R94" i="7"/>
  <c r="R96" i="7"/>
  <c r="E104" i="7"/>
  <c r="E102" i="60" s="1"/>
  <c r="R104" i="7"/>
  <c r="E105" i="7"/>
  <c r="E103" i="60" s="1"/>
  <c r="R105" i="7"/>
  <c r="E106" i="7"/>
  <c r="E104" i="60" s="1"/>
  <c r="R106" i="7"/>
  <c r="I113" i="7"/>
  <c r="T113" i="7"/>
  <c r="I114" i="7"/>
  <c r="T114" i="7"/>
  <c r="U114" i="7" s="1"/>
  <c r="H121" i="7"/>
  <c r="R121" i="7"/>
  <c r="R122" i="7" s="1"/>
  <c r="F122" i="7"/>
  <c r="H122" i="7"/>
  <c r="T122" i="7" s="1"/>
  <c r="A3" i="60"/>
  <c r="F4" i="60"/>
  <c r="A7" i="60"/>
  <c r="C8" i="60"/>
  <c r="H8" i="60"/>
  <c r="I10" i="60"/>
  <c r="C14" i="60"/>
  <c r="D14" i="60"/>
  <c r="F14" i="60"/>
  <c r="C15" i="60"/>
  <c r="D15" i="60"/>
  <c r="F15" i="60"/>
  <c r="C16" i="60"/>
  <c r="D16" i="60"/>
  <c r="F16" i="60"/>
  <c r="C17" i="60"/>
  <c r="D17" i="60"/>
  <c r="F17" i="60"/>
  <c r="C18" i="60"/>
  <c r="D18" i="60"/>
  <c r="F18" i="60"/>
  <c r="C19" i="60"/>
  <c r="D19" i="60"/>
  <c r="F19" i="60"/>
  <c r="C20" i="60"/>
  <c r="D20" i="60"/>
  <c r="F20" i="60"/>
  <c r="C21" i="60"/>
  <c r="D21" i="60"/>
  <c r="F21" i="60"/>
  <c r="C22" i="60"/>
  <c r="D22" i="60"/>
  <c r="F22" i="60"/>
  <c r="C23" i="60"/>
  <c r="D23" i="60"/>
  <c r="F23" i="60"/>
  <c r="C24" i="60"/>
  <c r="D24" i="60"/>
  <c r="F24" i="60"/>
  <c r="C25" i="60"/>
  <c r="D25" i="60"/>
  <c r="F25" i="60"/>
  <c r="C26" i="60"/>
  <c r="D26" i="60"/>
  <c r="F26" i="60"/>
  <c r="C27" i="60"/>
  <c r="D27" i="60"/>
  <c r="F27" i="60"/>
  <c r="C28" i="60"/>
  <c r="D28" i="60"/>
  <c r="F28" i="60"/>
  <c r="C29" i="60"/>
  <c r="D29" i="60"/>
  <c r="F29" i="60"/>
  <c r="C31" i="60"/>
  <c r="D31" i="60"/>
  <c r="E119" i="60" s="1"/>
  <c r="I119" i="60" s="1"/>
  <c r="C39" i="60"/>
  <c r="D39" i="60"/>
  <c r="C40" i="60"/>
  <c r="D40" i="60"/>
  <c r="C41" i="60"/>
  <c r="D41" i="60"/>
  <c r="C42" i="60"/>
  <c r="D42" i="60"/>
  <c r="C43" i="60"/>
  <c r="D43" i="60"/>
  <c r="C44" i="60"/>
  <c r="D44" i="60"/>
  <c r="B2" i="64"/>
  <c r="A27" i="64"/>
  <c r="A43" i="64" s="1"/>
  <c r="A50" i="64" s="1"/>
  <c r="A62" i="64" s="1"/>
  <c r="A70" i="64" s="1"/>
  <c r="A80" i="64" s="1"/>
  <c r="A90" i="64" s="1"/>
  <c r="A99" i="64" s="1"/>
  <c r="A107" i="64" s="1"/>
  <c r="A114" i="64" s="1"/>
  <c r="A123" i="64" s="1"/>
  <c r="A132" i="64" s="1"/>
  <c r="A141" i="64" s="1"/>
  <c r="A151" i="64" s="1"/>
  <c r="A160" i="64" s="1"/>
  <c r="A168" i="64" s="1"/>
  <c r="A175" i="64" s="1"/>
  <c r="A183" i="64" s="1"/>
  <c r="A194" i="64" s="1"/>
  <c r="A202" i="64" s="1"/>
  <c r="A213" i="64" s="1"/>
  <c r="A223" i="64" s="1"/>
  <c r="A232" i="64" s="1"/>
  <c r="A242" i="64" s="1"/>
  <c r="A252" i="64" s="1"/>
  <c r="A260" i="64" s="1"/>
  <c r="A268" i="64" s="1"/>
  <c r="A277" i="64" s="1"/>
  <c r="A287" i="64" s="1"/>
  <c r="A295" i="64" s="1"/>
  <c r="A304" i="64" s="1"/>
  <c r="A313" i="64" s="1"/>
  <c r="A323" i="64" s="1"/>
  <c r="A333" i="64" s="1"/>
  <c r="A344" i="64" s="1"/>
  <c r="A351" i="64" s="1"/>
  <c r="A360" i="64" s="1"/>
  <c r="A369" i="64" s="1"/>
  <c r="A376" i="64" s="1"/>
  <c r="A385" i="64" s="1"/>
  <c r="A395" i="64" s="1"/>
  <c r="A405" i="64" s="1"/>
  <c r="A414" i="64" s="1"/>
  <c r="A422" i="64" s="1"/>
  <c r="A432" i="64" s="1"/>
  <c r="A441" i="64" s="1"/>
  <c r="L32" i="64"/>
  <c r="E121" i="22" l="1"/>
  <c r="E22" i="22"/>
  <c r="E19" i="22"/>
  <c r="E104" i="32"/>
  <c r="E105" i="32"/>
  <c r="P106" i="32"/>
  <c r="E16" i="18"/>
  <c r="H16" i="18" s="1"/>
  <c r="I16" i="18" s="1"/>
  <c r="E121" i="18"/>
  <c r="I121" i="18" s="1"/>
  <c r="E17" i="51"/>
  <c r="E121" i="51"/>
  <c r="I121" i="51" s="1"/>
  <c r="E22" i="71"/>
  <c r="H22" i="71" s="1"/>
  <c r="I22" i="71" s="1"/>
  <c r="E121" i="71"/>
  <c r="I121" i="71" s="1"/>
  <c r="E25" i="17"/>
  <c r="H25" i="17" s="1"/>
  <c r="I25" i="17" s="1"/>
  <c r="E121" i="17"/>
  <c r="I121" i="17" s="1"/>
  <c r="E17" i="23"/>
  <c r="E121" i="23"/>
  <c r="I121" i="23" s="1"/>
  <c r="E25" i="50"/>
  <c r="H25" i="50" s="1"/>
  <c r="I25" i="50" s="1"/>
  <c r="E121" i="50"/>
  <c r="I121" i="50" s="1"/>
  <c r="E28" i="70"/>
  <c r="H28" i="70" s="1"/>
  <c r="I28" i="70" s="1"/>
  <c r="E121" i="70"/>
  <c r="I121" i="70" s="1"/>
  <c r="E22" i="16"/>
  <c r="H22" i="16" s="1"/>
  <c r="I22" i="16" s="1"/>
  <c r="E121" i="16"/>
  <c r="E19" i="35"/>
  <c r="J19" i="35" s="1"/>
  <c r="E121" i="35"/>
  <c r="I121" i="35" s="1"/>
  <c r="E23" i="48"/>
  <c r="H23" i="48" s="1"/>
  <c r="I23" i="48" s="1"/>
  <c r="E121" i="48"/>
  <c r="I121" i="48" s="1"/>
  <c r="E24" i="69"/>
  <c r="H24" i="69" s="1"/>
  <c r="I24" i="69" s="1"/>
  <c r="E121" i="69"/>
  <c r="I121" i="69" s="1"/>
  <c r="E25" i="31"/>
  <c r="H25" i="31" s="1"/>
  <c r="I25" i="31" s="1"/>
  <c r="E121" i="31"/>
  <c r="I121" i="31" s="1"/>
  <c r="E14" i="34"/>
  <c r="H14" i="34" s="1"/>
  <c r="I14" i="34" s="1"/>
  <c r="E121" i="34"/>
  <c r="I121" i="34" s="1"/>
  <c r="E22" i="47"/>
  <c r="H22" i="47" s="1"/>
  <c r="I22" i="47" s="1"/>
  <c r="E121" i="47"/>
  <c r="I121" i="47" s="1"/>
  <c r="E25" i="28"/>
  <c r="H25" i="28" s="1"/>
  <c r="I25" i="28" s="1"/>
  <c r="E121" i="28"/>
  <c r="I121" i="28" s="1"/>
  <c r="E19" i="33"/>
  <c r="E121" i="33"/>
  <c r="I121" i="33" s="1"/>
  <c r="E25" i="45"/>
  <c r="H25" i="45" s="1"/>
  <c r="I25" i="45" s="1"/>
  <c r="E121" i="45"/>
  <c r="I121" i="45" s="1"/>
  <c r="E18" i="66"/>
  <c r="H18" i="66" s="1"/>
  <c r="I18" i="66" s="1"/>
  <c r="E121" i="66"/>
  <c r="I121" i="66" s="1"/>
  <c r="E16" i="27"/>
  <c r="H16" i="27" s="1"/>
  <c r="I16" i="27" s="1"/>
  <c r="E121" i="27"/>
  <c r="I121" i="27" s="1"/>
  <c r="E26" i="32"/>
  <c r="H26" i="32" s="1"/>
  <c r="I26" i="32" s="1"/>
  <c r="E121" i="32"/>
  <c r="I121" i="32" s="1"/>
  <c r="E19" i="44"/>
  <c r="E121" i="44"/>
  <c r="I121" i="44" s="1"/>
  <c r="E25" i="58"/>
  <c r="H25" i="58" s="1"/>
  <c r="I25" i="58" s="1"/>
  <c r="E121" i="58"/>
  <c r="I121" i="58" s="1"/>
  <c r="E18" i="26"/>
  <c r="E121" i="26"/>
  <c r="I121" i="26" s="1"/>
  <c r="E18" i="43"/>
  <c r="E121" i="43"/>
  <c r="I121" i="43" s="1"/>
  <c r="E22" i="42"/>
  <c r="H22" i="42" s="1"/>
  <c r="I22" i="42" s="1"/>
  <c r="E121" i="42"/>
  <c r="I121" i="42" s="1"/>
  <c r="E18" i="56"/>
  <c r="H18" i="56" s="1"/>
  <c r="I18" i="56" s="1"/>
  <c r="E121" i="56"/>
  <c r="I121" i="56" s="1"/>
  <c r="E25" i="24"/>
  <c r="H25" i="24" s="1"/>
  <c r="I25" i="24" s="1"/>
  <c r="E121" i="24"/>
  <c r="I121" i="24" s="1"/>
  <c r="E19" i="55"/>
  <c r="E121" i="55"/>
  <c r="I121" i="55" s="1"/>
  <c r="E19" i="30"/>
  <c r="E121" i="30"/>
  <c r="I121" i="30" s="1"/>
  <c r="E22" i="25"/>
  <c r="H22" i="25" s="1"/>
  <c r="I22" i="25" s="1"/>
  <c r="E121" i="25"/>
  <c r="I121" i="25" s="1"/>
  <c r="E26" i="39"/>
  <c r="H26" i="39" s="1"/>
  <c r="I26" i="39" s="1"/>
  <c r="E121" i="39"/>
  <c r="I121" i="39" s="1"/>
  <c r="E22" i="76"/>
  <c r="H22" i="76" s="1"/>
  <c r="I22" i="76" s="1"/>
  <c r="E121" i="76"/>
  <c r="I121" i="76" s="1"/>
  <c r="E24" i="78"/>
  <c r="H24" i="78" s="1"/>
  <c r="I24" i="78" s="1"/>
  <c r="E121" i="78"/>
  <c r="I121" i="78" s="1"/>
  <c r="E14" i="21"/>
  <c r="H14" i="21" s="1"/>
  <c r="I14" i="21" s="1"/>
  <c r="E121" i="21"/>
  <c r="I121" i="21" s="1"/>
  <c r="E25" i="38"/>
  <c r="H25" i="38" s="1"/>
  <c r="I25" i="38" s="1"/>
  <c r="E121" i="38"/>
  <c r="I121" i="38" s="1"/>
  <c r="E22" i="75"/>
  <c r="H22" i="75" s="1"/>
  <c r="I22" i="75" s="1"/>
  <c r="E121" i="75"/>
  <c r="I121" i="75" s="1"/>
  <c r="E15" i="7"/>
  <c r="E121" i="7"/>
  <c r="E29" i="20"/>
  <c r="H29" i="20" s="1"/>
  <c r="I29" i="20" s="1"/>
  <c r="E121" i="20"/>
  <c r="I121" i="20" s="1"/>
  <c r="E22" i="37"/>
  <c r="H22" i="37" s="1"/>
  <c r="I22" i="37" s="1"/>
  <c r="E121" i="37"/>
  <c r="I121" i="37" s="1"/>
  <c r="E25" i="52"/>
  <c r="H25" i="52" s="1"/>
  <c r="I25" i="52" s="1"/>
  <c r="E121" i="52"/>
  <c r="I121" i="52" s="1"/>
  <c r="E24" i="68"/>
  <c r="H24" i="68" s="1"/>
  <c r="I24" i="68" s="1"/>
  <c r="E121" i="68"/>
  <c r="I121" i="68" s="1"/>
  <c r="T121" i="76"/>
  <c r="H123" i="23"/>
  <c r="T123" i="23" s="1"/>
  <c r="I42" i="52"/>
  <c r="T121" i="27"/>
  <c r="T121" i="44"/>
  <c r="I40" i="38"/>
  <c r="I38" i="40"/>
  <c r="I41" i="76"/>
  <c r="I38" i="28"/>
  <c r="I38" i="43"/>
  <c r="I39" i="42"/>
  <c r="I38" i="68"/>
  <c r="I38" i="20"/>
  <c r="P105" i="32"/>
  <c r="I39" i="16"/>
  <c r="I38" i="18"/>
  <c r="I38" i="55"/>
  <c r="I43" i="17"/>
  <c r="I40" i="21"/>
  <c r="I40" i="35"/>
  <c r="I39" i="24"/>
  <c r="I40" i="26"/>
  <c r="I38" i="33"/>
  <c r="I40" i="50"/>
  <c r="H123" i="52"/>
  <c r="T123" i="52" s="1"/>
  <c r="I40" i="57"/>
  <c r="I39" i="66"/>
  <c r="T121" i="71"/>
  <c r="I40" i="77"/>
  <c r="I38" i="30"/>
  <c r="I40" i="45"/>
  <c r="H123" i="56"/>
  <c r="T123" i="56" s="1"/>
  <c r="I43" i="22"/>
  <c r="I39" i="23"/>
  <c r="I40" i="51"/>
  <c r="I39" i="67"/>
  <c r="I42" i="31"/>
  <c r="I39" i="39"/>
  <c r="E42" i="57"/>
  <c r="I42" i="57" s="1"/>
  <c r="E105" i="18"/>
  <c r="E27" i="47"/>
  <c r="H27" i="47" s="1"/>
  <c r="I27" i="47" s="1"/>
  <c r="E38" i="57"/>
  <c r="I38" i="57" s="1"/>
  <c r="E104" i="18"/>
  <c r="E29" i="52"/>
  <c r="H29" i="52" s="1"/>
  <c r="I29" i="52" s="1"/>
  <c r="E38" i="39"/>
  <c r="I38" i="39" s="1"/>
  <c r="E42" i="77"/>
  <c r="I42" i="77" s="1"/>
  <c r="H123" i="75"/>
  <c r="T123" i="75" s="1"/>
  <c r="T121" i="67"/>
  <c r="H123" i="68"/>
  <c r="I123" i="68" s="1"/>
  <c r="E23" i="78"/>
  <c r="H23" i="78" s="1"/>
  <c r="I23" i="78" s="1"/>
  <c r="E23" i="52"/>
  <c r="H23" i="52" s="1"/>
  <c r="I23" i="52" s="1"/>
  <c r="E106" i="18"/>
  <c r="E39" i="40"/>
  <c r="I39" i="40" s="1"/>
  <c r="E40" i="40"/>
  <c r="I40" i="40" s="1"/>
  <c r="E23" i="69"/>
  <c r="H23" i="69" s="1"/>
  <c r="I23" i="69" s="1"/>
  <c r="E39" i="68"/>
  <c r="I39" i="68" s="1"/>
  <c r="E39" i="18"/>
  <c r="I39" i="18" s="1"/>
  <c r="T121" i="32"/>
  <c r="E39" i="22"/>
  <c r="I39" i="22" s="1"/>
  <c r="E41" i="33"/>
  <c r="I41" i="33" s="1"/>
  <c r="E18" i="75"/>
  <c r="H18" i="75" s="1"/>
  <c r="I18" i="75" s="1"/>
  <c r="E40" i="33"/>
  <c r="I40" i="33" s="1"/>
  <c r="E16" i="52"/>
  <c r="H16" i="52" s="1"/>
  <c r="I16" i="52" s="1"/>
  <c r="E14" i="20"/>
  <c r="H14" i="20" s="1"/>
  <c r="I14" i="20" s="1"/>
  <c r="E21" i="71"/>
  <c r="H21" i="71" s="1"/>
  <c r="I21" i="71" s="1"/>
  <c r="E43" i="68"/>
  <c r="I43" i="68" s="1"/>
  <c r="E21" i="44"/>
  <c r="H21" i="44" s="1"/>
  <c r="I21" i="44" s="1"/>
  <c r="E38" i="22"/>
  <c r="I38" i="22" s="1"/>
  <c r="E24" i="27"/>
  <c r="H24" i="27" s="1"/>
  <c r="I24" i="27" s="1"/>
  <c r="E38" i="51"/>
  <c r="I38" i="51" s="1"/>
  <c r="E39" i="77"/>
  <c r="I39" i="77" s="1"/>
  <c r="E43" i="20"/>
  <c r="I43" i="20" s="1"/>
  <c r="E43" i="24"/>
  <c r="I43" i="24" s="1"/>
  <c r="E39" i="26"/>
  <c r="I39" i="26" s="1"/>
  <c r="T121" i="40"/>
  <c r="E28" i="58"/>
  <c r="H28" i="58" s="1"/>
  <c r="I28" i="58" s="1"/>
  <c r="H123" i="69"/>
  <c r="T123" i="69" s="1"/>
  <c r="E42" i="20"/>
  <c r="I42" i="20" s="1"/>
  <c r="E42" i="24"/>
  <c r="I42" i="24" s="1"/>
  <c r="E38" i="26"/>
  <c r="I38" i="26" s="1"/>
  <c r="E23" i="27"/>
  <c r="H23" i="27" s="1"/>
  <c r="I23" i="27" s="1"/>
  <c r="E16" i="33"/>
  <c r="H16" i="33" s="1"/>
  <c r="I16" i="33" s="1"/>
  <c r="E26" i="70"/>
  <c r="H26" i="70" s="1"/>
  <c r="I26" i="70" s="1"/>
  <c r="E21" i="78"/>
  <c r="H21" i="78" s="1"/>
  <c r="I21" i="78" s="1"/>
  <c r="E40" i="20"/>
  <c r="I40" i="20" s="1"/>
  <c r="E41" i="24"/>
  <c r="I41" i="24" s="1"/>
  <c r="E43" i="33"/>
  <c r="I43" i="33" s="1"/>
  <c r="E39" i="20"/>
  <c r="I39" i="20" s="1"/>
  <c r="E40" i="24"/>
  <c r="I40" i="24" s="1"/>
  <c r="E42" i="33"/>
  <c r="I42" i="33" s="1"/>
  <c r="E20" i="23"/>
  <c r="H20" i="23" s="1"/>
  <c r="I20" i="23" s="1"/>
  <c r="T121" i="42"/>
  <c r="E27" i="44"/>
  <c r="E42" i="68"/>
  <c r="I42" i="68" s="1"/>
  <c r="E40" i="18"/>
  <c r="I40" i="18" s="1"/>
  <c r="E38" i="24"/>
  <c r="I38" i="24" s="1"/>
  <c r="E24" i="33"/>
  <c r="H24" i="33" s="1"/>
  <c r="I24" i="33" s="1"/>
  <c r="E40" i="76"/>
  <c r="I40" i="76" s="1"/>
  <c r="E41" i="57"/>
  <c r="I41" i="57" s="1"/>
  <c r="E41" i="68"/>
  <c r="I41" i="68" s="1"/>
  <c r="E28" i="78"/>
  <c r="H28" i="78" s="1"/>
  <c r="I28" i="78" s="1"/>
  <c r="E15" i="44"/>
  <c r="J15" i="44" s="1"/>
  <c r="E39" i="76"/>
  <c r="I39" i="76" s="1"/>
  <c r="E39" i="57"/>
  <c r="I39" i="57" s="1"/>
  <c r="E40" i="68"/>
  <c r="I40" i="68" s="1"/>
  <c r="E41" i="21"/>
  <c r="I41" i="21" s="1"/>
  <c r="E39" i="28"/>
  <c r="I39" i="28" s="1"/>
  <c r="E39" i="33"/>
  <c r="I39" i="33" s="1"/>
  <c r="T121" i="43"/>
  <c r="E20" i="47"/>
  <c r="H20" i="47" s="1"/>
  <c r="I20" i="47" s="1"/>
  <c r="E38" i="76"/>
  <c r="I38" i="76" s="1"/>
  <c r="E42" i="22"/>
  <c r="I42" i="22" s="1"/>
  <c r="E43" i="43"/>
  <c r="I43" i="43" s="1"/>
  <c r="E23" i="66"/>
  <c r="H23" i="66" s="1"/>
  <c r="I23" i="66" s="1"/>
  <c r="E41" i="22"/>
  <c r="I41" i="22" s="1"/>
  <c r="E17" i="27"/>
  <c r="P105" i="7"/>
  <c r="T121" i="20"/>
  <c r="E40" i="22"/>
  <c r="I40" i="22" s="1"/>
  <c r="E24" i="35"/>
  <c r="H24" i="35" s="1"/>
  <c r="I24" i="35" s="1"/>
  <c r="E41" i="39"/>
  <c r="I41" i="39" s="1"/>
  <c r="E104" i="78"/>
  <c r="E106" i="32"/>
  <c r="E104" i="25"/>
  <c r="E106" i="23"/>
  <c r="E104" i="52"/>
  <c r="I114" i="69"/>
  <c r="E105" i="35"/>
  <c r="E106" i="43"/>
  <c r="I114" i="51"/>
  <c r="E23" i="68"/>
  <c r="H23" i="68" s="1"/>
  <c r="I23" i="68" s="1"/>
  <c r="E21" i="68"/>
  <c r="H21" i="68" s="1"/>
  <c r="I21" i="68" s="1"/>
  <c r="E24" i="71"/>
  <c r="H24" i="71" s="1"/>
  <c r="I24" i="71" s="1"/>
  <c r="E23" i="71"/>
  <c r="H23" i="71" s="1"/>
  <c r="I23" i="71" s="1"/>
  <c r="E14" i="71"/>
  <c r="H14" i="71" s="1"/>
  <c r="I14" i="71" s="1"/>
  <c r="I122" i="70"/>
  <c r="E21" i="70"/>
  <c r="H21" i="70" s="1"/>
  <c r="I21" i="70" s="1"/>
  <c r="E20" i="70"/>
  <c r="H20" i="70" s="1"/>
  <c r="I20" i="70" s="1"/>
  <c r="E22" i="69"/>
  <c r="H22" i="69" s="1"/>
  <c r="I22" i="69" s="1"/>
  <c r="E21" i="69"/>
  <c r="H21" i="69" s="1"/>
  <c r="I21" i="69" s="1"/>
  <c r="E24" i="66"/>
  <c r="H24" i="66" s="1"/>
  <c r="I24" i="66" s="1"/>
  <c r="E22" i="58"/>
  <c r="H22" i="58" s="1"/>
  <c r="I22" i="58" s="1"/>
  <c r="E21" i="58"/>
  <c r="H21" i="58" s="1"/>
  <c r="I21" i="58" s="1"/>
  <c r="E27" i="55"/>
  <c r="H27" i="55" s="1"/>
  <c r="I27" i="55" s="1"/>
  <c r="E14" i="55"/>
  <c r="H14" i="55" s="1"/>
  <c r="I14" i="55" s="1"/>
  <c r="I122" i="52"/>
  <c r="E28" i="52"/>
  <c r="H28" i="52" s="1"/>
  <c r="I28" i="52" s="1"/>
  <c r="E15" i="52"/>
  <c r="E27" i="52"/>
  <c r="H27" i="52" s="1"/>
  <c r="I27" i="52" s="1"/>
  <c r="E20" i="52"/>
  <c r="H20" i="52" s="1"/>
  <c r="I20" i="52" s="1"/>
  <c r="E26" i="52"/>
  <c r="H26" i="52" s="1"/>
  <c r="I26" i="52" s="1"/>
  <c r="E19" i="52"/>
  <c r="J19" i="52" s="1"/>
  <c r="E18" i="52"/>
  <c r="H18" i="52" s="1"/>
  <c r="I18" i="52" s="1"/>
  <c r="E24" i="52"/>
  <c r="H24" i="52" s="1"/>
  <c r="I24" i="52" s="1"/>
  <c r="E17" i="52"/>
  <c r="E22" i="48"/>
  <c r="H22" i="48" s="1"/>
  <c r="I22" i="48" s="1"/>
  <c r="E21" i="48"/>
  <c r="H21" i="48" s="1"/>
  <c r="I21" i="48" s="1"/>
  <c r="E19" i="47"/>
  <c r="E25" i="47"/>
  <c r="H25" i="47" s="1"/>
  <c r="I25" i="47" s="1"/>
  <c r="E24" i="47"/>
  <c r="H24" i="47" s="1"/>
  <c r="I24" i="47" s="1"/>
  <c r="E17" i="47"/>
  <c r="E15" i="47"/>
  <c r="E29" i="47"/>
  <c r="H29" i="47" s="1"/>
  <c r="I29" i="47" s="1"/>
  <c r="I123" i="44"/>
  <c r="E17" i="44"/>
  <c r="E22" i="44"/>
  <c r="H22" i="44" s="1"/>
  <c r="I22" i="44" s="1"/>
  <c r="E14" i="44"/>
  <c r="H14" i="44" s="1"/>
  <c r="I14" i="44" s="1"/>
  <c r="I123" i="43"/>
  <c r="E19" i="43"/>
  <c r="I122" i="42"/>
  <c r="E23" i="42"/>
  <c r="H23" i="42" s="1"/>
  <c r="I23" i="42" s="1"/>
  <c r="E14" i="42"/>
  <c r="H14" i="42" s="1"/>
  <c r="I14" i="42" s="1"/>
  <c r="E29" i="42"/>
  <c r="H29" i="42" s="1"/>
  <c r="I29" i="42" s="1"/>
  <c r="E20" i="42"/>
  <c r="H20" i="42" s="1"/>
  <c r="I20" i="42" s="1"/>
  <c r="E28" i="42"/>
  <c r="H28" i="42" s="1"/>
  <c r="I28" i="42" s="1"/>
  <c r="E27" i="42"/>
  <c r="H27" i="42" s="1"/>
  <c r="I27" i="42" s="1"/>
  <c r="E18" i="42"/>
  <c r="H18" i="42" s="1"/>
  <c r="I18" i="42" s="1"/>
  <c r="I122" i="39"/>
  <c r="E21" i="39"/>
  <c r="H21" i="39" s="1"/>
  <c r="I21" i="39" s="1"/>
  <c r="E20" i="37"/>
  <c r="H20" i="37" s="1"/>
  <c r="I20" i="37" s="1"/>
  <c r="E21" i="23"/>
  <c r="H21" i="23" s="1"/>
  <c r="I21" i="23" s="1"/>
  <c r="E15" i="35"/>
  <c r="J15" i="35" s="1"/>
  <c r="E20" i="35"/>
  <c r="H20" i="35" s="1"/>
  <c r="I20" i="35" s="1"/>
  <c r="E20" i="34"/>
  <c r="H20" i="34" s="1"/>
  <c r="I20" i="34" s="1"/>
  <c r="E27" i="34"/>
  <c r="H27" i="34" s="1"/>
  <c r="I27" i="34" s="1"/>
  <c r="E23" i="33"/>
  <c r="H23" i="33" s="1"/>
  <c r="I23" i="33" s="1"/>
  <c r="E15" i="33"/>
  <c r="E22" i="33"/>
  <c r="H22" i="33" s="1"/>
  <c r="I22" i="33" s="1"/>
  <c r="E14" i="33"/>
  <c r="H14" i="33" s="1"/>
  <c r="I14" i="33" s="1"/>
  <c r="E29" i="33"/>
  <c r="H29" i="33" s="1"/>
  <c r="I29" i="33" s="1"/>
  <c r="E28" i="33"/>
  <c r="H28" i="33" s="1"/>
  <c r="I28" i="33" s="1"/>
  <c r="E27" i="32"/>
  <c r="H27" i="32" s="1"/>
  <c r="I27" i="32" s="1"/>
  <c r="E16" i="32"/>
  <c r="H16" i="32" s="1"/>
  <c r="I16" i="32" s="1"/>
  <c r="E22" i="28"/>
  <c r="H22" i="28" s="1"/>
  <c r="I22" i="28" s="1"/>
  <c r="I122" i="27"/>
  <c r="E29" i="27"/>
  <c r="H29" i="27" s="1"/>
  <c r="I29" i="27" s="1"/>
  <c r="E22" i="27"/>
  <c r="H22" i="27" s="1"/>
  <c r="I22" i="27" s="1"/>
  <c r="E14" i="27"/>
  <c r="H14" i="27" s="1"/>
  <c r="I14" i="27" s="1"/>
  <c r="E28" i="27"/>
  <c r="H28" i="27" s="1"/>
  <c r="I28" i="27" s="1"/>
  <c r="E27" i="27"/>
  <c r="H27" i="27" s="1"/>
  <c r="I27" i="27" s="1"/>
  <c r="E19" i="27"/>
  <c r="E18" i="27"/>
  <c r="H18" i="27" s="1"/>
  <c r="I18" i="27" s="1"/>
  <c r="I122" i="26"/>
  <c r="E28" i="26"/>
  <c r="H28" i="26" s="1"/>
  <c r="I28" i="26" s="1"/>
  <c r="E26" i="26"/>
  <c r="H26" i="26" s="1"/>
  <c r="I26" i="26" s="1"/>
  <c r="E15" i="26"/>
  <c r="E20" i="26"/>
  <c r="H20" i="26" s="1"/>
  <c r="I20" i="26" s="1"/>
  <c r="E23" i="24"/>
  <c r="H23" i="24" s="1"/>
  <c r="I23" i="24" s="1"/>
  <c r="E22" i="24"/>
  <c r="H22" i="24" s="1"/>
  <c r="I22" i="24" s="1"/>
  <c r="E20" i="24"/>
  <c r="H20" i="24" s="1"/>
  <c r="I20" i="24" s="1"/>
  <c r="E26" i="21"/>
  <c r="H26" i="21" s="1"/>
  <c r="I26" i="21" s="1"/>
  <c r="E23" i="21"/>
  <c r="H23" i="21" s="1"/>
  <c r="I23" i="21" s="1"/>
  <c r="E22" i="21"/>
  <c r="H22" i="21" s="1"/>
  <c r="I22" i="21" s="1"/>
  <c r="E20" i="21"/>
  <c r="H20" i="21" s="1"/>
  <c r="I20" i="21" s="1"/>
  <c r="E20" i="20"/>
  <c r="H20" i="20" s="1"/>
  <c r="I20" i="20" s="1"/>
  <c r="E20" i="18"/>
  <c r="E29" i="18"/>
  <c r="H29" i="18" s="1"/>
  <c r="I29" i="18" s="1"/>
  <c r="E28" i="18"/>
  <c r="H28" i="18" s="1"/>
  <c r="I28" i="18" s="1"/>
  <c r="E15" i="17"/>
  <c r="J15" i="17" s="1"/>
  <c r="E22" i="17"/>
  <c r="H22" i="17" s="1"/>
  <c r="I22" i="17" s="1"/>
  <c r="E21" i="17"/>
  <c r="H21" i="17" s="1"/>
  <c r="I21" i="17" s="1"/>
  <c r="E28" i="17"/>
  <c r="H28" i="17" s="1"/>
  <c r="I28" i="17" s="1"/>
  <c r="E27" i="17"/>
  <c r="H27" i="17" s="1"/>
  <c r="I27" i="17" s="1"/>
  <c r="E17" i="17"/>
  <c r="E21" i="16"/>
  <c r="H21" i="16" s="1"/>
  <c r="I21" i="16" s="1"/>
  <c r="E26" i="16"/>
  <c r="H26" i="16" s="1"/>
  <c r="I26" i="16" s="1"/>
  <c r="I122" i="58"/>
  <c r="H18" i="43"/>
  <c r="I18" i="43" s="1"/>
  <c r="E40" i="31"/>
  <c r="I40" i="31" s="1"/>
  <c r="E39" i="31"/>
  <c r="I39" i="31" s="1"/>
  <c r="I122" i="69"/>
  <c r="H123" i="18"/>
  <c r="T123" i="18" s="1"/>
  <c r="I122" i="75"/>
  <c r="I122" i="31"/>
  <c r="I122" i="45"/>
  <c r="E16" i="30"/>
  <c r="H16" i="30" s="1"/>
  <c r="I16" i="30" s="1"/>
  <c r="E22" i="30"/>
  <c r="H22" i="30" s="1"/>
  <c r="I22" i="30" s="1"/>
  <c r="E21" i="30"/>
  <c r="H21" i="30" s="1"/>
  <c r="I21" i="30" s="1"/>
  <c r="E24" i="30"/>
  <c r="H24" i="30" s="1"/>
  <c r="I24" i="30" s="1"/>
  <c r="E18" i="51"/>
  <c r="H18" i="51" s="1"/>
  <c r="I18" i="51" s="1"/>
  <c r="E25" i="51"/>
  <c r="H25" i="51" s="1"/>
  <c r="I25" i="51" s="1"/>
  <c r="E16" i="51"/>
  <c r="H16" i="51" s="1"/>
  <c r="I16" i="51" s="1"/>
  <c r="E26" i="51"/>
  <c r="H26" i="51" s="1"/>
  <c r="I26" i="51" s="1"/>
  <c r="E20" i="51"/>
  <c r="H20" i="51" s="1"/>
  <c r="I20" i="51" s="1"/>
  <c r="E24" i="51"/>
  <c r="H24" i="51" s="1"/>
  <c r="I24" i="51" s="1"/>
  <c r="E19" i="51"/>
  <c r="E27" i="51"/>
  <c r="H27" i="51" s="1"/>
  <c r="I27" i="51" s="1"/>
  <c r="E24" i="57"/>
  <c r="H24" i="57" s="1"/>
  <c r="I24" i="57" s="1"/>
  <c r="E25" i="57"/>
  <c r="H25" i="57" s="1"/>
  <c r="I25" i="57" s="1"/>
  <c r="E19" i="57"/>
  <c r="T8" i="28"/>
  <c r="P106" i="28" s="1"/>
  <c r="E104" i="28"/>
  <c r="T8" i="27"/>
  <c r="P105" i="27" s="1"/>
  <c r="E104" i="27"/>
  <c r="T121" i="33"/>
  <c r="H123" i="33"/>
  <c r="T123" i="33" s="1"/>
  <c r="T8" i="40"/>
  <c r="P106" i="40" s="1"/>
  <c r="E104" i="40"/>
  <c r="E106" i="40"/>
  <c r="E38" i="27"/>
  <c r="I38" i="27" s="1"/>
  <c r="E40" i="27"/>
  <c r="I40" i="27" s="1"/>
  <c r="E39" i="27"/>
  <c r="I39" i="27" s="1"/>
  <c r="E43" i="27"/>
  <c r="I43" i="27" s="1"/>
  <c r="E42" i="27"/>
  <c r="I42" i="27" s="1"/>
  <c r="T121" i="34"/>
  <c r="H123" i="34"/>
  <c r="T123" i="34" s="1"/>
  <c r="E17" i="43"/>
  <c r="E23" i="43"/>
  <c r="H23" i="43" s="1"/>
  <c r="I23" i="43" s="1"/>
  <c r="E14" i="43"/>
  <c r="H14" i="43" s="1"/>
  <c r="I14" i="43" s="1"/>
  <c r="E24" i="43"/>
  <c r="H24" i="43" s="1"/>
  <c r="I24" i="43" s="1"/>
  <c r="E15" i="43"/>
  <c r="J15" i="43" s="1"/>
  <c r="E29" i="43"/>
  <c r="H29" i="43" s="1"/>
  <c r="I29" i="43" s="1"/>
  <c r="E20" i="43"/>
  <c r="H20" i="43" s="1"/>
  <c r="I20" i="43" s="1"/>
  <c r="E40" i="69"/>
  <c r="I40" i="69" s="1"/>
  <c r="E41" i="69"/>
  <c r="I41" i="69" s="1"/>
  <c r="E38" i="69"/>
  <c r="I38" i="69" s="1"/>
  <c r="E39" i="69"/>
  <c r="I39" i="69" s="1"/>
  <c r="I122" i="32"/>
  <c r="I123" i="32"/>
  <c r="E14" i="56"/>
  <c r="H14" i="56" s="1"/>
  <c r="I14" i="56" s="1"/>
  <c r="E23" i="56"/>
  <c r="H23" i="56" s="1"/>
  <c r="I23" i="56" s="1"/>
  <c r="E22" i="56"/>
  <c r="H22" i="56" s="1"/>
  <c r="I22" i="56" s="1"/>
  <c r="E21" i="56"/>
  <c r="H21" i="56" s="1"/>
  <c r="I21" i="56" s="1"/>
  <c r="E24" i="56"/>
  <c r="H24" i="56" s="1"/>
  <c r="I24" i="56" s="1"/>
  <c r="E19" i="56"/>
  <c r="E15" i="56"/>
  <c r="J15" i="56" s="1"/>
  <c r="E27" i="56"/>
  <c r="H27" i="56" s="1"/>
  <c r="I27" i="56" s="1"/>
  <c r="E17" i="56"/>
  <c r="E42" i="69"/>
  <c r="I42" i="69" s="1"/>
  <c r="E105" i="36"/>
  <c r="E104" i="36"/>
  <c r="E106" i="36"/>
  <c r="E38" i="34"/>
  <c r="I38" i="34" s="1"/>
  <c r="E41" i="34"/>
  <c r="I41" i="34" s="1"/>
  <c r="E18" i="23"/>
  <c r="H18" i="23" s="1"/>
  <c r="I18" i="23" s="1"/>
  <c r="E41" i="50"/>
  <c r="I41" i="50" s="1"/>
  <c r="E21" i="76"/>
  <c r="H21" i="76" s="1"/>
  <c r="I21" i="76" s="1"/>
  <c r="E27" i="76"/>
  <c r="H27" i="76" s="1"/>
  <c r="I27" i="76" s="1"/>
  <c r="E19" i="76"/>
  <c r="E29" i="76"/>
  <c r="H29" i="76" s="1"/>
  <c r="I29" i="76" s="1"/>
  <c r="E18" i="76"/>
  <c r="H18" i="76" s="1"/>
  <c r="I18" i="76" s="1"/>
  <c r="E28" i="76"/>
  <c r="H28" i="76" s="1"/>
  <c r="I28" i="76" s="1"/>
  <c r="E23" i="76"/>
  <c r="H23" i="76" s="1"/>
  <c r="I23" i="76" s="1"/>
  <c r="E15" i="76"/>
  <c r="J15" i="76" s="1"/>
  <c r="E14" i="76"/>
  <c r="H14" i="76" s="1"/>
  <c r="I14" i="76" s="1"/>
  <c r="E24" i="76"/>
  <c r="H24" i="76" s="1"/>
  <c r="I24" i="76" s="1"/>
  <c r="E38" i="25"/>
  <c r="I38" i="25" s="1"/>
  <c r="E39" i="25"/>
  <c r="I39" i="25" s="1"/>
  <c r="E40" i="25"/>
  <c r="I40" i="25" s="1"/>
  <c r="E41" i="25"/>
  <c r="I41" i="25" s="1"/>
  <c r="E43" i="25"/>
  <c r="I43" i="25" s="1"/>
  <c r="E16" i="76"/>
  <c r="H16" i="76" s="1"/>
  <c r="I16" i="76" s="1"/>
  <c r="I122" i="67"/>
  <c r="E27" i="40"/>
  <c r="H27" i="40" s="1"/>
  <c r="I27" i="40" s="1"/>
  <c r="E23" i="40"/>
  <c r="H23" i="40" s="1"/>
  <c r="I23" i="40" s="1"/>
  <c r="E25" i="40"/>
  <c r="H25" i="40" s="1"/>
  <c r="I25" i="40" s="1"/>
  <c r="T121" i="48"/>
  <c r="H123" i="48"/>
  <c r="T123" i="48" s="1"/>
  <c r="T121" i="21"/>
  <c r="H123" i="21"/>
  <c r="T123" i="21" s="1"/>
  <c r="E23" i="36"/>
  <c r="H23" i="36" s="1"/>
  <c r="I23" i="36" s="1"/>
  <c r="E22" i="36"/>
  <c r="H22" i="36" s="1"/>
  <c r="I22" i="36" s="1"/>
  <c r="E24" i="36"/>
  <c r="H24" i="36" s="1"/>
  <c r="I24" i="36" s="1"/>
  <c r="I122" i="71"/>
  <c r="I123" i="71"/>
  <c r="E24" i="16"/>
  <c r="H24" i="16" s="1"/>
  <c r="I24" i="16" s="1"/>
  <c r="E17" i="16"/>
  <c r="E27" i="16"/>
  <c r="H27" i="16" s="1"/>
  <c r="I27" i="16" s="1"/>
  <c r="E20" i="16"/>
  <c r="H20" i="16" s="1"/>
  <c r="I20" i="16" s="1"/>
  <c r="E29" i="16"/>
  <c r="H29" i="16" s="1"/>
  <c r="I29" i="16" s="1"/>
  <c r="E19" i="16"/>
  <c r="E28" i="16"/>
  <c r="H28" i="16" s="1"/>
  <c r="I28" i="16" s="1"/>
  <c r="I122" i="20"/>
  <c r="E16" i="20"/>
  <c r="H16" i="20" s="1"/>
  <c r="I16" i="20" s="1"/>
  <c r="E23" i="20"/>
  <c r="H23" i="20" s="1"/>
  <c r="I23" i="20" s="1"/>
  <c r="E22" i="20"/>
  <c r="H22" i="20" s="1"/>
  <c r="I22" i="20" s="1"/>
  <c r="E18" i="20"/>
  <c r="H18" i="20" s="1"/>
  <c r="I18" i="20" s="1"/>
  <c r="E39" i="21"/>
  <c r="I39" i="21" s="1"/>
  <c r="E38" i="21"/>
  <c r="I38" i="21" s="1"/>
  <c r="E15" i="40"/>
  <c r="H27" i="44"/>
  <c r="I27" i="44" s="1"/>
  <c r="I122" i="50"/>
  <c r="E26" i="76"/>
  <c r="H26" i="76" s="1"/>
  <c r="I26" i="76" s="1"/>
  <c r="E41" i="58"/>
  <c r="I41" i="58" s="1"/>
  <c r="E40" i="58"/>
  <c r="I40" i="58" s="1"/>
  <c r="E14" i="69"/>
  <c r="H14" i="69" s="1"/>
  <c r="I14" i="69" s="1"/>
  <c r="E42" i="25"/>
  <c r="I42" i="25" s="1"/>
  <c r="E15" i="50"/>
  <c r="J15" i="50" s="1"/>
  <c r="E39" i="32"/>
  <c r="I39" i="32" s="1"/>
  <c r="E38" i="32"/>
  <c r="I38" i="32" s="1"/>
  <c r="E43" i="32"/>
  <c r="I43" i="32" s="1"/>
  <c r="E40" i="32"/>
  <c r="I40" i="32" s="1"/>
  <c r="E41" i="32"/>
  <c r="I41" i="32" s="1"/>
  <c r="E17" i="35"/>
  <c r="E14" i="35"/>
  <c r="H14" i="35" s="1"/>
  <c r="I14" i="35" s="1"/>
  <c r="E23" i="35"/>
  <c r="H23" i="35" s="1"/>
  <c r="I23" i="35" s="1"/>
  <c r="E18" i="35"/>
  <c r="H18" i="35" s="1"/>
  <c r="I18" i="35" s="1"/>
  <c r="E28" i="35"/>
  <c r="H28" i="35" s="1"/>
  <c r="I28" i="35" s="1"/>
  <c r="E29" i="35"/>
  <c r="H29" i="35" s="1"/>
  <c r="I29" i="35" s="1"/>
  <c r="E15" i="36"/>
  <c r="J15" i="36" s="1"/>
  <c r="E29" i="40"/>
  <c r="H29" i="40" s="1"/>
  <c r="I29" i="40" s="1"/>
  <c r="I123" i="67"/>
  <c r="I122" i="77"/>
  <c r="I121" i="77"/>
  <c r="E15" i="77"/>
  <c r="J15" i="77" s="1"/>
  <c r="E25" i="77"/>
  <c r="H25" i="77" s="1"/>
  <c r="I25" i="77" s="1"/>
  <c r="I122" i="38"/>
  <c r="T122" i="38"/>
  <c r="E15" i="23"/>
  <c r="J15" i="23" s="1"/>
  <c r="E22" i="23"/>
  <c r="H22" i="23" s="1"/>
  <c r="I22" i="23" s="1"/>
  <c r="E23" i="23"/>
  <c r="H23" i="23" s="1"/>
  <c r="I23" i="23" s="1"/>
  <c r="E26" i="23"/>
  <c r="H26" i="23" s="1"/>
  <c r="I26" i="23" s="1"/>
  <c r="E16" i="23"/>
  <c r="H16" i="23" s="1"/>
  <c r="I16" i="23" s="1"/>
  <c r="T121" i="26"/>
  <c r="H123" i="26"/>
  <c r="E42" i="50"/>
  <c r="I42" i="50" s="1"/>
  <c r="E25" i="69"/>
  <c r="H25" i="69" s="1"/>
  <c r="I25" i="69" s="1"/>
  <c r="E29" i="69"/>
  <c r="H29" i="69" s="1"/>
  <c r="I29" i="69" s="1"/>
  <c r="E19" i="69"/>
  <c r="E28" i="69"/>
  <c r="H28" i="69" s="1"/>
  <c r="I28" i="69" s="1"/>
  <c r="E20" i="69"/>
  <c r="H20" i="69" s="1"/>
  <c r="I20" i="69" s="1"/>
  <c r="E16" i="69"/>
  <c r="H16" i="69" s="1"/>
  <c r="I16" i="69" s="1"/>
  <c r="E26" i="69"/>
  <c r="H26" i="69" s="1"/>
  <c r="I26" i="69" s="1"/>
  <c r="E18" i="69"/>
  <c r="H18" i="69" s="1"/>
  <c r="I18" i="69" s="1"/>
  <c r="E25" i="68"/>
  <c r="H25" i="68" s="1"/>
  <c r="I25" i="68" s="1"/>
  <c r="E17" i="68"/>
  <c r="J17" i="68" s="1"/>
  <c r="E18" i="68"/>
  <c r="H18" i="68" s="1"/>
  <c r="I18" i="68" s="1"/>
  <c r="E19" i="68"/>
  <c r="I122" i="30"/>
  <c r="T8" i="30"/>
  <c r="P104" i="30" s="1"/>
  <c r="E105" i="30"/>
  <c r="T121" i="16"/>
  <c r="H123" i="16"/>
  <c r="I122" i="24"/>
  <c r="E28" i="39"/>
  <c r="H28" i="39" s="1"/>
  <c r="I28" i="39" s="1"/>
  <c r="E24" i="39"/>
  <c r="H24" i="39" s="1"/>
  <c r="I24" i="39" s="1"/>
  <c r="E14" i="39"/>
  <c r="H14" i="39" s="1"/>
  <c r="I14" i="39" s="1"/>
  <c r="E16" i="39"/>
  <c r="H16" i="39" s="1"/>
  <c r="I16" i="39" s="1"/>
  <c r="E27" i="39"/>
  <c r="H27" i="39" s="1"/>
  <c r="I27" i="39" s="1"/>
  <c r="E29" i="39"/>
  <c r="H29" i="39" s="1"/>
  <c r="I29" i="39" s="1"/>
  <c r="E17" i="39"/>
  <c r="E19" i="39"/>
  <c r="E39" i="50"/>
  <c r="I39" i="50" s="1"/>
  <c r="H123" i="51"/>
  <c r="T123" i="51" s="1"/>
  <c r="E17" i="76"/>
  <c r="J17" i="76" s="1"/>
  <c r="H123" i="70"/>
  <c r="T123" i="70" s="1"/>
  <c r="T121" i="70"/>
  <c r="E28" i="23"/>
  <c r="H28" i="23" s="1"/>
  <c r="I28" i="23" s="1"/>
  <c r="E38" i="50"/>
  <c r="I38" i="50" s="1"/>
  <c r="E16" i="67"/>
  <c r="H16" i="67" s="1"/>
  <c r="I16" i="67" s="1"/>
  <c r="E26" i="67"/>
  <c r="H26" i="67" s="1"/>
  <c r="I26" i="67" s="1"/>
  <c r="E15" i="67"/>
  <c r="J15" i="67" s="1"/>
  <c r="E27" i="23"/>
  <c r="H27" i="23" s="1"/>
  <c r="I27" i="23" s="1"/>
  <c r="E15" i="69"/>
  <c r="E18" i="18"/>
  <c r="H18" i="18" s="1"/>
  <c r="I18" i="18" s="1"/>
  <c r="E22" i="18"/>
  <c r="H22" i="18" s="1"/>
  <c r="I22" i="18" s="1"/>
  <c r="E14" i="18"/>
  <c r="H14" i="18" s="1"/>
  <c r="I14" i="18" s="1"/>
  <c r="E26" i="18"/>
  <c r="H26" i="18" s="1"/>
  <c r="I26" i="18" s="1"/>
  <c r="E43" i="21"/>
  <c r="I43" i="21" s="1"/>
  <c r="I122" i="35"/>
  <c r="E29" i="36"/>
  <c r="H29" i="36" s="1"/>
  <c r="I29" i="36" s="1"/>
  <c r="E14" i="40"/>
  <c r="H14" i="40" s="1"/>
  <c r="I14" i="40" s="1"/>
  <c r="H123" i="47"/>
  <c r="I123" i="47" s="1"/>
  <c r="T121" i="47"/>
  <c r="E14" i="48"/>
  <c r="H14" i="48" s="1"/>
  <c r="I14" i="48" s="1"/>
  <c r="E17" i="48"/>
  <c r="E27" i="48"/>
  <c r="H27" i="48" s="1"/>
  <c r="I27" i="48" s="1"/>
  <c r="E18" i="48"/>
  <c r="H18" i="48" s="1"/>
  <c r="I18" i="48" s="1"/>
  <c r="E28" i="48"/>
  <c r="H28" i="48" s="1"/>
  <c r="I28" i="48" s="1"/>
  <c r="E19" i="75"/>
  <c r="E28" i="75"/>
  <c r="H28" i="75" s="1"/>
  <c r="I28" i="75" s="1"/>
  <c r="E27" i="75"/>
  <c r="H27" i="75" s="1"/>
  <c r="I27" i="75" s="1"/>
  <c r="E24" i="75"/>
  <c r="H24" i="75" s="1"/>
  <c r="I24" i="75" s="1"/>
  <c r="E26" i="75"/>
  <c r="H26" i="75" s="1"/>
  <c r="I26" i="75" s="1"/>
  <c r="E43" i="58"/>
  <c r="I43" i="58" s="1"/>
  <c r="E15" i="32"/>
  <c r="J15" i="32" s="1"/>
  <c r="E23" i="32"/>
  <c r="H23" i="32" s="1"/>
  <c r="I23" i="32" s="1"/>
  <c r="E24" i="32"/>
  <c r="H24" i="32" s="1"/>
  <c r="I24" i="32" s="1"/>
  <c r="E15" i="71"/>
  <c r="J15" i="71" s="1"/>
  <c r="E17" i="71"/>
  <c r="J17" i="71" s="1"/>
  <c r="E18" i="71"/>
  <c r="H18" i="71" s="1"/>
  <c r="I18" i="71" s="1"/>
  <c r="E27" i="71"/>
  <c r="H27" i="71" s="1"/>
  <c r="I27" i="71" s="1"/>
  <c r="E28" i="71"/>
  <c r="H28" i="71" s="1"/>
  <c r="I28" i="71" s="1"/>
  <c r="E41" i="36"/>
  <c r="I41" i="36" s="1"/>
  <c r="E42" i="36"/>
  <c r="I42" i="36" s="1"/>
  <c r="E43" i="36"/>
  <c r="I43" i="36" s="1"/>
  <c r="E43" i="28"/>
  <c r="I43" i="28" s="1"/>
  <c r="E19" i="32"/>
  <c r="J19" i="32" s="1"/>
  <c r="E42" i="38"/>
  <c r="I42" i="38" s="1"/>
  <c r="I122" i="66"/>
  <c r="E19" i="71"/>
  <c r="E18" i="78"/>
  <c r="H18" i="78" s="1"/>
  <c r="I18" i="78" s="1"/>
  <c r="E27" i="78"/>
  <c r="H27" i="78" s="1"/>
  <c r="I27" i="78" s="1"/>
  <c r="E15" i="78"/>
  <c r="J15" i="78" s="1"/>
  <c r="E41" i="18"/>
  <c r="I41" i="18" s="1"/>
  <c r="E42" i="18"/>
  <c r="I42" i="18" s="1"/>
  <c r="E43" i="18"/>
  <c r="I43" i="18" s="1"/>
  <c r="E42" i="28"/>
  <c r="I42" i="28" s="1"/>
  <c r="E29" i="32"/>
  <c r="H29" i="32" s="1"/>
  <c r="I29" i="32" s="1"/>
  <c r="I122" i="33"/>
  <c r="E40" i="36"/>
  <c r="I40" i="36" s="1"/>
  <c r="T114" i="37"/>
  <c r="U114" i="37" s="1"/>
  <c r="E41" i="38"/>
  <c r="I41" i="38" s="1"/>
  <c r="E41" i="42"/>
  <c r="I41" i="42" s="1"/>
  <c r="E105" i="43"/>
  <c r="I122" i="47"/>
  <c r="E42" i="51"/>
  <c r="I42" i="51" s="1"/>
  <c r="E43" i="76"/>
  <c r="I43" i="76" s="1"/>
  <c r="E40" i="66"/>
  <c r="I40" i="66" s="1"/>
  <c r="E16" i="70"/>
  <c r="H16" i="70" s="1"/>
  <c r="I16" i="70" s="1"/>
  <c r="E24" i="70"/>
  <c r="H24" i="70" s="1"/>
  <c r="I24" i="70" s="1"/>
  <c r="E15" i="70"/>
  <c r="J15" i="70" s="1"/>
  <c r="E25" i="70"/>
  <c r="H25" i="70" s="1"/>
  <c r="I25" i="70" s="1"/>
  <c r="E29" i="71"/>
  <c r="H29" i="71" s="1"/>
  <c r="I29" i="71" s="1"/>
  <c r="E19" i="78"/>
  <c r="J19" i="78" s="1"/>
  <c r="E19" i="34"/>
  <c r="E17" i="34"/>
  <c r="E29" i="34"/>
  <c r="H29" i="34" s="1"/>
  <c r="I29" i="34" s="1"/>
  <c r="T121" i="37"/>
  <c r="H123" i="37"/>
  <c r="T123" i="37" s="1"/>
  <c r="I123" i="42"/>
  <c r="E38" i="47"/>
  <c r="I38" i="47" s="1"/>
  <c r="E40" i="47"/>
  <c r="I40" i="47" s="1"/>
  <c r="E39" i="47"/>
  <c r="I39" i="47" s="1"/>
  <c r="E43" i="66"/>
  <c r="I43" i="66" s="1"/>
  <c r="I122" i="18"/>
  <c r="E29" i="24"/>
  <c r="H29" i="24" s="1"/>
  <c r="I29" i="24" s="1"/>
  <c r="E41" i="28"/>
  <c r="I41" i="28" s="1"/>
  <c r="E18" i="32"/>
  <c r="H18" i="32" s="1"/>
  <c r="I18" i="32" s="1"/>
  <c r="E21" i="33"/>
  <c r="H21" i="33" s="1"/>
  <c r="I21" i="33" s="1"/>
  <c r="E26" i="33"/>
  <c r="H26" i="33" s="1"/>
  <c r="I26" i="33" s="1"/>
  <c r="E17" i="33"/>
  <c r="E18" i="33"/>
  <c r="H18" i="33" s="1"/>
  <c r="I18" i="33" s="1"/>
  <c r="E27" i="33"/>
  <c r="H27" i="33" s="1"/>
  <c r="I27" i="33" s="1"/>
  <c r="H123" i="35"/>
  <c r="I123" i="35" s="1"/>
  <c r="T121" i="35"/>
  <c r="E39" i="36"/>
  <c r="I39" i="36" s="1"/>
  <c r="E39" i="38"/>
  <c r="I39" i="38" s="1"/>
  <c r="E38" i="42"/>
  <c r="I38" i="42" s="1"/>
  <c r="E39" i="43"/>
  <c r="I39" i="43" s="1"/>
  <c r="E42" i="43"/>
  <c r="I42" i="43" s="1"/>
  <c r="E40" i="43"/>
  <c r="I40" i="43" s="1"/>
  <c r="E41" i="43"/>
  <c r="I41" i="43" s="1"/>
  <c r="E43" i="47"/>
  <c r="I43" i="47" s="1"/>
  <c r="E41" i="51"/>
  <c r="I41" i="51" s="1"/>
  <c r="E40" i="52"/>
  <c r="I40" i="52" s="1"/>
  <c r="E39" i="52"/>
  <c r="I39" i="52" s="1"/>
  <c r="E42" i="76"/>
  <c r="I42" i="76" s="1"/>
  <c r="I122" i="34"/>
  <c r="F469" i="64"/>
  <c r="E39" i="17"/>
  <c r="I39" i="17" s="1"/>
  <c r="E42" i="17"/>
  <c r="I42" i="17" s="1"/>
  <c r="E16" i="26"/>
  <c r="H16" i="26" s="1"/>
  <c r="I16" i="26" s="1"/>
  <c r="E40" i="28"/>
  <c r="I40" i="28" s="1"/>
  <c r="E28" i="32"/>
  <c r="H28" i="32" s="1"/>
  <c r="I28" i="32" s="1"/>
  <c r="E38" i="36"/>
  <c r="I38" i="36" s="1"/>
  <c r="E38" i="38"/>
  <c r="I38" i="38" s="1"/>
  <c r="E19" i="42"/>
  <c r="E17" i="42"/>
  <c r="E16" i="42"/>
  <c r="H16" i="42" s="1"/>
  <c r="I16" i="42" s="1"/>
  <c r="E26" i="42"/>
  <c r="H26" i="42" s="1"/>
  <c r="I26" i="42" s="1"/>
  <c r="E21" i="42"/>
  <c r="H21" i="42" s="1"/>
  <c r="I21" i="42" s="1"/>
  <c r="I122" i="43"/>
  <c r="E42" i="47"/>
  <c r="I42" i="47" s="1"/>
  <c r="E39" i="51"/>
  <c r="I39" i="51" s="1"/>
  <c r="E19" i="70"/>
  <c r="J19" i="70" s="1"/>
  <c r="I122" i="78"/>
  <c r="E104" i="23"/>
  <c r="E14" i="52"/>
  <c r="E17" i="55"/>
  <c r="E20" i="44"/>
  <c r="H20" i="44" s="1"/>
  <c r="I20" i="44" s="1"/>
  <c r="E41" i="16"/>
  <c r="I41" i="16" s="1"/>
  <c r="E42" i="26"/>
  <c r="I42" i="26" s="1"/>
  <c r="E42" i="35"/>
  <c r="I42" i="35" s="1"/>
  <c r="E41" i="23"/>
  <c r="I41" i="23" s="1"/>
  <c r="E43" i="40"/>
  <c r="I43" i="40" s="1"/>
  <c r="E42" i="45"/>
  <c r="I42" i="45" s="1"/>
  <c r="E38" i="16"/>
  <c r="I38" i="16" s="1"/>
  <c r="E18" i="21"/>
  <c r="H18" i="21" s="1"/>
  <c r="I18" i="21" s="1"/>
  <c r="E41" i="26"/>
  <c r="I41" i="26" s="1"/>
  <c r="E39" i="35"/>
  <c r="I39" i="35" s="1"/>
  <c r="E38" i="23"/>
  <c r="I38" i="23" s="1"/>
  <c r="E42" i="40"/>
  <c r="I42" i="40" s="1"/>
  <c r="E29" i="44"/>
  <c r="H29" i="44" s="1"/>
  <c r="I29" i="44" s="1"/>
  <c r="E39" i="45"/>
  <c r="I39" i="45" s="1"/>
  <c r="E21" i="52"/>
  <c r="H21" i="52" s="1"/>
  <c r="I21" i="52" s="1"/>
  <c r="E29" i="55"/>
  <c r="H29" i="55" s="1"/>
  <c r="I29" i="55" s="1"/>
  <c r="F473" i="64"/>
  <c r="G473" i="64" s="1"/>
  <c r="F465" i="64"/>
  <c r="G465" i="64" s="1"/>
  <c r="E39" i="7"/>
  <c r="I39" i="7" s="1"/>
  <c r="E106" i="24"/>
  <c r="E106" i="26"/>
  <c r="E106" i="31"/>
  <c r="E105" i="20"/>
  <c r="E104" i="35"/>
  <c r="E105" i="26"/>
  <c r="E105" i="31"/>
  <c r="E104" i="24"/>
  <c r="T8" i="24"/>
  <c r="E104" i="31"/>
  <c r="E106" i="28"/>
  <c r="E105" i="28"/>
  <c r="E106" i="35"/>
  <c r="E106" i="68"/>
  <c r="E106" i="30"/>
  <c r="E106" i="66"/>
  <c r="T8" i="23"/>
  <c r="P106" i="23" s="1"/>
  <c r="E104" i="66"/>
  <c r="T8" i="66"/>
  <c r="P106" i="66" s="1"/>
  <c r="E26" i="7"/>
  <c r="H26" i="7" s="1"/>
  <c r="E106" i="17"/>
  <c r="E106" i="21"/>
  <c r="E106" i="52"/>
  <c r="E106" i="77"/>
  <c r="E23" i="7"/>
  <c r="H23" i="7" s="1"/>
  <c r="E20" i="7"/>
  <c r="H20" i="7" s="1"/>
  <c r="E106" i="45"/>
  <c r="E105" i="52"/>
  <c r="E104" i="17"/>
  <c r="T8" i="50"/>
  <c r="E106" i="22"/>
  <c r="E106" i="27"/>
  <c r="E104" i="43"/>
  <c r="E105" i="45"/>
  <c r="E104" i="26"/>
  <c r="E106" i="50"/>
  <c r="E105" i="58"/>
  <c r="E104" i="30"/>
  <c r="E105" i="27"/>
  <c r="E104" i="45"/>
  <c r="E29" i="7"/>
  <c r="H29" i="7" s="1"/>
  <c r="E105" i="40"/>
  <c r="P105" i="20"/>
  <c r="P104" i="20"/>
  <c r="P104" i="43"/>
  <c r="P106" i="43"/>
  <c r="E43" i="7"/>
  <c r="I43" i="7" s="1"/>
  <c r="E28" i="7"/>
  <c r="H28" i="7" s="1"/>
  <c r="E22" i="7"/>
  <c r="H22" i="7" s="1"/>
  <c r="T114" i="45"/>
  <c r="U114" i="45" s="1"/>
  <c r="E42" i="7"/>
  <c r="I42" i="7" s="1"/>
  <c r="E105" i="21"/>
  <c r="E41" i="7"/>
  <c r="I41" i="7" s="1"/>
  <c r="E104" i="20"/>
  <c r="T113" i="33"/>
  <c r="E105" i="50"/>
  <c r="E40" i="7"/>
  <c r="I40" i="7" s="1"/>
  <c r="E27" i="7"/>
  <c r="H27" i="7" s="1"/>
  <c r="E21" i="7"/>
  <c r="H21" i="7" s="1"/>
  <c r="T8" i="21"/>
  <c r="P106" i="21" s="1"/>
  <c r="T114" i="31"/>
  <c r="U114" i="31" s="1"/>
  <c r="E19" i="7"/>
  <c r="J19" i="7" s="1"/>
  <c r="T8" i="17"/>
  <c r="P104" i="17" s="1"/>
  <c r="I114" i="35"/>
  <c r="H18" i="7"/>
  <c r="E25" i="7"/>
  <c r="H25" i="7" s="1"/>
  <c r="E14" i="7"/>
  <c r="H14" i="7" s="1"/>
  <c r="E106" i="25"/>
  <c r="D45" i="60"/>
  <c r="E24" i="7"/>
  <c r="H24" i="7" s="1"/>
  <c r="T113" i="16"/>
  <c r="E106" i="20"/>
  <c r="E105" i="25"/>
  <c r="I114" i="71"/>
  <c r="P104" i="70"/>
  <c r="P105" i="70"/>
  <c r="P106" i="70"/>
  <c r="P104" i="26"/>
  <c r="P105" i="26"/>
  <c r="P106" i="26"/>
  <c r="T114" i="18"/>
  <c r="U114" i="18" s="1"/>
  <c r="E106" i="38"/>
  <c r="E104" i="58"/>
  <c r="P105" i="43"/>
  <c r="P106" i="51"/>
  <c r="E106" i="70"/>
  <c r="I114" i="17"/>
  <c r="E105" i="38"/>
  <c r="T8" i="38"/>
  <c r="P105" i="51"/>
  <c r="E105" i="70"/>
  <c r="D30" i="60"/>
  <c r="E31" i="60" s="1"/>
  <c r="E105" i="51"/>
  <c r="I114" i="34"/>
  <c r="T8" i="68"/>
  <c r="P105" i="68" s="1"/>
  <c r="T114" i="26"/>
  <c r="U114" i="26" s="1"/>
  <c r="E104" i="51"/>
  <c r="E104" i="70"/>
  <c r="E106" i="58"/>
  <c r="I113" i="47"/>
  <c r="I113" i="55"/>
  <c r="P105" i="31"/>
  <c r="P106" i="31"/>
  <c r="P104" i="31"/>
  <c r="P106" i="35"/>
  <c r="P104" i="35"/>
  <c r="P105" i="35"/>
  <c r="E105" i="37"/>
  <c r="T8" i="37"/>
  <c r="P106" i="37" s="1"/>
  <c r="E106" i="37"/>
  <c r="T8" i="69"/>
  <c r="E106" i="69"/>
  <c r="E104" i="69"/>
  <c r="E105" i="69"/>
  <c r="T8" i="75"/>
  <c r="E104" i="75"/>
  <c r="E105" i="75"/>
  <c r="E106" i="75"/>
  <c r="E106" i="71"/>
  <c r="E104" i="71"/>
  <c r="E105" i="71"/>
  <c r="T8" i="76"/>
  <c r="P106" i="76" s="1"/>
  <c r="E104" i="76"/>
  <c r="E105" i="76"/>
  <c r="E106" i="76"/>
  <c r="P106" i="58"/>
  <c r="P104" i="58"/>
  <c r="P105" i="58"/>
  <c r="P105" i="18"/>
  <c r="H18" i="26"/>
  <c r="I18" i="26" s="1"/>
  <c r="I114" i="58"/>
  <c r="T8" i="33"/>
  <c r="P106" i="33" s="1"/>
  <c r="E105" i="68"/>
  <c r="I113" i="25"/>
  <c r="P106" i="25"/>
  <c r="T8" i="36"/>
  <c r="I114" i="67"/>
  <c r="P104" i="18"/>
  <c r="E105" i="77"/>
  <c r="I113" i="31"/>
  <c r="T113" i="40"/>
  <c r="T114" i="52"/>
  <c r="U114" i="52" s="1"/>
  <c r="I113" i="17"/>
  <c r="I111" i="60" s="1"/>
  <c r="T8" i="22"/>
  <c r="P104" i="22" s="1"/>
  <c r="E104" i="77"/>
  <c r="E106" i="78"/>
  <c r="I113" i="18"/>
  <c r="P105" i="25"/>
  <c r="I113" i="48"/>
  <c r="E105" i="22"/>
  <c r="H20" i="18"/>
  <c r="I20" i="18" s="1"/>
  <c r="E105" i="78"/>
  <c r="I114" i="66"/>
  <c r="T114" i="24"/>
  <c r="U114" i="24" s="1"/>
  <c r="T114" i="27"/>
  <c r="U114" i="27" s="1"/>
  <c r="I114" i="55"/>
  <c r="I114" i="30"/>
  <c r="T114" i="32"/>
  <c r="U114" i="32" s="1"/>
  <c r="T114" i="38"/>
  <c r="U114" i="38" s="1"/>
  <c r="T114" i="48"/>
  <c r="U114" i="48" s="1"/>
  <c r="I114" i="56"/>
  <c r="T114" i="77"/>
  <c r="U114" i="77" s="1"/>
  <c r="T114" i="40"/>
  <c r="U114" i="40" s="1"/>
  <c r="T114" i="78"/>
  <c r="U114" i="78" s="1"/>
  <c r="T114" i="22"/>
  <c r="U114" i="22" s="1"/>
  <c r="T114" i="42"/>
  <c r="U114" i="42" s="1"/>
  <c r="I114" i="75"/>
  <c r="T113" i="27"/>
  <c r="T113" i="30"/>
  <c r="I113" i="50"/>
  <c r="I113" i="57"/>
  <c r="I113" i="67"/>
  <c r="T113" i="32"/>
  <c r="T113" i="42"/>
  <c r="T113" i="51"/>
  <c r="T113" i="52"/>
  <c r="T113" i="69"/>
  <c r="T113" i="71"/>
  <c r="T113" i="56"/>
  <c r="I113" i="77"/>
  <c r="I113" i="23"/>
  <c r="T113" i="39"/>
  <c r="T113" i="75"/>
  <c r="T113" i="76"/>
  <c r="I113" i="66"/>
  <c r="I113" i="78"/>
  <c r="G478" i="64"/>
  <c r="T8" i="16"/>
  <c r="E104" i="16"/>
  <c r="E106" i="16"/>
  <c r="E17" i="22"/>
  <c r="J17" i="22" s="1"/>
  <c r="E27" i="22"/>
  <c r="H27" i="22" s="1"/>
  <c r="I27" i="22" s="1"/>
  <c r="E14" i="22"/>
  <c r="E29" i="22"/>
  <c r="H29" i="22" s="1"/>
  <c r="I29" i="22" s="1"/>
  <c r="J19" i="22"/>
  <c r="E24" i="22"/>
  <c r="H24" i="22" s="1"/>
  <c r="I24" i="22" s="1"/>
  <c r="E21" i="22"/>
  <c r="H21" i="22" s="1"/>
  <c r="I21" i="22" s="1"/>
  <c r="E15" i="22"/>
  <c r="J15" i="22" s="1"/>
  <c r="H22" i="22"/>
  <c r="I22" i="22" s="1"/>
  <c r="E28" i="22"/>
  <c r="H28" i="22" s="1"/>
  <c r="I28" i="22" s="1"/>
  <c r="E25" i="22"/>
  <c r="H25" i="22" s="1"/>
  <c r="I25" i="22" s="1"/>
  <c r="E20" i="22"/>
  <c r="H20" i="22" s="1"/>
  <c r="I20" i="22" s="1"/>
  <c r="E23" i="22"/>
  <c r="H23" i="22" s="1"/>
  <c r="I23" i="22" s="1"/>
  <c r="E26" i="22"/>
  <c r="H26" i="22" s="1"/>
  <c r="I26" i="22" s="1"/>
  <c r="E18" i="22"/>
  <c r="H18" i="22" s="1"/>
  <c r="I18" i="22" s="1"/>
  <c r="E16" i="22"/>
  <c r="H16" i="22" s="1"/>
  <c r="I16" i="22" s="1"/>
  <c r="F477" i="64"/>
  <c r="G477" i="64" s="1"/>
  <c r="F468" i="64"/>
  <c r="G468" i="64" s="1"/>
  <c r="F476" i="64"/>
  <c r="G476" i="64" s="1"/>
  <c r="T123" i="17"/>
  <c r="F467" i="64"/>
  <c r="G467" i="64" s="1"/>
  <c r="H123" i="7"/>
  <c r="T121" i="7"/>
  <c r="F475" i="64"/>
  <c r="G475" i="64" s="1"/>
  <c r="F466" i="64"/>
  <c r="G466" i="64" s="1"/>
  <c r="E105" i="16"/>
  <c r="F474" i="64"/>
  <c r="G474" i="64" s="1"/>
  <c r="I114" i="16"/>
  <c r="I112" i="60" s="1"/>
  <c r="T114" i="16"/>
  <c r="U114" i="16" s="1"/>
  <c r="I122" i="17"/>
  <c r="I123" i="17"/>
  <c r="F462" i="64"/>
  <c r="G462" i="64" s="1"/>
  <c r="F463" i="64"/>
  <c r="G463" i="64" s="1"/>
  <c r="F464" i="64"/>
  <c r="G464" i="64" s="1"/>
  <c r="F460" i="64"/>
  <c r="G460" i="64" s="1"/>
  <c r="F472" i="64"/>
  <c r="G472" i="64" s="1"/>
  <c r="G471" i="64"/>
  <c r="F461" i="64"/>
  <c r="G461" i="64" s="1"/>
  <c r="C30" i="60"/>
  <c r="C32" i="60" s="1"/>
  <c r="R94" i="18"/>
  <c r="F470" i="64"/>
  <c r="G470" i="64" s="1"/>
  <c r="C45" i="60"/>
  <c r="E18" i="25"/>
  <c r="H18" i="25" s="1"/>
  <c r="I18" i="25" s="1"/>
  <c r="E23" i="25"/>
  <c r="H23" i="25" s="1"/>
  <c r="I23" i="25" s="1"/>
  <c r="E15" i="25"/>
  <c r="J15" i="25" s="1"/>
  <c r="E17" i="25"/>
  <c r="J17" i="25" s="1"/>
  <c r="E27" i="25"/>
  <c r="H27" i="25" s="1"/>
  <c r="I27" i="25" s="1"/>
  <c r="E20" i="25"/>
  <c r="H20" i="25" s="1"/>
  <c r="I20" i="25" s="1"/>
  <c r="E14" i="25"/>
  <c r="E16" i="25"/>
  <c r="H16" i="25" s="1"/>
  <c r="I16" i="25" s="1"/>
  <c r="E29" i="25"/>
  <c r="H29" i="25" s="1"/>
  <c r="I29" i="25" s="1"/>
  <c r="E25" i="25"/>
  <c r="H25" i="25" s="1"/>
  <c r="I25" i="25" s="1"/>
  <c r="E19" i="25"/>
  <c r="J19" i="25" s="1"/>
  <c r="E21" i="25"/>
  <c r="H21" i="25" s="1"/>
  <c r="I21" i="25" s="1"/>
  <c r="E28" i="25"/>
  <c r="H28" i="25" s="1"/>
  <c r="I28" i="25" s="1"/>
  <c r="E26" i="25"/>
  <c r="H26" i="25" s="1"/>
  <c r="I26" i="25" s="1"/>
  <c r="E24" i="25"/>
  <c r="H24" i="25" s="1"/>
  <c r="I24" i="25" s="1"/>
  <c r="E16" i="7"/>
  <c r="I122" i="21"/>
  <c r="T123" i="28"/>
  <c r="E43" i="16"/>
  <c r="I43" i="16" s="1"/>
  <c r="E40" i="16"/>
  <c r="I40" i="16" s="1"/>
  <c r="P106" i="7"/>
  <c r="E17" i="7"/>
  <c r="J17" i="7" s="1"/>
  <c r="T122" i="16"/>
  <c r="E14" i="16"/>
  <c r="E16" i="16"/>
  <c r="H16" i="16" s="1"/>
  <c r="I16" i="16" s="1"/>
  <c r="E18" i="16"/>
  <c r="H18" i="16" s="1"/>
  <c r="I18" i="16" s="1"/>
  <c r="E25" i="16"/>
  <c r="E40" i="17"/>
  <c r="I40" i="17" s="1"/>
  <c r="R90" i="16"/>
  <c r="R85" i="16"/>
  <c r="E42" i="16"/>
  <c r="I42" i="16" s="1"/>
  <c r="E23" i="16"/>
  <c r="E15" i="16"/>
  <c r="J15" i="16" s="1"/>
  <c r="T122" i="18"/>
  <c r="I114" i="20"/>
  <c r="H123" i="25"/>
  <c r="T121" i="25"/>
  <c r="T123" i="24"/>
  <c r="E38" i="17"/>
  <c r="I38" i="17" s="1"/>
  <c r="E41" i="17"/>
  <c r="I41" i="17" s="1"/>
  <c r="I113" i="20"/>
  <c r="T113" i="20"/>
  <c r="R92" i="21"/>
  <c r="E23" i="17"/>
  <c r="H23" i="17" s="1"/>
  <c r="I23" i="17" s="1"/>
  <c r="E18" i="17"/>
  <c r="H18" i="17" s="1"/>
  <c r="I18" i="17" s="1"/>
  <c r="E21" i="18"/>
  <c r="P106" i="20"/>
  <c r="E24" i="20"/>
  <c r="H24" i="20" s="1"/>
  <c r="I24" i="20" s="1"/>
  <c r="E19" i="20"/>
  <c r="J19" i="20" s="1"/>
  <c r="I113" i="21"/>
  <c r="E27" i="21"/>
  <c r="H27" i="21" s="1"/>
  <c r="I27" i="21" s="1"/>
  <c r="E17" i="21"/>
  <c r="J17" i="21" s="1"/>
  <c r="H123" i="31"/>
  <c r="T121" i="31"/>
  <c r="I113" i="22"/>
  <c r="T113" i="22"/>
  <c r="E25" i="21"/>
  <c r="H25" i="21" s="1"/>
  <c r="I25" i="21" s="1"/>
  <c r="T114" i="25"/>
  <c r="U114" i="25" s="1"/>
  <c r="E26" i="17"/>
  <c r="H26" i="17" s="1"/>
  <c r="I26" i="17" s="1"/>
  <c r="E16" i="17"/>
  <c r="H16" i="17" s="1"/>
  <c r="I16" i="17" s="1"/>
  <c r="T121" i="18"/>
  <c r="E24" i="18"/>
  <c r="H24" i="18" s="1"/>
  <c r="I24" i="18" s="1"/>
  <c r="E19" i="18"/>
  <c r="J19" i="18" s="1"/>
  <c r="I123" i="20"/>
  <c r="E27" i="20"/>
  <c r="H27" i="20" s="1"/>
  <c r="I27" i="20" s="1"/>
  <c r="E17" i="20"/>
  <c r="J17" i="20" s="1"/>
  <c r="E42" i="21"/>
  <c r="I42" i="21" s="1"/>
  <c r="E15" i="21"/>
  <c r="J15" i="21" s="1"/>
  <c r="I113" i="24"/>
  <c r="E19" i="24"/>
  <c r="J19" i="24" s="1"/>
  <c r="E24" i="24"/>
  <c r="H24" i="24" s="1"/>
  <c r="I24" i="24" s="1"/>
  <c r="E16" i="24"/>
  <c r="H16" i="24" s="1"/>
  <c r="I16" i="24" s="1"/>
  <c r="E26" i="24"/>
  <c r="H26" i="24" s="1"/>
  <c r="I26" i="24" s="1"/>
  <c r="E21" i="24"/>
  <c r="H21" i="24" s="1"/>
  <c r="I21" i="24" s="1"/>
  <c r="E28" i="24"/>
  <c r="H28" i="24" s="1"/>
  <c r="I28" i="24" s="1"/>
  <c r="E15" i="24"/>
  <c r="J15" i="24" s="1"/>
  <c r="E17" i="24"/>
  <c r="J17" i="24" s="1"/>
  <c r="E27" i="24"/>
  <c r="H27" i="24" s="1"/>
  <c r="I27" i="24" s="1"/>
  <c r="R96" i="17"/>
  <c r="R88" i="17"/>
  <c r="E24" i="17"/>
  <c r="H24" i="17" s="1"/>
  <c r="I24" i="17" s="1"/>
  <c r="E19" i="17"/>
  <c r="J19" i="17" s="1"/>
  <c r="E25" i="20"/>
  <c r="H25" i="20" s="1"/>
  <c r="I25" i="20" s="1"/>
  <c r="T114" i="21"/>
  <c r="U114" i="21" s="1"/>
  <c r="E28" i="21"/>
  <c r="H28" i="21" s="1"/>
  <c r="I28" i="21" s="1"/>
  <c r="I122" i="25"/>
  <c r="T121" i="24"/>
  <c r="E18" i="24"/>
  <c r="H18" i="24" s="1"/>
  <c r="I18" i="24" s="1"/>
  <c r="I122" i="22"/>
  <c r="I121" i="22"/>
  <c r="T121" i="17"/>
  <c r="E29" i="17"/>
  <c r="E14" i="17"/>
  <c r="E27" i="18"/>
  <c r="H27" i="18" s="1"/>
  <c r="I27" i="18" s="1"/>
  <c r="E17" i="18"/>
  <c r="J17" i="18" s="1"/>
  <c r="E15" i="20"/>
  <c r="J15" i="20" s="1"/>
  <c r="E21" i="21"/>
  <c r="H21" i="21" s="1"/>
  <c r="I21" i="21" s="1"/>
  <c r="E14" i="28"/>
  <c r="E29" i="28"/>
  <c r="H29" i="28" s="1"/>
  <c r="I29" i="28" s="1"/>
  <c r="E19" i="28"/>
  <c r="J19" i="28" s="1"/>
  <c r="E24" i="28"/>
  <c r="H24" i="28" s="1"/>
  <c r="I24" i="28" s="1"/>
  <c r="E16" i="28"/>
  <c r="H16" i="28" s="1"/>
  <c r="I16" i="28" s="1"/>
  <c r="E26" i="28"/>
  <c r="H26" i="28" s="1"/>
  <c r="I26" i="28" s="1"/>
  <c r="E21" i="28"/>
  <c r="H21" i="28" s="1"/>
  <c r="I21" i="28" s="1"/>
  <c r="E28" i="28"/>
  <c r="H28" i="28" s="1"/>
  <c r="I28" i="28" s="1"/>
  <c r="E18" i="28"/>
  <c r="H18" i="28" s="1"/>
  <c r="I18" i="28" s="1"/>
  <c r="E23" i="28"/>
  <c r="H23" i="28" s="1"/>
  <c r="I23" i="28" s="1"/>
  <c r="E15" i="28"/>
  <c r="J15" i="28" s="1"/>
  <c r="E20" i="28"/>
  <c r="H20" i="28" s="1"/>
  <c r="I20" i="28" s="1"/>
  <c r="E17" i="28"/>
  <c r="J17" i="28" s="1"/>
  <c r="E27" i="28"/>
  <c r="H27" i="28" s="1"/>
  <c r="I27" i="28" s="1"/>
  <c r="E17" i="31"/>
  <c r="J17" i="31" s="1"/>
  <c r="E27" i="31"/>
  <c r="H27" i="31" s="1"/>
  <c r="I27" i="31" s="1"/>
  <c r="E22" i="31"/>
  <c r="H22" i="31" s="1"/>
  <c r="I22" i="31" s="1"/>
  <c r="E19" i="31"/>
  <c r="J19" i="31" s="1"/>
  <c r="E24" i="31"/>
  <c r="H24" i="31" s="1"/>
  <c r="I24" i="31" s="1"/>
  <c r="E16" i="31"/>
  <c r="H16" i="31" s="1"/>
  <c r="I16" i="31" s="1"/>
  <c r="E26" i="31"/>
  <c r="H26" i="31" s="1"/>
  <c r="I26" i="31" s="1"/>
  <c r="E15" i="31"/>
  <c r="J15" i="31" s="1"/>
  <c r="E14" i="31"/>
  <c r="E23" i="31"/>
  <c r="H23" i="31" s="1"/>
  <c r="I23" i="31" s="1"/>
  <c r="E20" i="31"/>
  <c r="H20" i="31" s="1"/>
  <c r="I20" i="31" s="1"/>
  <c r="E29" i="31"/>
  <c r="H29" i="31" s="1"/>
  <c r="I29" i="31" s="1"/>
  <c r="E18" i="31"/>
  <c r="H18" i="31" s="1"/>
  <c r="I18" i="31" s="1"/>
  <c r="E21" i="31"/>
  <c r="H21" i="31" s="1"/>
  <c r="I21" i="31" s="1"/>
  <c r="E28" i="31"/>
  <c r="H28" i="31" s="1"/>
  <c r="I28" i="31" s="1"/>
  <c r="E16" i="21"/>
  <c r="H16" i="21" s="1"/>
  <c r="I16" i="21" s="1"/>
  <c r="I123" i="24"/>
  <c r="I122" i="28"/>
  <c r="I123" i="28"/>
  <c r="E25" i="18"/>
  <c r="H25" i="18" s="1"/>
  <c r="I25" i="18" s="1"/>
  <c r="T114" i="20"/>
  <c r="U114" i="20" s="1"/>
  <c r="E28" i="20"/>
  <c r="H28" i="20" s="1"/>
  <c r="I28" i="20" s="1"/>
  <c r="R92" i="17"/>
  <c r="E20" i="17"/>
  <c r="H20" i="17" s="1"/>
  <c r="I20" i="17" s="1"/>
  <c r="J15" i="18"/>
  <c r="E21" i="20"/>
  <c r="H21" i="20" s="1"/>
  <c r="I21" i="20" s="1"/>
  <c r="R96" i="21"/>
  <c r="R88" i="21"/>
  <c r="E24" i="21"/>
  <c r="H24" i="21" s="1"/>
  <c r="I24" i="21" s="1"/>
  <c r="E19" i="21"/>
  <c r="J19" i="21" s="1"/>
  <c r="E14" i="24"/>
  <c r="I123" i="27"/>
  <c r="T121" i="28"/>
  <c r="E23" i="18"/>
  <c r="H23" i="18" s="1"/>
  <c r="I23" i="18" s="1"/>
  <c r="E41" i="20"/>
  <c r="I41" i="20" s="1"/>
  <c r="E26" i="20"/>
  <c r="H26" i="20" s="1"/>
  <c r="I26" i="20" s="1"/>
  <c r="E29" i="21"/>
  <c r="H29" i="21" s="1"/>
  <c r="I29" i="21" s="1"/>
  <c r="H123" i="22"/>
  <c r="E21" i="26"/>
  <c r="H21" i="26" s="1"/>
  <c r="I21" i="26" s="1"/>
  <c r="I113" i="28"/>
  <c r="I114" i="33"/>
  <c r="T113" i="34"/>
  <c r="I113" i="34"/>
  <c r="R94" i="34"/>
  <c r="I113" i="35"/>
  <c r="T113" i="35"/>
  <c r="R92" i="23"/>
  <c r="E24" i="26"/>
  <c r="H24" i="26" s="1"/>
  <c r="I24" i="26" s="1"/>
  <c r="E19" i="26"/>
  <c r="J19" i="26" s="1"/>
  <c r="R92" i="32"/>
  <c r="T121" i="36"/>
  <c r="T113" i="26"/>
  <c r="E29" i="26"/>
  <c r="H29" i="26" s="1"/>
  <c r="I29" i="26" s="1"/>
  <c r="E14" i="26"/>
  <c r="R92" i="27"/>
  <c r="E20" i="27"/>
  <c r="H20" i="27" s="1"/>
  <c r="I20" i="27" s="1"/>
  <c r="E38" i="37"/>
  <c r="I38" i="37" s="1"/>
  <c r="E41" i="37"/>
  <c r="I41" i="37" s="1"/>
  <c r="E39" i="37"/>
  <c r="I39" i="37" s="1"/>
  <c r="E42" i="37"/>
  <c r="I42" i="37" s="1"/>
  <c r="E40" i="37"/>
  <c r="I40" i="37" s="1"/>
  <c r="E43" i="37"/>
  <c r="I43" i="37" s="1"/>
  <c r="E43" i="26"/>
  <c r="I43" i="26" s="1"/>
  <c r="E22" i="26"/>
  <c r="H22" i="26" s="1"/>
  <c r="I22" i="26" s="1"/>
  <c r="E25" i="27"/>
  <c r="H25" i="27" s="1"/>
  <c r="I25" i="27" s="1"/>
  <c r="T114" i="28"/>
  <c r="U114" i="28" s="1"/>
  <c r="E41" i="31"/>
  <c r="I41" i="31" s="1"/>
  <c r="E38" i="31"/>
  <c r="I38" i="31" s="1"/>
  <c r="E105" i="34"/>
  <c r="E104" i="34"/>
  <c r="T8" i="34"/>
  <c r="R96" i="22"/>
  <c r="R88" i="22"/>
  <c r="E27" i="26"/>
  <c r="H27" i="26" s="1"/>
  <c r="I27" i="26" s="1"/>
  <c r="E17" i="26"/>
  <c r="J17" i="26" s="1"/>
  <c r="E15" i="27"/>
  <c r="J15" i="27" s="1"/>
  <c r="R94" i="36"/>
  <c r="E25" i="26"/>
  <c r="H25" i="26" s="1"/>
  <c r="I25" i="26" s="1"/>
  <c r="E21" i="27"/>
  <c r="H21" i="27" s="1"/>
  <c r="I21" i="27" s="1"/>
  <c r="R96" i="28"/>
  <c r="R88" i="28"/>
  <c r="E43" i="31"/>
  <c r="I43" i="31" s="1"/>
  <c r="H123" i="36"/>
  <c r="E23" i="26"/>
  <c r="H23" i="26" s="1"/>
  <c r="I23" i="26" s="1"/>
  <c r="E41" i="27"/>
  <c r="I41" i="27" s="1"/>
  <c r="E26" i="27"/>
  <c r="H26" i="27" s="1"/>
  <c r="I26" i="27" s="1"/>
  <c r="E21" i="32"/>
  <c r="H21" i="32" s="1"/>
  <c r="I21" i="32" s="1"/>
  <c r="E105" i="33"/>
  <c r="E43" i="34"/>
  <c r="I43" i="34" s="1"/>
  <c r="E40" i="34"/>
  <c r="I40" i="34" s="1"/>
  <c r="E22" i="34"/>
  <c r="H22" i="34" s="1"/>
  <c r="I22" i="34" s="1"/>
  <c r="E25" i="35"/>
  <c r="H25" i="35" s="1"/>
  <c r="I25" i="35" s="1"/>
  <c r="T114" i="23"/>
  <c r="U114" i="23" s="1"/>
  <c r="I121" i="36"/>
  <c r="I113" i="38"/>
  <c r="I114" i="36"/>
  <c r="T114" i="36"/>
  <c r="U114" i="36" s="1"/>
  <c r="E15" i="38"/>
  <c r="J15" i="38" s="1"/>
  <c r="E20" i="38"/>
  <c r="H20" i="38" s="1"/>
  <c r="I20" i="38" s="1"/>
  <c r="E17" i="38"/>
  <c r="J17" i="38" s="1"/>
  <c r="E27" i="38"/>
  <c r="H27" i="38" s="1"/>
  <c r="I27" i="38" s="1"/>
  <c r="E22" i="38"/>
  <c r="H22" i="38" s="1"/>
  <c r="I22" i="38" s="1"/>
  <c r="E14" i="38"/>
  <c r="E29" i="38"/>
  <c r="H29" i="38" s="1"/>
  <c r="I29" i="38" s="1"/>
  <c r="E19" i="38"/>
  <c r="J19" i="38" s="1"/>
  <c r="E24" i="38"/>
  <c r="H24" i="38" s="1"/>
  <c r="I24" i="38" s="1"/>
  <c r="E16" i="38"/>
  <c r="H16" i="38" s="1"/>
  <c r="I16" i="38" s="1"/>
  <c r="E26" i="38"/>
  <c r="H26" i="38" s="1"/>
  <c r="I26" i="38" s="1"/>
  <c r="E21" i="38"/>
  <c r="H21" i="38" s="1"/>
  <c r="I21" i="38" s="1"/>
  <c r="E28" i="38"/>
  <c r="H28" i="38" s="1"/>
  <c r="I28" i="38" s="1"/>
  <c r="E25" i="34"/>
  <c r="H25" i="34" s="1"/>
  <c r="I25" i="34" s="1"/>
  <c r="I122" i="23"/>
  <c r="E19" i="36"/>
  <c r="J19" i="36" s="1"/>
  <c r="E14" i="36"/>
  <c r="I114" i="39"/>
  <c r="T114" i="39"/>
  <c r="U114" i="39" s="1"/>
  <c r="E14" i="32"/>
  <c r="E106" i="33"/>
  <c r="R92" i="33"/>
  <c r="E20" i="33"/>
  <c r="H20" i="33" s="1"/>
  <c r="I20" i="33" s="1"/>
  <c r="R90" i="34"/>
  <c r="R85" i="34"/>
  <c r="E42" i="34"/>
  <c r="I42" i="34" s="1"/>
  <c r="E39" i="34"/>
  <c r="I39" i="34" s="1"/>
  <c r="E15" i="34"/>
  <c r="J15" i="34" s="1"/>
  <c r="E21" i="35"/>
  <c r="H21" i="35" s="1"/>
  <c r="I21" i="35" s="1"/>
  <c r="R96" i="23"/>
  <c r="R88" i="23"/>
  <c r="E24" i="23"/>
  <c r="H24" i="23" s="1"/>
  <c r="I24" i="23" s="1"/>
  <c r="E19" i="23"/>
  <c r="J19" i="23" s="1"/>
  <c r="I113" i="37"/>
  <c r="T113" i="37"/>
  <c r="E22" i="32"/>
  <c r="H22" i="32" s="1"/>
  <c r="I22" i="32" s="1"/>
  <c r="E25" i="33"/>
  <c r="H25" i="33" s="1"/>
  <c r="I25" i="33" s="1"/>
  <c r="E23" i="34"/>
  <c r="H23" i="34" s="1"/>
  <c r="I23" i="34" s="1"/>
  <c r="E18" i="34"/>
  <c r="H18" i="34" s="1"/>
  <c r="I18" i="34" s="1"/>
  <c r="E41" i="35"/>
  <c r="I41" i="35" s="1"/>
  <c r="E38" i="35"/>
  <c r="I38" i="35" s="1"/>
  <c r="E26" i="35"/>
  <c r="H26" i="35" s="1"/>
  <c r="I26" i="35" s="1"/>
  <c r="E16" i="35"/>
  <c r="E29" i="23"/>
  <c r="H29" i="23" s="1"/>
  <c r="I29" i="23" s="1"/>
  <c r="E14" i="23"/>
  <c r="I122" i="37"/>
  <c r="E18" i="38"/>
  <c r="H18" i="38" s="1"/>
  <c r="I18" i="38" s="1"/>
  <c r="E17" i="32"/>
  <c r="J17" i="32" s="1"/>
  <c r="E28" i="34"/>
  <c r="H28" i="34" s="1"/>
  <c r="I28" i="34" s="1"/>
  <c r="E43" i="23"/>
  <c r="I43" i="23" s="1"/>
  <c r="E40" i="23"/>
  <c r="I40" i="23" s="1"/>
  <c r="I122" i="36"/>
  <c r="H123" i="38"/>
  <c r="T121" i="38"/>
  <c r="E23" i="38"/>
  <c r="H23" i="38" s="1"/>
  <c r="I23" i="38" s="1"/>
  <c r="R94" i="40"/>
  <c r="E20" i="32"/>
  <c r="H20" i="32" s="1"/>
  <c r="I20" i="32" s="1"/>
  <c r="E21" i="34"/>
  <c r="H21" i="34" s="1"/>
  <c r="I21" i="34" s="1"/>
  <c r="I113" i="36"/>
  <c r="E25" i="32"/>
  <c r="H25" i="32" s="1"/>
  <c r="I25" i="32" s="1"/>
  <c r="T114" i="33"/>
  <c r="U114" i="33" s="1"/>
  <c r="E26" i="34"/>
  <c r="H26" i="34" s="1"/>
  <c r="I26" i="34" s="1"/>
  <c r="E16" i="34"/>
  <c r="H16" i="34" s="1"/>
  <c r="I16" i="34" s="1"/>
  <c r="E16" i="36"/>
  <c r="H16" i="36" s="1"/>
  <c r="I16" i="36" s="1"/>
  <c r="E26" i="36"/>
  <c r="H26" i="36" s="1"/>
  <c r="I26" i="36" s="1"/>
  <c r="E21" i="36"/>
  <c r="H21" i="36" s="1"/>
  <c r="I21" i="36" s="1"/>
  <c r="E28" i="36"/>
  <c r="H28" i="36" s="1"/>
  <c r="I28" i="36" s="1"/>
  <c r="E17" i="36"/>
  <c r="J17" i="36" s="1"/>
  <c r="E27" i="36"/>
  <c r="H27" i="36" s="1"/>
  <c r="I27" i="36" s="1"/>
  <c r="E42" i="32"/>
  <c r="I42" i="32" s="1"/>
  <c r="R96" i="34"/>
  <c r="E43" i="35"/>
  <c r="I43" i="35" s="1"/>
  <c r="E22" i="35"/>
  <c r="H22" i="35" s="1"/>
  <c r="I22" i="35" s="1"/>
  <c r="E25" i="23"/>
  <c r="H25" i="23" s="1"/>
  <c r="I25" i="23" s="1"/>
  <c r="E25" i="36"/>
  <c r="H25" i="36" s="1"/>
  <c r="I25" i="36" s="1"/>
  <c r="E18" i="36"/>
  <c r="H18" i="36" s="1"/>
  <c r="I18" i="36" s="1"/>
  <c r="E17" i="37"/>
  <c r="J17" i="37" s="1"/>
  <c r="E27" i="37"/>
  <c r="H27" i="37" s="1"/>
  <c r="I27" i="37" s="1"/>
  <c r="E14" i="37"/>
  <c r="E29" i="37"/>
  <c r="H29" i="37" s="1"/>
  <c r="I29" i="37" s="1"/>
  <c r="E19" i="37"/>
  <c r="J19" i="37" s="1"/>
  <c r="E24" i="37"/>
  <c r="H24" i="37" s="1"/>
  <c r="I24" i="37" s="1"/>
  <c r="E16" i="37"/>
  <c r="H16" i="37" s="1"/>
  <c r="I16" i="37" s="1"/>
  <c r="E26" i="37"/>
  <c r="H26" i="37" s="1"/>
  <c r="I26" i="37" s="1"/>
  <c r="E21" i="37"/>
  <c r="H21" i="37" s="1"/>
  <c r="I21" i="37" s="1"/>
  <c r="E28" i="37"/>
  <c r="H28" i="37" s="1"/>
  <c r="I28" i="37" s="1"/>
  <c r="E18" i="37"/>
  <c r="H18" i="37" s="1"/>
  <c r="I18" i="37" s="1"/>
  <c r="E23" i="37"/>
  <c r="H23" i="37" s="1"/>
  <c r="I23" i="37" s="1"/>
  <c r="E15" i="37"/>
  <c r="J15" i="37" s="1"/>
  <c r="E24" i="34"/>
  <c r="H24" i="34" s="1"/>
  <c r="I24" i="34" s="1"/>
  <c r="E27" i="35"/>
  <c r="H27" i="35" s="1"/>
  <c r="I27" i="35" s="1"/>
  <c r="E42" i="23"/>
  <c r="I42" i="23" s="1"/>
  <c r="E20" i="36"/>
  <c r="H20" i="36" s="1"/>
  <c r="I20" i="36" s="1"/>
  <c r="E25" i="37"/>
  <c r="H25" i="37" s="1"/>
  <c r="I25" i="37" s="1"/>
  <c r="R88" i="44"/>
  <c r="E105" i="39"/>
  <c r="I123" i="40"/>
  <c r="R94" i="42"/>
  <c r="I114" i="44"/>
  <c r="I122" i="48"/>
  <c r="I113" i="43"/>
  <c r="T113" i="43"/>
  <c r="E104" i="37"/>
  <c r="H123" i="39"/>
  <c r="E43" i="39"/>
  <c r="I43" i="39" s="1"/>
  <c r="E40" i="39"/>
  <c r="I40" i="39" s="1"/>
  <c r="E22" i="39"/>
  <c r="H22" i="39" s="1"/>
  <c r="I22" i="39" s="1"/>
  <c r="T8" i="39"/>
  <c r="T122" i="40"/>
  <c r="E21" i="40"/>
  <c r="H21" i="40" s="1"/>
  <c r="I21" i="40" s="1"/>
  <c r="E20" i="40"/>
  <c r="H20" i="40" s="1"/>
  <c r="I20" i="40" s="1"/>
  <c r="E17" i="40"/>
  <c r="J17" i="40" s="1"/>
  <c r="E22" i="40"/>
  <c r="H22" i="40" s="1"/>
  <c r="I22" i="40" s="1"/>
  <c r="I121" i="40"/>
  <c r="E105" i="42"/>
  <c r="T8" i="42"/>
  <c r="R96" i="48"/>
  <c r="R94" i="37"/>
  <c r="T113" i="38"/>
  <c r="E106" i="39"/>
  <c r="E20" i="39"/>
  <c r="H20" i="39" s="1"/>
  <c r="I20" i="39" s="1"/>
  <c r="E19" i="40"/>
  <c r="J19" i="40" s="1"/>
  <c r="T122" i="44"/>
  <c r="E104" i="44"/>
  <c r="T8" i="44"/>
  <c r="E106" i="44"/>
  <c r="E105" i="44"/>
  <c r="H123" i="45"/>
  <c r="T121" i="45"/>
  <c r="E43" i="38"/>
  <c r="I43" i="38" s="1"/>
  <c r="T122" i="39"/>
  <c r="E25" i="39"/>
  <c r="H25" i="39" s="1"/>
  <c r="I25" i="39" s="1"/>
  <c r="E28" i="40"/>
  <c r="H28" i="40" s="1"/>
  <c r="I28" i="40" s="1"/>
  <c r="E16" i="40"/>
  <c r="H16" i="40" s="1"/>
  <c r="I16" i="40" s="1"/>
  <c r="E38" i="44"/>
  <c r="I38" i="44" s="1"/>
  <c r="E41" i="44"/>
  <c r="I41" i="44" s="1"/>
  <c r="E40" i="44"/>
  <c r="I40" i="44" s="1"/>
  <c r="E42" i="44"/>
  <c r="I42" i="44" s="1"/>
  <c r="E39" i="44"/>
  <c r="I39" i="44" s="1"/>
  <c r="R96" i="37"/>
  <c r="R88" i="37"/>
  <c r="R90" i="39"/>
  <c r="R85" i="39"/>
  <c r="E42" i="39"/>
  <c r="I42" i="39" s="1"/>
  <c r="E15" i="39"/>
  <c r="J15" i="39" s="1"/>
  <c r="E24" i="40"/>
  <c r="H24" i="40" s="1"/>
  <c r="I24" i="40" s="1"/>
  <c r="E104" i="42"/>
  <c r="E17" i="45"/>
  <c r="J17" i="45" s="1"/>
  <c r="E27" i="45"/>
  <c r="H27" i="45" s="1"/>
  <c r="I27" i="45" s="1"/>
  <c r="E22" i="45"/>
  <c r="H22" i="45" s="1"/>
  <c r="I22" i="45" s="1"/>
  <c r="E14" i="45"/>
  <c r="E29" i="45"/>
  <c r="H29" i="45" s="1"/>
  <c r="I29" i="45" s="1"/>
  <c r="E19" i="45"/>
  <c r="J19" i="45" s="1"/>
  <c r="E24" i="45"/>
  <c r="H24" i="45" s="1"/>
  <c r="I24" i="45" s="1"/>
  <c r="E16" i="45"/>
  <c r="H16" i="45" s="1"/>
  <c r="I16" i="45" s="1"/>
  <c r="E26" i="45"/>
  <c r="H26" i="45" s="1"/>
  <c r="I26" i="45" s="1"/>
  <c r="E21" i="45"/>
  <c r="H21" i="45" s="1"/>
  <c r="I21" i="45" s="1"/>
  <c r="E28" i="45"/>
  <c r="H28" i="45" s="1"/>
  <c r="I28" i="45" s="1"/>
  <c r="E15" i="45"/>
  <c r="J15" i="45" s="1"/>
  <c r="E18" i="45"/>
  <c r="H18" i="45" s="1"/>
  <c r="I18" i="45" s="1"/>
  <c r="E23" i="45"/>
  <c r="H23" i="45" s="1"/>
  <c r="I23" i="45" s="1"/>
  <c r="E20" i="45"/>
  <c r="H20" i="45" s="1"/>
  <c r="I20" i="45" s="1"/>
  <c r="T8" i="47"/>
  <c r="E106" i="47"/>
  <c r="E105" i="47"/>
  <c r="E104" i="47"/>
  <c r="E23" i="39"/>
  <c r="H23" i="39" s="1"/>
  <c r="I23" i="39" s="1"/>
  <c r="E18" i="39"/>
  <c r="H18" i="39" s="1"/>
  <c r="I18" i="39" s="1"/>
  <c r="E41" i="40"/>
  <c r="I41" i="40" s="1"/>
  <c r="E26" i="40"/>
  <c r="H26" i="40" s="1"/>
  <c r="I26" i="40" s="1"/>
  <c r="I122" i="40"/>
  <c r="E18" i="40"/>
  <c r="H18" i="40" s="1"/>
  <c r="I18" i="40" s="1"/>
  <c r="T123" i="43"/>
  <c r="E43" i="44"/>
  <c r="I43" i="44" s="1"/>
  <c r="E43" i="42"/>
  <c r="I43" i="42" s="1"/>
  <c r="E40" i="42"/>
  <c r="I40" i="42" s="1"/>
  <c r="E25" i="43"/>
  <c r="H25" i="43" s="1"/>
  <c r="I25" i="43" s="1"/>
  <c r="E25" i="42"/>
  <c r="H25" i="42" s="1"/>
  <c r="I25" i="42" s="1"/>
  <c r="T114" i="43"/>
  <c r="U114" i="43" s="1"/>
  <c r="E28" i="43"/>
  <c r="H28" i="43" s="1"/>
  <c r="I28" i="43" s="1"/>
  <c r="T123" i="44"/>
  <c r="I122" i="44"/>
  <c r="R92" i="45"/>
  <c r="R90" i="42"/>
  <c r="R85" i="42"/>
  <c r="E42" i="42"/>
  <c r="I42" i="42" s="1"/>
  <c r="E15" i="42"/>
  <c r="J15" i="42" s="1"/>
  <c r="E21" i="43"/>
  <c r="H21" i="43" s="1"/>
  <c r="I21" i="43" s="1"/>
  <c r="T114" i="47"/>
  <c r="U114" i="47" s="1"/>
  <c r="R92" i="47"/>
  <c r="E105" i="48"/>
  <c r="E104" i="48"/>
  <c r="E106" i="48"/>
  <c r="T8" i="48"/>
  <c r="E26" i="43"/>
  <c r="H26" i="43" s="1"/>
  <c r="I26" i="43" s="1"/>
  <c r="E16" i="43"/>
  <c r="H16" i="43" s="1"/>
  <c r="I16" i="43" s="1"/>
  <c r="T113" i="44"/>
  <c r="P106" i="45"/>
  <c r="P105" i="45"/>
  <c r="T122" i="75"/>
  <c r="E22" i="43"/>
  <c r="H22" i="43" s="1"/>
  <c r="I22" i="43" s="1"/>
  <c r="I113" i="45"/>
  <c r="T113" i="45"/>
  <c r="E24" i="42"/>
  <c r="H24" i="42" s="1"/>
  <c r="I24" i="42" s="1"/>
  <c r="E27" i="43"/>
  <c r="H27" i="43" s="1"/>
  <c r="I27" i="43" s="1"/>
  <c r="R85" i="75"/>
  <c r="R88" i="48"/>
  <c r="E25" i="44"/>
  <c r="H25" i="44" s="1"/>
  <c r="I25" i="44" s="1"/>
  <c r="E38" i="48"/>
  <c r="I38" i="48" s="1"/>
  <c r="E41" i="48"/>
  <c r="I41" i="48" s="1"/>
  <c r="E39" i="48"/>
  <c r="I39" i="48" s="1"/>
  <c r="E42" i="48"/>
  <c r="I42" i="48" s="1"/>
  <c r="E20" i="50"/>
  <c r="H20" i="50" s="1"/>
  <c r="I20" i="50" s="1"/>
  <c r="E17" i="50"/>
  <c r="J17" i="50" s="1"/>
  <c r="E27" i="50"/>
  <c r="H27" i="50" s="1"/>
  <c r="I27" i="50" s="1"/>
  <c r="E22" i="50"/>
  <c r="H22" i="50" s="1"/>
  <c r="I22" i="50" s="1"/>
  <c r="E14" i="50"/>
  <c r="E29" i="50"/>
  <c r="H29" i="50" s="1"/>
  <c r="I29" i="50" s="1"/>
  <c r="E19" i="50"/>
  <c r="J19" i="50" s="1"/>
  <c r="E24" i="50"/>
  <c r="H24" i="50" s="1"/>
  <c r="I24" i="50" s="1"/>
  <c r="E16" i="50"/>
  <c r="H16" i="50" s="1"/>
  <c r="I16" i="50" s="1"/>
  <c r="E26" i="50"/>
  <c r="H26" i="50" s="1"/>
  <c r="I26" i="50" s="1"/>
  <c r="E21" i="50"/>
  <c r="H21" i="50" s="1"/>
  <c r="I21" i="50" s="1"/>
  <c r="E28" i="50"/>
  <c r="H28" i="50" s="1"/>
  <c r="I28" i="50" s="1"/>
  <c r="E18" i="50"/>
  <c r="H18" i="50" s="1"/>
  <c r="I18" i="50" s="1"/>
  <c r="E23" i="50"/>
  <c r="H23" i="50" s="1"/>
  <c r="I23" i="50" s="1"/>
  <c r="E23" i="44"/>
  <c r="H23" i="44" s="1"/>
  <c r="I23" i="44" s="1"/>
  <c r="E18" i="44"/>
  <c r="H18" i="44" s="1"/>
  <c r="I18" i="44" s="1"/>
  <c r="R94" i="45"/>
  <c r="E41" i="45"/>
  <c r="I41" i="45" s="1"/>
  <c r="E38" i="45"/>
  <c r="I38" i="45" s="1"/>
  <c r="E43" i="48"/>
  <c r="I43" i="48" s="1"/>
  <c r="E28" i="44"/>
  <c r="H28" i="44" s="1"/>
  <c r="I28" i="44" s="1"/>
  <c r="E16" i="47"/>
  <c r="H16" i="47" s="1"/>
  <c r="I16" i="47" s="1"/>
  <c r="E26" i="47"/>
  <c r="H26" i="47" s="1"/>
  <c r="I26" i="47" s="1"/>
  <c r="E21" i="47"/>
  <c r="H21" i="47" s="1"/>
  <c r="I21" i="47" s="1"/>
  <c r="E28" i="47"/>
  <c r="H28" i="47" s="1"/>
  <c r="I28" i="47" s="1"/>
  <c r="E18" i="47"/>
  <c r="H18" i="47" s="1"/>
  <c r="I18" i="47" s="1"/>
  <c r="E23" i="47"/>
  <c r="H23" i="47" s="1"/>
  <c r="I23" i="47" s="1"/>
  <c r="E14" i="47"/>
  <c r="R92" i="48"/>
  <c r="E26" i="44"/>
  <c r="H26" i="44" s="1"/>
  <c r="I26" i="44" s="1"/>
  <c r="E16" i="44"/>
  <c r="H123" i="50"/>
  <c r="T121" i="50"/>
  <c r="E43" i="45"/>
  <c r="I43" i="45" s="1"/>
  <c r="T122" i="48"/>
  <c r="E40" i="48"/>
  <c r="I40" i="48" s="1"/>
  <c r="I122" i="51"/>
  <c r="E24" i="44"/>
  <c r="H24" i="44" s="1"/>
  <c r="I24" i="44" s="1"/>
  <c r="E20" i="48"/>
  <c r="H20" i="48" s="1"/>
  <c r="I20" i="48" s="1"/>
  <c r="R94" i="51"/>
  <c r="I123" i="76"/>
  <c r="I122" i="76"/>
  <c r="E25" i="48"/>
  <c r="H25" i="48" s="1"/>
  <c r="I25" i="48" s="1"/>
  <c r="T114" i="50"/>
  <c r="U114" i="50" s="1"/>
  <c r="E39" i="75"/>
  <c r="I39" i="75" s="1"/>
  <c r="E42" i="75"/>
  <c r="I42" i="75" s="1"/>
  <c r="E40" i="75"/>
  <c r="I40" i="75" s="1"/>
  <c r="E43" i="75"/>
  <c r="I43" i="75" s="1"/>
  <c r="E15" i="48"/>
  <c r="J15" i="48" s="1"/>
  <c r="R96" i="51"/>
  <c r="P104" i="52"/>
  <c r="P106" i="52"/>
  <c r="P105" i="52"/>
  <c r="E41" i="75"/>
  <c r="I41" i="75" s="1"/>
  <c r="R90" i="58"/>
  <c r="R92" i="52"/>
  <c r="E26" i="48"/>
  <c r="H26" i="48" s="1"/>
  <c r="I26" i="48" s="1"/>
  <c r="E16" i="48"/>
  <c r="H16" i="48" s="1"/>
  <c r="I16" i="48" s="1"/>
  <c r="E106" i="51"/>
  <c r="E23" i="51"/>
  <c r="H23" i="51" s="1"/>
  <c r="I23" i="51" s="1"/>
  <c r="R90" i="75"/>
  <c r="E38" i="75"/>
  <c r="I38" i="75" s="1"/>
  <c r="E43" i="50"/>
  <c r="I43" i="50" s="1"/>
  <c r="E24" i="48"/>
  <c r="H24" i="48" s="1"/>
  <c r="I24" i="48" s="1"/>
  <c r="E19" i="48"/>
  <c r="J19" i="48" s="1"/>
  <c r="I114" i="76"/>
  <c r="T114" i="76"/>
  <c r="U114" i="76" s="1"/>
  <c r="E41" i="47"/>
  <c r="I41" i="47" s="1"/>
  <c r="E29" i="48"/>
  <c r="H29" i="48" s="1"/>
  <c r="I29" i="48" s="1"/>
  <c r="E22" i="51"/>
  <c r="H22" i="51" s="1"/>
  <c r="I22" i="51" s="1"/>
  <c r="E14" i="51"/>
  <c r="E29" i="51"/>
  <c r="H29" i="51" s="1"/>
  <c r="I29" i="51" s="1"/>
  <c r="E21" i="51"/>
  <c r="H21" i="51" s="1"/>
  <c r="I21" i="51" s="1"/>
  <c r="E28" i="51"/>
  <c r="H28" i="51" s="1"/>
  <c r="I28" i="51" s="1"/>
  <c r="E15" i="51"/>
  <c r="J15" i="51" s="1"/>
  <c r="R94" i="55"/>
  <c r="E38" i="56"/>
  <c r="I38" i="56" s="1"/>
  <c r="E41" i="56"/>
  <c r="I41" i="56" s="1"/>
  <c r="E39" i="56"/>
  <c r="I39" i="56" s="1"/>
  <c r="E40" i="56"/>
  <c r="I40" i="56" s="1"/>
  <c r="E42" i="56"/>
  <c r="I42" i="56" s="1"/>
  <c r="E43" i="56"/>
  <c r="I43" i="56" s="1"/>
  <c r="T123" i="76"/>
  <c r="P105" i="56"/>
  <c r="P104" i="56"/>
  <c r="R94" i="52"/>
  <c r="E41" i="52"/>
  <c r="I41" i="52" s="1"/>
  <c r="E38" i="52"/>
  <c r="I38" i="52" s="1"/>
  <c r="E29" i="75"/>
  <c r="H29" i="75" s="1"/>
  <c r="I29" i="75" s="1"/>
  <c r="E105" i="55"/>
  <c r="E104" i="55"/>
  <c r="E106" i="55"/>
  <c r="T8" i="55"/>
  <c r="E17" i="75"/>
  <c r="J17" i="75" s="1"/>
  <c r="P106" i="56"/>
  <c r="E43" i="52"/>
  <c r="I43" i="52" s="1"/>
  <c r="E22" i="52"/>
  <c r="H22" i="52" s="1"/>
  <c r="I22" i="52" s="1"/>
  <c r="E15" i="75"/>
  <c r="J15" i="75" s="1"/>
  <c r="E20" i="75"/>
  <c r="H20" i="75" s="1"/>
  <c r="I20" i="75" s="1"/>
  <c r="E14" i="75"/>
  <c r="E25" i="75"/>
  <c r="H25" i="75" s="1"/>
  <c r="I25" i="75" s="1"/>
  <c r="E21" i="75"/>
  <c r="H21" i="75" s="1"/>
  <c r="I21" i="75" s="1"/>
  <c r="E16" i="75"/>
  <c r="H16" i="75" s="1"/>
  <c r="I16" i="75" s="1"/>
  <c r="E23" i="75"/>
  <c r="H23" i="75" s="1"/>
  <c r="I23" i="75" s="1"/>
  <c r="E43" i="51"/>
  <c r="I43" i="51" s="1"/>
  <c r="H123" i="55"/>
  <c r="E43" i="55"/>
  <c r="I43" i="55" s="1"/>
  <c r="E40" i="55"/>
  <c r="I40" i="55" s="1"/>
  <c r="E22" i="55"/>
  <c r="H22" i="55" s="1"/>
  <c r="I22" i="55" s="1"/>
  <c r="E20" i="55"/>
  <c r="H20" i="55" s="1"/>
  <c r="I20" i="55" s="1"/>
  <c r="I122" i="56"/>
  <c r="I122" i="57"/>
  <c r="E15" i="57"/>
  <c r="J15" i="57" s="1"/>
  <c r="E25" i="55"/>
  <c r="H25" i="55" s="1"/>
  <c r="I25" i="55" s="1"/>
  <c r="T122" i="56"/>
  <c r="R92" i="56"/>
  <c r="E104" i="56"/>
  <c r="E106" i="56"/>
  <c r="H123" i="66"/>
  <c r="T121" i="66"/>
  <c r="R90" i="55"/>
  <c r="R85" i="55"/>
  <c r="E42" i="55"/>
  <c r="I42" i="55" s="1"/>
  <c r="E39" i="55"/>
  <c r="I39" i="55" s="1"/>
  <c r="E15" i="55"/>
  <c r="J15" i="55" s="1"/>
  <c r="R92" i="76"/>
  <c r="E20" i="76"/>
  <c r="H20" i="76" s="1"/>
  <c r="I20" i="76" s="1"/>
  <c r="E23" i="55"/>
  <c r="H23" i="55" s="1"/>
  <c r="I23" i="55" s="1"/>
  <c r="E18" i="55"/>
  <c r="H18" i="55" s="1"/>
  <c r="I18" i="55" s="1"/>
  <c r="E27" i="57"/>
  <c r="H27" i="57" s="1"/>
  <c r="I27" i="57" s="1"/>
  <c r="E106" i="57"/>
  <c r="T8" i="57"/>
  <c r="E104" i="57"/>
  <c r="E25" i="76"/>
  <c r="H25" i="76" s="1"/>
  <c r="I25" i="76" s="1"/>
  <c r="E28" i="55"/>
  <c r="H28" i="55" s="1"/>
  <c r="I28" i="55" s="1"/>
  <c r="E105" i="56"/>
  <c r="E20" i="57"/>
  <c r="H20" i="57" s="1"/>
  <c r="I20" i="57" s="1"/>
  <c r="E22" i="57"/>
  <c r="H22" i="57" s="1"/>
  <c r="I22" i="57" s="1"/>
  <c r="E14" i="57"/>
  <c r="E29" i="57"/>
  <c r="H29" i="57" s="1"/>
  <c r="I29" i="57" s="1"/>
  <c r="E21" i="57"/>
  <c r="H21" i="57" s="1"/>
  <c r="I21" i="57" s="1"/>
  <c r="E28" i="57"/>
  <c r="H28" i="57" s="1"/>
  <c r="I28" i="57" s="1"/>
  <c r="E18" i="57"/>
  <c r="H18" i="57" s="1"/>
  <c r="I18" i="57" s="1"/>
  <c r="E23" i="57"/>
  <c r="H23" i="57" s="1"/>
  <c r="I23" i="57" s="1"/>
  <c r="E17" i="57"/>
  <c r="J17" i="57" s="1"/>
  <c r="E21" i="55"/>
  <c r="H21" i="55" s="1"/>
  <c r="I21" i="55" s="1"/>
  <c r="E41" i="55"/>
  <c r="I41" i="55" s="1"/>
  <c r="E26" i="55"/>
  <c r="H26" i="55" s="1"/>
  <c r="I26" i="55" s="1"/>
  <c r="E16" i="55"/>
  <c r="H16" i="55" s="1"/>
  <c r="I16" i="55" s="1"/>
  <c r="I121" i="57"/>
  <c r="H123" i="57"/>
  <c r="T121" i="57"/>
  <c r="I122" i="55"/>
  <c r="E26" i="57"/>
  <c r="H26" i="57" s="1"/>
  <c r="I26" i="57" s="1"/>
  <c r="E24" i="55"/>
  <c r="H24" i="55" s="1"/>
  <c r="I24" i="55" s="1"/>
  <c r="I114" i="57"/>
  <c r="T114" i="57"/>
  <c r="U114" i="57" s="1"/>
  <c r="E16" i="57"/>
  <c r="H16" i="57" s="1"/>
  <c r="I16" i="57" s="1"/>
  <c r="E20" i="56"/>
  <c r="H20" i="56" s="1"/>
  <c r="I20" i="56" s="1"/>
  <c r="E15" i="66"/>
  <c r="J15" i="66" s="1"/>
  <c r="E20" i="66"/>
  <c r="H20" i="66" s="1"/>
  <c r="I20" i="66" s="1"/>
  <c r="E17" i="66"/>
  <c r="J17" i="66" s="1"/>
  <c r="E27" i="66"/>
  <c r="H27" i="66" s="1"/>
  <c r="I27" i="66" s="1"/>
  <c r="E22" i="66"/>
  <c r="H22" i="66" s="1"/>
  <c r="I22" i="66" s="1"/>
  <c r="E14" i="66"/>
  <c r="E29" i="66"/>
  <c r="H29" i="66" s="1"/>
  <c r="I29" i="66" s="1"/>
  <c r="E16" i="66"/>
  <c r="H16" i="66" s="1"/>
  <c r="I16" i="66" s="1"/>
  <c r="E26" i="66"/>
  <c r="H26" i="66" s="1"/>
  <c r="I26" i="66" s="1"/>
  <c r="E21" i="66"/>
  <c r="H21" i="66" s="1"/>
  <c r="I21" i="66" s="1"/>
  <c r="E19" i="66"/>
  <c r="J19" i="66" s="1"/>
  <c r="E25" i="56"/>
  <c r="H25" i="56" s="1"/>
  <c r="I25" i="56" s="1"/>
  <c r="H123" i="58"/>
  <c r="R85" i="58"/>
  <c r="E38" i="58"/>
  <c r="I38" i="58" s="1"/>
  <c r="E39" i="58"/>
  <c r="I39" i="58" s="1"/>
  <c r="E42" i="58"/>
  <c r="I42" i="58" s="1"/>
  <c r="E28" i="56"/>
  <c r="H28" i="56" s="1"/>
  <c r="I28" i="56" s="1"/>
  <c r="E25" i="66"/>
  <c r="H25" i="66" s="1"/>
  <c r="I25" i="66" s="1"/>
  <c r="E26" i="56"/>
  <c r="H26" i="56" s="1"/>
  <c r="I26" i="56" s="1"/>
  <c r="E16" i="56"/>
  <c r="H16" i="56" s="1"/>
  <c r="I16" i="56" s="1"/>
  <c r="T113" i="58"/>
  <c r="E17" i="58"/>
  <c r="J17" i="58" s="1"/>
  <c r="E27" i="58"/>
  <c r="H27" i="58" s="1"/>
  <c r="I27" i="58" s="1"/>
  <c r="E14" i="58"/>
  <c r="E29" i="58"/>
  <c r="H29" i="58" s="1"/>
  <c r="I29" i="58" s="1"/>
  <c r="E19" i="58"/>
  <c r="J19" i="58" s="1"/>
  <c r="E24" i="58"/>
  <c r="H24" i="58" s="1"/>
  <c r="I24" i="58" s="1"/>
  <c r="E16" i="58"/>
  <c r="H16" i="58" s="1"/>
  <c r="I16" i="58" s="1"/>
  <c r="E26" i="58"/>
  <c r="H26" i="58" s="1"/>
  <c r="I26" i="58" s="1"/>
  <c r="E18" i="58"/>
  <c r="H18" i="58" s="1"/>
  <c r="I18" i="58" s="1"/>
  <c r="E23" i="58"/>
  <c r="H23" i="58" s="1"/>
  <c r="I23" i="58" s="1"/>
  <c r="E15" i="58"/>
  <c r="J15" i="58" s="1"/>
  <c r="E20" i="58"/>
  <c r="H20" i="58" s="1"/>
  <c r="I20" i="58" s="1"/>
  <c r="E40" i="67"/>
  <c r="I40" i="67" s="1"/>
  <c r="E43" i="67"/>
  <c r="I43" i="67" s="1"/>
  <c r="E41" i="67"/>
  <c r="I41" i="67" s="1"/>
  <c r="E38" i="67"/>
  <c r="I38" i="67" s="1"/>
  <c r="E43" i="57"/>
  <c r="I43" i="57" s="1"/>
  <c r="E28" i="66"/>
  <c r="H28" i="66" s="1"/>
  <c r="I28" i="66" s="1"/>
  <c r="E29" i="56"/>
  <c r="H29" i="56" s="1"/>
  <c r="I29" i="56" s="1"/>
  <c r="E42" i="67"/>
  <c r="I42" i="67" s="1"/>
  <c r="E23" i="67"/>
  <c r="H23" i="67" s="1"/>
  <c r="I23" i="67" s="1"/>
  <c r="E21" i="67"/>
  <c r="H21" i="67" s="1"/>
  <c r="I21" i="67" s="1"/>
  <c r="E41" i="66"/>
  <c r="I41" i="66" s="1"/>
  <c r="E38" i="66"/>
  <c r="I38" i="66" s="1"/>
  <c r="I121" i="67"/>
  <c r="E29" i="67"/>
  <c r="H29" i="67" s="1"/>
  <c r="I29" i="67" s="1"/>
  <c r="E27" i="67"/>
  <c r="H27" i="67" s="1"/>
  <c r="I27" i="67" s="1"/>
  <c r="E25" i="67"/>
  <c r="H25" i="67" s="1"/>
  <c r="I25" i="67" s="1"/>
  <c r="T8" i="67"/>
  <c r="E105" i="67"/>
  <c r="E20" i="67"/>
  <c r="H20" i="67" s="1"/>
  <c r="I20" i="67" s="1"/>
  <c r="E18" i="67"/>
  <c r="H18" i="67" s="1"/>
  <c r="I18" i="67" s="1"/>
  <c r="E22" i="67"/>
  <c r="H22" i="67" s="1"/>
  <c r="I22" i="67" s="1"/>
  <c r="E14" i="67"/>
  <c r="E19" i="67"/>
  <c r="J19" i="67" s="1"/>
  <c r="E24" i="67"/>
  <c r="H24" i="67" s="1"/>
  <c r="I24" i="67" s="1"/>
  <c r="E28" i="67"/>
  <c r="H28" i="67" s="1"/>
  <c r="I28" i="67" s="1"/>
  <c r="R92" i="69"/>
  <c r="E42" i="66"/>
  <c r="I42" i="66" s="1"/>
  <c r="E106" i="67"/>
  <c r="E17" i="67"/>
  <c r="J17" i="67" s="1"/>
  <c r="E40" i="70"/>
  <c r="I40" i="70" s="1"/>
  <c r="E43" i="70"/>
  <c r="I43" i="70" s="1"/>
  <c r="E41" i="70"/>
  <c r="I41" i="70" s="1"/>
  <c r="E42" i="70"/>
  <c r="I42" i="70" s="1"/>
  <c r="E38" i="70"/>
  <c r="I38" i="70" s="1"/>
  <c r="E39" i="70"/>
  <c r="I39" i="70" s="1"/>
  <c r="I122" i="68"/>
  <c r="H123" i="77"/>
  <c r="T121" i="77"/>
  <c r="I113" i="70"/>
  <c r="I114" i="68"/>
  <c r="T114" i="68"/>
  <c r="U114" i="68" s="1"/>
  <c r="R92" i="71"/>
  <c r="I113" i="68"/>
  <c r="T113" i="68"/>
  <c r="E43" i="69"/>
  <c r="I43" i="69" s="1"/>
  <c r="T114" i="70"/>
  <c r="U114" i="70" s="1"/>
  <c r="T122" i="78"/>
  <c r="E27" i="69"/>
  <c r="H27" i="69" s="1"/>
  <c r="I27" i="69" s="1"/>
  <c r="E17" i="69"/>
  <c r="J17" i="69" s="1"/>
  <c r="E17" i="70"/>
  <c r="J17" i="70" s="1"/>
  <c r="E27" i="70"/>
  <c r="H27" i="70" s="1"/>
  <c r="I27" i="70" s="1"/>
  <c r="E22" i="70"/>
  <c r="H22" i="70" s="1"/>
  <c r="I22" i="70" s="1"/>
  <c r="E14" i="70"/>
  <c r="E29" i="70"/>
  <c r="H29" i="70" s="1"/>
  <c r="I29" i="70" s="1"/>
  <c r="E18" i="70"/>
  <c r="H18" i="70" s="1"/>
  <c r="I18" i="70" s="1"/>
  <c r="E23" i="70"/>
  <c r="H23" i="70" s="1"/>
  <c r="I23" i="70" s="1"/>
  <c r="E39" i="71"/>
  <c r="I39" i="71" s="1"/>
  <c r="E42" i="71"/>
  <c r="I42" i="71" s="1"/>
  <c r="E40" i="71"/>
  <c r="I40" i="71" s="1"/>
  <c r="E43" i="71"/>
  <c r="I43" i="71" s="1"/>
  <c r="E38" i="71"/>
  <c r="I38" i="71" s="1"/>
  <c r="E41" i="71"/>
  <c r="I41" i="71" s="1"/>
  <c r="E26" i="71"/>
  <c r="H26" i="71" s="1"/>
  <c r="I26" i="71" s="1"/>
  <c r="E16" i="71"/>
  <c r="H16" i="71" s="1"/>
  <c r="I16" i="71" s="1"/>
  <c r="E29" i="68"/>
  <c r="H29" i="68" s="1"/>
  <c r="I29" i="68" s="1"/>
  <c r="E27" i="68"/>
  <c r="H27" i="68" s="1"/>
  <c r="I27" i="68" s="1"/>
  <c r="R85" i="78"/>
  <c r="P104" i="77"/>
  <c r="P106" i="77"/>
  <c r="P105" i="77"/>
  <c r="T8" i="71"/>
  <c r="E14" i="68"/>
  <c r="E16" i="68"/>
  <c r="H16" i="68" s="1"/>
  <c r="I16" i="68" s="1"/>
  <c r="E28" i="68"/>
  <c r="H28" i="68" s="1"/>
  <c r="I28" i="68" s="1"/>
  <c r="E15" i="68"/>
  <c r="J15" i="68" s="1"/>
  <c r="E20" i="68"/>
  <c r="H20" i="68" s="1"/>
  <c r="I20" i="68" s="1"/>
  <c r="E22" i="68"/>
  <c r="H22" i="68" s="1"/>
  <c r="I22" i="68" s="1"/>
  <c r="E20" i="71"/>
  <c r="H20" i="71" s="1"/>
  <c r="I20" i="71" s="1"/>
  <c r="E26" i="68"/>
  <c r="H26" i="68" s="1"/>
  <c r="I26" i="68" s="1"/>
  <c r="E20" i="77"/>
  <c r="H20" i="77" s="1"/>
  <c r="I20" i="77" s="1"/>
  <c r="E17" i="77"/>
  <c r="J17" i="77" s="1"/>
  <c r="E27" i="77"/>
  <c r="H27" i="77" s="1"/>
  <c r="I27" i="77" s="1"/>
  <c r="E22" i="77"/>
  <c r="H22" i="77" s="1"/>
  <c r="I22" i="77" s="1"/>
  <c r="E14" i="77"/>
  <c r="E29" i="77"/>
  <c r="H29" i="77" s="1"/>
  <c r="I29" i="77" s="1"/>
  <c r="E19" i="77"/>
  <c r="J19" i="77" s="1"/>
  <c r="E24" i="77"/>
  <c r="H24" i="77" s="1"/>
  <c r="I24" i="77" s="1"/>
  <c r="E16" i="77"/>
  <c r="H16" i="77" s="1"/>
  <c r="I16" i="77" s="1"/>
  <c r="E26" i="77"/>
  <c r="H26" i="77" s="1"/>
  <c r="I26" i="77" s="1"/>
  <c r="E21" i="77"/>
  <c r="H21" i="77" s="1"/>
  <c r="I21" i="77" s="1"/>
  <c r="E28" i="77"/>
  <c r="H28" i="77" s="1"/>
  <c r="I28" i="77" s="1"/>
  <c r="E18" i="77"/>
  <c r="H18" i="77" s="1"/>
  <c r="I18" i="77" s="1"/>
  <c r="E23" i="77"/>
  <c r="H23" i="77" s="1"/>
  <c r="I23" i="77" s="1"/>
  <c r="E25" i="71"/>
  <c r="H25" i="71" s="1"/>
  <c r="I25" i="71" s="1"/>
  <c r="P104" i="78"/>
  <c r="P106" i="78"/>
  <c r="R90" i="78"/>
  <c r="E19" i="62"/>
  <c r="E20" i="62" s="1"/>
  <c r="E26" i="62" s="1"/>
  <c r="E28" i="62" s="1"/>
  <c r="E39" i="78"/>
  <c r="I39" i="78" s="1"/>
  <c r="E42" i="78"/>
  <c r="I42" i="78" s="1"/>
  <c r="E40" i="78"/>
  <c r="I40" i="78" s="1"/>
  <c r="E43" i="78"/>
  <c r="I43" i="78" s="1"/>
  <c r="E38" i="78"/>
  <c r="I38" i="78" s="1"/>
  <c r="E41" i="78"/>
  <c r="I41" i="78" s="1"/>
  <c r="E26" i="78"/>
  <c r="H26" i="78" s="1"/>
  <c r="I26" i="78" s="1"/>
  <c r="E16" i="78"/>
  <c r="H16" i="78" s="1"/>
  <c r="I16" i="78" s="1"/>
  <c r="T121" i="30"/>
  <c r="E29" i="30"/>
  <c r="H29" i="30" s="1"/>
  <c r="I29" i="30" s="1"/>
  <c r="E14" i="30"/>
  <c r="E43" i="30"/>
  <c r="I43" i="30" s="1"/>
  <c r="E40" i="30"/>
  <c r="I40" i="30" s="1"/>
  <c r="R96" i="78"/>
  <c r="R88" i="78"/>
  <c r="I123" i="30"/>
  <c r="E27" i="30"/>
  <c r="H27" i="30" s="1"/>
  <c r="I27" i="30" s="1"/>
  <c r="E17" i="30"/>
  <c r="J17" i="30" s="1"/>
  <c r="R94" i="77"/>
  <c r="E41" i="77"/>
  <c r="I41" i="77" s="1"/>
  <c r="E38" i="77"/>
  <c r="I38" i="77" s="1"/>
  <c r="T121" i="78"/>
  <c r="E29" i="78"/>
  <c r="H29" i="78" s="1"/>
  <c r="I29" i="78" s="1"/>
  <c r="E14" i="78"/>
  <c r="E20" i="30"/>
  <c r="H20" i="30" s="1"/>
  <c r="I20" i="30" s="1"/>
  <c r="H123" i="78"/>
  <c r="E22" i="78"/>
  <c r="H22" i="78" s="1"/>
  <c r="I22" i="78" s="1"/>
  <c r="T122" i="30"/>
  <c r="E25" i="30"/>
  <c r="H25" i="30" s="1"/>
  <c r="I25" i="30" s="1"/>
  <c r="R96" i="77"/>
  <c r="R88" i="77"/>
  <c r="E17" i="78"/>
  <c r="J17" i="78" s="1"/>
  <c r="R90" i="30"/>
  <c r="R85" i="30"/>
  <c r="E42" i="30"/>
  <c r="I42" i="30" s="1"/>
  <c r="E39" i="30"/>
  <c r="I39" i="30" s="1"/>
  <c r="E15" i="30"/>
  <c r="J15" i="30" s="1"/>
  <c r="R92" i="78"/>
  <c r="E20" i="78"/>
  <c r="H20" i="78" s="1"/>
  <c r="I20" i="78" s="1"/>
  <c r="E23" i="30"/>
  <c r="H23" i="30" s="1"/>
  <c r="I23" i="30" s="1"/>
  <c r="E18" i="30"/>
  <c r="H18" i="30" s="1"/>
  <c r="I18" i="30" s="1"/>
  <c r="E43" i="77"/>
  <c r="I43" i="77" s="1"/>
  <c r="E25" i="78"/>
  <c r="H25" i="78" s="1"/>
  <c r="I25" i="78" s="1"/>
  <c r="E28" i="30"/>
  <c r="H28" i="30" s="1"/>
  <c r="I28" i="30" s="1"/>
  <c r="E41" i="30"/>
  <c r="I41" i="30" s="1"/>
  <c r="E26" i="30"/>
  <c r="H26" i="30" s="1"/>
  <c r="I26" i="30" s="1"/>
  <c r="H19" i="35" l="1"/>
  <c r="I19" i="35" s="1"/>
  <c r="G469" i="64"/>
  <c r="F480" i="64"/>
  <c r="I123" i="69"/>
  <c r="H19" i="75"/>
  <c r="I19" i="75" s="1"/>
  <c r="J19" i="75"/>
  <c r="H19" i="76"/>
  <c r="I19" i="76" s="1"/>
  <c r="J19" i="76"/>
  <c r="H17" i="56"/>
  <c r="I17" i="56" s="1"/>
  <c r="J17" i="56"/>
  <c r="H19" i="55"/>
  <c r="I19" i="55" s="1"/>
  <c r="J19" i="55"/>
  <c r="H19" i="33"/>
  <c r="I19" i="33" s="1"/>
  <c r="J19" i="33"/>
  <c r="H17" i="23"/>
  <c r="I17" i="23" s="1"/>
  <c r="J17" i="23"/>
  <c r="H19" i="7"/>
  <c r="I19" i="7" s="1"/>
  <c r="H17" i="55"/>
  <c r="I17" i="55" s="1"/>
  <c r="J17" i="55"/>
  <c r="H17" i="42"/>
  <c r="I17" i="42" s="1"/>
  <c r="J17" i="42"/>
  <c r="H15" i="47"/>
  <c r="I15" i="47" s="1"/>
  <c r="J15" i="47"/>
  <c r="H19" i="42"/>
  <c r="I19" i="42" s="1"/>
  <c r="J19" i="42"/>
  <c r="H19" i="71"/>
  <c r="I19" i="71" s="1"/>
  <c r="J19" i="71"/>
  <c r="H19" i="57"/>
  <c r="I19" i="57" s="1"/>
  <c r="J19" i="57"/>
  <c r="H17" i="47"/>
  <c r="I17" i="47" s="1"/>
  <c r="J17" i="47"/>
  <c r="H19" i="44"/>
  <c r="I19" i="44" s="1"/>
  <c r="J19" i="44"/>
  <c r="H19" i="69"/>
  <c r="I19" i="69" s="1"/>
  <c r="J19" i="69"/>
  <c r="H19" i="56"/>
  <c r="I19" i="56" s="1"/>
  <c r="J19" i="56"/>
  <c r="H15" i="52"/>
  <c r="I15" i="52" s="1"/>
  <c r="J15" i="52"/>
  <c r="H17" i="48"/>
  <c r="I17" i="48" s="1"/>
  <c r="J17" i="48"/>
  <c r="H15" i="69"/>
  <c r="I15" i="69" s="1"/>
  <c r="J15" i="69"/>
  <c r="H19" i="39"/>
  <c r="I19" i="39" s="1"/>
  <c r="J19" i="39"/>
  <c r="H17" i="35"/>
  <c r="I17" i="35" s="1"/>
  <c r="J17" i="35"/>
  <c r="H19" i="16"/>
  <c r="I19" i="16" s="1"/>
  <c r="J19" i="16"/>
  <c r="H15" i="26"/>
  <c r="I15" i="26" s="1"/>
  <c r="J15" i="26"/>
  <c r="H17" i="39"/>
  <c r="I17" i="39" s="1"/>
  <c r="J17" i="39"/>
  <c r="H19" i="47"/>
  <c r="I19" i="47" s="1"/>
  <c r="J19" i="47"/>
  <c r="H19" i="68"/>
  <c r="I19" i="68" s="1"/>
  <c r="J19" i="68"/>
  <c r="H19" i="51"/>
  <c r="I19" i="51" s="1"/>
  <c r="J19" i="51"/>
  <c r="H19" i="43"/>
  <c r="I19" i="43" s="1"/>
  <c r="J19" i="43"/>
  <c r="H15" i="7"/>
  <c r="I15" i="7" s="1"/>
  <c r="J15" i="7"/>
  <c r="H17" i="51"/>
  <c r="I17" i="51" s="1"/>
  <c r="J17" i="51"/>
  <c r="H17" i="33"/>
  <c r="I17" i="33" s="1"/>
  <c r="J17" i="33"/>
  <c r="H15" i="40"/>
  <c r="I15" i="40" s="1"/>
  <c r="J15" i="40"/>
  <c r="H17" i="16"/>
  <c r="I17" i="16" s="1"/>
  <c r="J17" i="16"/>
  <c r="H17" i="52"/>
  <c r="I17" i="52" s="1"/>
  <c r="J17" i="52"/>
  <c r="H17" i="43"/>
  <c r="I17" i="43" s="1"/>
  <c r="J17" i="43"/>
  <c r="H19" i="27"/>
  <c r="I19" i="27" s="1"/>
  <c r="J19" i="27"/>
  <c r="H17" i="34"/>
  <c r="I17" i="34" s="1"/>
  <c r="J17" i="34"/>
  <c r="H17" i="17"/>
  <c r="I17" i="17" s="1"/>
  <c r="J17" i="17"/>
  <c r="H17" i="44"/>
  <c r="I17" i="44" s="1"/>
  <c r="J17" i="44"/>
  <c r="H19" i="30"/>
  <c r="I19" i="30" s="1"/>
  <c r="J19" i="30"/>
  <c r="H19" i="34"/>
  <c r="I19" i="34" s="1"/>
  <c r="J19" i="34"/>
  <c r="H15" i="33"/>
  <c r="I15" i="33" s="1"/>
  <c r="J15" i="33"/>
  <c r="H17" i="27"/>
  <c r="I17" i="27" s="1"/>
  <c r="J17" i="27"/>
  <c r="T123" i="68"/>
  <c r="E44" i="68"/>
  <c r="I123" i="56"/>
  <c r="I124" i="56" s="1"/>
  <c r="I123" i="23"/>
  <c r="I124" i="23" s="1"/>
  <c r="I123" i="21"/>
  <c r="I124" i="21" s="1"/>
  <c r="I21" i="7"/>
  <c r="I22" i="7"/>
  <c r="I14" i="7"/>
  <c r="I27" i="7"/>
  <c r="I28" i="7"/>
  <c r="I25" i="7"/>
  <c r="I20" i="7"/>
  <c r="I18" i="7"/>
  <c r="H18" i="60"/>
  <c r="I23" i="7"/>
  <c r="I24" i="7"/>
  <c r="I24" i="60" s="1"/>
  <c r="H24" i="60"/>
  <c r="I29" i="7"/>
  <c r="I26" i="7"/>
  <c r="I26" i="60" s="1"/>
  <c r="H26" i="60"/>
  <c r="H31" i="60"/>
  <c r="I123" i="48"/>
  <c r="I124" i="48" s="1"/>
  <c r="I123" i="52"/>
  <c r="I124" i="52" s="1"/>
  <c r="T123" i="35"/>
  <c r="T123" i="47"/>
  <c r="E44" i="33"/>
  <c r="H15" i="78"/>
  <c r="I15" i="78" s="1"/>
  <c r="H15" i="67"/>
  <c r="I15" i="67" s="1"/>
  <c r="H15" i="77"/>
  <c r="I15" i="77" s="1"/>
  <c r="H15" i="56"/>
  <c r="I15" i="56" s="1"/>
  <c r="H15" i="17"/>
  <c r="I15" i="17" s="1"/>
  <c r="H15" i="70"/>
  <c r="I15" i="70" s="1"/>
  <c r="H15" i="43"/>
  <c r="I15" i="43" s="1"/>
  <c r="H15" i="71"/>
  <c r="I15" i="71" s="1"/>
  <c r="H15" i="36"/>
  <c r="I15" i="36" s="1"/>
  <c r="H15" i="50"/>
  <c r="I15" i="50" s="1"/>
  <c r="H15" i="76"/>
  <c r="I15" i="76" s="1"/>
  <c r="H15" i="35"/>
  <c r="I15" i="35" s="1"/>
  <c r="H15" i="32"/>
  <c r="I15" i="32" s="1"/>
  <c r="H15" i="23"/>
  <c r="I15" i="23" s="1"/>
  <c r="H15" i="44"/>
  <c r="I15" i="44" s="1"/>
  <c r="P104" i="76"/>
  <c r="I123" i="75"/>
  <c r="I124" i="75" s="1"/>
  <c r="P106" i="68"/>
  <c r="I123" i="18"/>
  <c r="I124" i="18" s="1"/>
  <c r="E44" i="22"/>
  <c r="P104" i="21"/>
  <c r="I123" i="37"/>
  <c r="I124" i="37" s="1"/>
  <c r="I123" i="34"/>
  <c r="I124" i="34" s="1"/>
  <c r="E44" i="24"/>
  <c r="I123" i="51"/>
  <c r="I124" i="51" s="1"/>
  <c r="I44" i="22"/>
  <c r="E44" i="25"/>
  <c r="P105" i="23"/>
  <c r="I124" i="42"/>
  <c r="H19" i="70"/>
  <c r="I19" i="70" s="1"/>
  <c r="E44" i="38"/>
  <c r="P105" i="76"/>
  <c r="E44" i="32"/>
  <c r="E44" i="18"/>
  <c r="E44" i="43"/>
  <c r="E44" i="76"/>
  <c r="I44" i="69"/>
  <c r="P106" i="30"/>
  <c r="P105" i="30"/>
  <c r="P104" i="33"/>
  <c r="I44" i="68"/>
  <c r="P104" i="68"/>
  <c r="P104" i="40"/>
  <c r="P105" i="40"/>
  <c r="I124" i="71"/>
  <c r="I123" i="70"/>
  <c r="I124" i="70" s="1"/>
  <c r="H19" i="52"/>
  <c r="I19" i="52" s="1"/>
  <c r="E30" i="52"/>
  <c r="I124" i="44"/>
  <c r="I124" i="35"/>
  <c r="I124" i="32"/>
  <c r="I44" i="28"/>
  <c r="E44" i="28"/>
  <c r="P106" i="27"/>
  <c r="P104" i="27"/>
  <c r="E44" i="36"/>
  <c r="I124" i="30"/>
  <c r="P104" i="24"/>
  <c r="P106" i="24"/>
  <c r="P105" i="24"/>
  <c r="I124" i="27"/>
  <c r="I123" i="26"/>
  <c r="I124" i="26" s="1"/>
  <c r="T123" i="26"/>
  <c r="P104" i="50"/>
  <c r="P105" i="50"/>
  <c r="H17" i="68"/>
  <c r="I17" i="68" s="1"/>
  <c r="E15" i="60"/>
  <c r="I44" i="38"/>
  <c r="E44" i="39"/>
  <c r="I44" i="25"/>
  <c r="E30" i="34"/>
  <c r="H17" i="71"/>
  <c r="I17" i="71" s="1"/>
  <c r="E44" i="69"/>
  <c r="P105" i="28"/>
  <c r="P104" i="28"/>
  <c r="E44" i="21"/>
  <c r="I44" i="21"/>
  <c r="H19" i="32"/>
  <c r="I19" i="32" s="1"/>
  <c r="H14" i="52"/>
  <c r="E14" i="60"/>
  <c r="H17" i="76"/>
  <c r="I17" i="76" s="1"/>
  <c r="E44" i="50"/>
  <c r="I124" i="43"/>
  <c r="T123" i="16"/>
  <c r="I124" i="69"/>
  <c r="I124" i="67"/>
  <c r="I124" i="47"/>
  <c r="I44" i="32"/>
  <c r="I44" i="18"/>
  <c r="H19" i="78"/>
  <c r="I19" i="78" s="1"/>
  <c r="I124" i="24"/>
  <c r="I123" i="33"/>
  <c r="I124" i="33" s="1"/>
  <c r="I124" i="28"/>
  <c r="P105" i="33"/>
  <c r="P106" i="50"/>
  <c r="P104" i="23"/>
  <c r="P105" i="17"/>
  <c r="P106" i="17"/>
  <c r="P104" i="66"/>
  <c r="P105" i="66"/>
  <c r="P105" i="37"/>
  <c r="P104" i="37"/>
  <c r="I44" i="50"/>
  <c r="D32" i="60"/>
  <c r="E120" i="60" s="1"/>
  <c r="I120" i="60" s="1"/>
  <c r="I122" i="60" s="1"/>
  <c r="E44" i="7"/>
  <c r="P105" i="21"/>
  <c r="I44" i="76"/>
  <c r="I44" i="36"/>
  <c r="P106" i="38"/>
  <c r="P104" i="38"/>
  <c r="P105" i="38"/>
  <c r="I44" i="33"/>
  <c r="I44" i="34"/>
  <c r="I44" i="20"/>
  <c r="P105" i="69"/>
  <c r="P106" i="69"/>
  <c r="P104" i="69"/>
  <c r="P105" i="36"/>
  <c r="P104" i="36"/>
  <c r="P106" i="36"/>
  <c r="P104" i="75"/>
  <c r="P105" i="75"/>
  <c r="P106" i="75"/>
  <c r="I44" i="47"/>
  <c r="I44" i="23"/>
  <c r="I44" i="39"/>
  <c r="P106" i="22"/>
  <c r="P105" i="22"/>
  <c r="I44" i="43"/>
  <c r="I44" i="27"/>
  <c r="E30" i="36"/>
  <c r="H14" i="36"/>
  <c r="I14" i="36" s="1"/>
  <c r="E41" i="60"/>
  <c r="P104" i="71"/>
  <c r="P105" i="71"/>
  <c r="P106" i="71"/>
  <c r="H17" i="57"/>
  <c r="I17" i="57" s="1"/>
  <c r="E30" i="75"/>
  <c r="H14" i="75"/>
  <c r="I14" i="75" s="1"/>
  <c r="E30" i="55"/>
  <c r="E44" i="75"/>
  <c r="I44" i="75"/>
  <c r="H14" i="47"/>
  <c r="I14" i="47" s="1"/>
  <c r="E30" i="47"/>
  <c r="E30" i="42"/>
  <c r="H15" i="42"/>
  <c r="I15" i="42" s="1"/>
  <c r="H15" i="45"/>
  <c r="I15" i="45" s="1"/>
  <c r="P104" i="44"/>
  <c r="P106" i="44"/>
  <c r="P105" i="44"/>
  <c r="H19" i="36"/>
  <c r="I19" i="36" s="1"/>
  <c r="H14" i="31"/>
  <c r="I14" i="31" s="1"/>
  <c r="E30" i="31"/>
  <c r="H21" i="18"/>
  <c r="I21" i="18" s="1"/>
  <c r="E21" i="60"/>
  <c r="E27" i="60"/>
  <c r="H28" i="60"/>
  <c r="E28" i="60"/>
  <c r="E18" i="60"/>
  <c r="I44" i="16"/>
  <c r="H15" i="22"/>
  <c r="I15" i="22" s="1"/>
  <c r="I43" i="60"/>
  <c r="E43" i="60"/>
  <c r="H17" i="18"/>
  <c r="I17" i="18" s="1"/>
  <c r="H23" i="16"/>
  <c r="H23" i="60" s="1"/>
  <c r="E23" i="60"/>
  <c r="E42" i="60"/>
  <c r="E44" i="16"/>
  <c r="I123" i="78"/>
  <c r="I124" i="78" s="1"/>
  <c r="T123" i="78"/>
  <c r="P106" i="67"/>
  <c r="P104" i="67"/>
  <c r="P105" i="67"/>
  <c r="H17" i="58"/>
  <c r="I17" i="58" s="1"/>
  <c r="H19" i="66"/>
  <c r="I19" i="66" s="1"/>
  <c r="C105" i="55"/>
  <c r="H105" i="55" s="1"/>
  <c r="E30" i="56"/>
  <c r="H15" i="48"/>
  <c r="I15" i="48" s="1"/>
  <c r="E30" i="50"/>
  <c r="H14" i="50"/>
  <c r="I14" i="50" s="1"/>
  <c r="P106" i="42"/>
  <c r="P104" i="42"/>
  <c r="P105" i="42"/>
  <c r="E44" i="27"/>
  <c r="H15" i="31"/>
  <c r="I15" i="31" s="1"/>
  <c r="H17" i="28"/>
  <c r="I17" i="28" s="1"/>
  <c r="H14" i="28"/>
  <c r="I14" i="28" s="1"/>
  <c r="E30" i="28"/>
  <c r="E30" i="17"/>
  <c r="H14" i="17"/>
  <c r="I14" i="17" s="1"/>
  <c r="E44" i="20"/>
  <c r="H20" i="60"/>
  <c r="E20" i="60"/>
  <c r="E30" i="16"/>
  <c r="H14" i="16"/>
  <c r="I14" i="16" s="1"/>
  <c r="E30" i="25"/>
  <c r="H14" i="25"/>
  <c r="I14" i="25" s="1"/>
  <c r="E40" i="60"/>
  <c r="E30" i="77"/>
  <c r="H14" i="77"/>
  <c r="I14" i="77" s="1"/>
  <c r="H17" i="45"/>
  <c r="I17" i="45" s="1"/>
  <c r="I123" i="38"/>
  <c r="I124" i="38" s="1"/>
  <c r="T123" i="38"/>
  <c r="H17" i="30"/>
  <c r="I17" i="30" s="1"/>
  <c r="H17" i="77"/>
  <c r="I17" i="77" s="1"/>
  <c r="E30" i="70"/>
  <c r="H14" i="70"/>
  <c r="I14" i="70" s="1"/>
  <c r="I123" i="77"/>
  <c r="I124" i="77" s="1"/>
  <c r="T123" i="77"/>
  <c r="H15" i="75"/>
  <c r="I15" i="75" s="1"/>
  <c r="P106" i="55"/>
  <c r="P105" i="55"/>
  <c r="P104" i="55"/>
  <c r="H14" i="51"/>
  <c r="I14" i="51" s="1"/>
  <c r="E30" i="51"/>
  <c r="C106" i="47"/>
  <c r="H106" i="47" s="1"/>
  <c r="H19" i="38"/>
  <c r="I19" i="38" s="1"/>
  <c r="I44" i="37"/>
  <c r="E44" i="37"/>
  <c r="H19" i="26"/>
  <c r="I19" i="26" s="1"/>
  <c r="I123" i="22"/>
  <c r="I124" i="22" s="1"/>
  <c r="T123" i="22"/>
  <c r="H29" i="17"/>
  <c r="H29" i="60" s="1"/>
  <c r="E29" i="60"/>
  <c r="H17" i="24"/>
  <c r="I17" i="24" s="1"/>
  <c r="H15" i="21"/>
  <c r="I15" i="21" s="1"/>
  <c r="I123" i="25"/>
  <c r="I124" i="25" s="1"/>
  <c r="T123" i="25"/>
  <c r="E16" i="60"/>
  <c r="H16" i="7"/>
  <c r="H19" i="28"/>
  <c r="I19" i="28" s="1"/>
  <c r="E44" i="71"/>
  <c r="I44" i="71"/>
  <c r="H15" i="58"/>
  <c r="I15" i="58" s="1"/>
  <c r="C105" i="56"/>
  <c r="H105" i="56" s="1"/>
  <c r="I124" i="76"/>
  <c r="I123" i="50"/>
  <c r="I124" i="50" s="1"/>
  <c r="T123" i="50"/>
  <c r="P105" i="39"/>
  <c r="P104" i="39"/>
  <c r="P106" i="39"/>
  <c r="E44" i="34"/>
  <c r="H15" i="18"/>
  <c r="I15" i="18" s="1"/>
  <c r="H15" i="28"/>
  <c r="I15" i="28" s="1"/>
  <c r="H15" i="24"/>
  <c r="I15" i="24" s="1"/>
  <c r="I44" i="7"/>
  <c r="G459" i="64"/>
  <c r="E24" i="60"/>
  <c r="H19" i="22"/>
  <c r="I19" i="22" s="1"/>
  <c r="H14" i="68"/>
  <c r="I14" i="68" s="1"/>
  <c r="E30" i="68"/>
  <c r="E44" i="56"/>
  <c r="I44" i="56"/>
  <c r="H17" i="50"/>
  <c r="I17" i="50" s="1"/>
  <c r="E30" i="32"/>
  <c r="H14" i="32"/>
  <c r="I14" i="32" s="1"/>
  <c r="E30" i="38"/>
  <c r="H14" i="38"/>
  <c r="I14" i="38" s="1"/>
  <c r="I44" i="17"/>
  <c r="E44" i="17"/>
  <c r="E22" i="60"/>
  <c r="H17" i="78"/>
  <c r="I17" i="78" s="1"/>
  <c r="H17" i="70"/>
  <c r="I17" i="70" s="1"/>
  <c r="I44" i="45"/>
  <c r="E44" i="45"/>
  <c r="H15" i="39"/>
  <c r="I15" i="39" s="1"/>
  <c r="H17" i="36"/>
  <c r="I17" i="36" s="1"/>
  <c r="I44" i="26"/>
  <c r="E44" i="26"/>
  <c r="I44" i="24"/>
  <c r="H19" i="31"/>
  <c r="I19" i="31" s="1"/>
  <c r="H17" i="21"/>
  <c r="I17" i="21" s="1"/>
  <c r="H15" i="25"/>
  <c r="I15" i="25" s="1"/>
  <c r="E30" i="7"/>
  <c r="H14" i="22"/>
  <c r="I14" i="22" s="1"/>
  <c r="E30" i="22"/>
  <c r="P105" i="16"/>
  <c r="P104" i="16"/>
  <c r="P106" i="16"/>
  <c r="E30" i="78"/>
  <c r="H14" i="78"/>
  <c r="I14" i="78" s="1"/>
  <c r="E29" i="62"/>
  <c r="E30" i="62" s="1"/>
  <c r="I31" i="60"/>
  <c r="H17" i="69"/>
  <c r="I17" i="69" s="1"/>
  <c r="I124" i="68"/>
  <c r="E44" i="67"/>
  <c r="I44" i="67"/>
  <c r="E30" i="66"/>
  <c r="H14" i="66"/>
  <c r="I14" i="66" s="1"/>
  <c r="E30" i="57"/>
  <c r="H14" i="57"/>
  <c r="I14" i="57" s="1"/>
  <c r="P104" i="57"/>
  <c r="P105" i="57"/>
  <c r="P106" i="57"/>
  <c r="E44" i="57"/>
  <c r="C105" i="47"/>
  <c r="H105" i="47" s="1"/>
  <c r="P104" i="47"/>
  <c r="P106" i="47"/>
  <c r="P105" i="47"/>
  <c r="H19" i="45"/>
  <c r="I19" i="45" s="1"/>
  <c r="I44" i="42"/>
  <c r="E30" i="40"/>
  <c r="H19" i="37"/>
  <c r="I19" i="37" s="1"/>
  <c r="E44" i="23"/>
  <c r="H15" i="27"/>
  <c r="I15" i="27" s="1"/>
  <c r="P106" i="34"/>
  <c r="P105" i="34"/>
  <c r="P104" i="34"/>
  <c r="H19" i="17"/>
  <c r="I19" i="17" s="1"/>
  <c r="E19" i="60"/>
  <c r="I123" i="31"/>
  <c r="I124" i="31" s="1"/>
  <c r="T123" i="31"/>
  <c r="I122" i="7"/>
  <c r="H14" i="58"/>
  <c r="I14" i="58" s="1"/>
  <c r="E30" i="58"/>
  <c r="H17" i="40"/>
  <c r="I17" i="40" s="1"/>
  <c r="E44" i="30"/>
  <c r="H17" i="67"/>
  <c r="I17" i="67" s="1"/>
  <c r="I44" i="57"/>
  <c r="E44" i="55"/>
  <c r="E44" i="51"/>
  <c r="H16" i="44"/>
  <c r="I16" i="44" s="1"/>
  <c r="E30" i="44"/>
  <c r="E44" i="47"/>
  <c r="E30" i="43"/>
  <c r="I124" i="40"/>
  <c r="E44" i="42"/>
  <c r="H19" i="23"/>
  <c r="H17" i="38"/>
  <c r="I17" i="38" s="1"/>
  <c r="H17" i="26"/>
  <c r="I17" i="26" s="1"/>
  <c r="E30" i="26"/>
  <c r="H14" i="26"/>
  <c r="I14" i="26" s="1"/>
  <c r="E30" i="27"/>
  <c r="H19" i="18"/>
  <c r="I19" i="18" s="1"/>
  <c r="H17" i="7"/>
  <c r="E17" i="60"/>
  <c r="E30" i="18"/>
  <c r="H17" i="22"/>
  <c r="I17" i="22" s="1"/>
  <c r="E44" i="44"/>
  <c r="I44" i="44"/>
  <c r="E30" i="23"/>
  <c r="H14" i="23"/>
  <c r="I14" i="23" s="1"/>
  <c r="H17" i="25"/>
  <c r="I17" i="25" s="1"/>
  <c r="I44" i="30"/>
  <c r="E30" i="71"/>
  <c r="I123" i="57"/>
  <c r="I124" i="57" s="1"/>
  <c r="T123" i="57"/>
  <c r="H15" i="55"/>
  <c r="I15" i="55" s="1"/>
  <c r="I44" i="55"/>
  <c r="E30" i="76"/>
  <c r="I44" i="51"/>
  <c r="H14" i="45"/>
  <c r="I14" i="45" s="1"/>
  <c r="E30" i="45"/>
  <c r="I123" i="39"/>
  <c r="I124" i="39" s="1"/>
  <c r="T123" i="39"/>
  <c r="H14" i="37"/>
  <c r="I14" i="37" s="1"/>
  <c r="E30" i="37"/>
  <c r="H17" i="32"/>
  <c r="I17" i="32" s="1"/>
  <c r="H16" i="35"/>
  <c r="I16" i="35" s="1"/>
  <c r="E30" i="35"/>
  <c r="I44" i="31"/>
  <c r="E44" i="31"/>
  <c r="H14" i="24"/>
  <c r="I14" i="24" s="1"/>
  <c r="E30" i="24"/>
  <c r="H17" i="31"/>
  <c r="I17" i="31" s="1"/>
  <c r="E30" i="20"/>
  <c r="H15" i="20"/>
  <c r="I15" i="20" s="1"/>
  <c r="H19" i="20"/>
  <c r="I19" i="20" s="1"/>
  <c r="E26" i="60"/>
  <c r="I123" i="7"/>
  <c r="T123" i="7"/>
  <c r="E30" i="21"/>
  <c r="H14" i="67"/>
  <c r="I14" i="67" s="1"/>
  <c r="E30" i="67"/>
  <c r="H15" i="57"/>
  <c r="I15" i="57" s="1"/>
  <c r="I44" i="58"/>
  <c r="E44" i="58"/>
  <c r="H15" i="34"/>
  <c r="I15" i="34" s="1"/>
  <c r="H17" i="20"/>
  <c r="I17" i="20" s="1"/>
  <c r="E39" i="60"/>
  <c r="H15" i="68"/>
  <c r="I15" i="68" s="1"/>
  <c r="I44" i="77"/>
  <c r="E44" i="77"/>
  <c r="H19" i="77"/>
  <c r="I19" i="77" s="1"/>
  <c r="E44" i="70"/>
  <c r="I44" i="70"/>
  <c r="H19" i="58"/>
  <c r="I19" i="58" s="1"/>
  <c r="E30" i="69"/>
  <c r="H17" i="66"/>
  <c r="I17" i="66" s="1"/>
  <c r="T123" i="55"/>
  <c r="I123" i="55"/>
  <c r="I124" i="55" s="1"/>
  <c r="C106" i="76"/>
  <c r="H106" i="76" s="1"/>
  <c r="E30" i="48"/>
  <c r="I123" i="45"/>
  <c r="I124" i="45" s="1"/>
  <c r="T123" i="45"/>
  <c r="H19" i="40"/>
  <c r="I19" i="40" s="1"/>
  <c r="H15" i="38"/>
  <c r="I15" i="38" s="1"/>
  <c r="C104" i="40"/>
  <c r="E44" i="40"/>
  <c r="H19" i="21"/>
  <c r="I19" i="21" s="1"/>
  <c r="H19" i="24"/>
  <c r="I19" i="24" s="1"/>
  <c r="I124" i="17"/>
  <c r="H19" i="25"/>
  <c r="I19" i="25" s="1"/>
  <c r="I121" i="7"/>
  <c r="E30" i="30"/>
  <c r="H14" i="30"/>
  <c r="I14" i="30" s="1"/>
  <c r="H15" i="66"/>
  <c r="I15" i="66" s="1"/>
  <c r="H19" i="50"/>
  <c r="I19" i="50" s="1"/>
  <c r="P106" i="48"/>
  <c r="P105" i="48"/>
  <c r="P104" i="48"/>
  <c r="I123" i="58"/>
  <c r="I124" i="58" s="1"/>
  <c r="T123" i="58"/>
  <c r="I123" i="66"/>
  <c r="I124" i="66" s="1"/>
  <c r="T123" i="66"/>
  <c r="I44" i="52"/>
  <c r="E44" i="52"/>
  <c r="H15" i="30"/>
  <c r="I15" i="30" s="1"/>
  <c r="E44" i="78"/>
  <c r="I44" i="78"/>
  <c r="H19" i="67"/>
  <c r="I19" i="67" s="1"/>
  <c r="I44" i="66"/>
  <c r="E44" i="66"/>
  <c r="H17" i="75"/>
  <c r="I17" i="75" s="1"/>
  <c r="H15" i="51"/>
  <c r="I15" i="51" s="1"/>
  <c r="H19" i="48"/>
  <c r="I19" i="48" s="1"/>
  <c r="E44" i="48"/>
  <c r="I44" i="48"/>
  <c r="H15" i="37"/>
  <c r="I15" i="37" s="1"/>
  <c r="H17" i="37"/>
  <c r="I17" i="37" s="1"/>
  <c r="I44" i="35"/>
  <c r="E44" i="35"/>
  <c r="E30" i="39"/>
  <c r="I44" i="40"/>
  <c r="I123" i="36"/>
  <c r="I124" i="36" s="1"/>
  <c r="T123" i="36"/>
  <c r="E30" i="33"/>
  <c r="I124" i="20"/>
  <c r="H15" i="16"/>
  <c r="I15" i="16" s="1"/>
  <c r="H25" i="16"/>
  <c r="H25" i="60" s="1"/>
  <c r="E25" i="60"/>
  <c r="E44" i="60"/>
  <c r="C106" i="69" l="1"/>
  <c r="H106" i="69" s="1"/>
  <c r="C106" i="44"/>
  <c r="H106" i="44" s="1"/>
  <c r="C105" i="42"/>
  <c r="H105" i="42" s="1"/>
  <c r="C106" i="35"/>
  <c r="H106" i="35" s="1"/>
  <c r="C105" i="17"/>
  <c r="H105" i="17" s="1"/>
  <c r="C106" i="56"/>
  <c r="H106" i="56" s="1"/>
  <c r="C106" i="43"/>
  <c r="H106" i="43" s="1"/>
  <c r="C105" i="52"/>
  <c r="H105" i="52" s="1"/>
  <c r="C106" i="42"/>
  <c r="H106" i="42" s="1"/>
  <c r="C106" i="33"/>
  <c r="H106" i="33" s="1"/>
  <c r="C106" i="51"/>
  <c r="H106" i="51" s="1"/>
  <c r="C105" i="16"/>
  <c r="H105" i="16" s="1"/>
  <c r="C106" i="55"/>
  <c r="H106" i="55" s="1"/>
  <c r="C104" i="33"/>
  <c r="H104" i="33" s="1"/>
  <c r="H30" i="33"/>
  <c r="E46" i="33" s="1"/>
  <c r="C105" i="34"/>
  <c r="H105" i="34" s="1"/>
  <c r="H106" i="7"/>
  <c r="C106" i="68"/>
  <c r="H106" i="68" s="1"/>
  <c r="I30" i="33"/>
  <c r="I46" i="33" s="1"/>
  <c r="C105" i="33"/>
  <c r="H105" i="33" s="1"/>
  <c r="C104" i="69"/>
  <c r="H104" i="69" s="1"/>
  <c r="H133" i="7"/>
  <c r="C105" i="27"/>
  <c r="H105" i="27" s="1"/>
  <c r="C106" i="75"/>
  <c r="H106" i="75" s="1"/>
  <c r="C105" i="48"/>
  <c r="H105" i="48" s="1"/>
  <c r="C106" i="27"/>
  <c r="H106" i="27" s="1"/>
  <c r="C105" i="39"/>
  <c r="H105" i="39" s="1"/>
  <c r="C106" i="34"/>
  <c r="H106" i="34" s="1"/>
  <c r="C105" i="51"/>
  <c r="H105" i="51" s="1"/>
  <c r="C106" i="57"/>
  <c r="H106" i="57" s="1"/>
  <c r="C106" i="39"/>
  <c r="H106" i="39" s="1"/>
  <c r="C105" i="23"/>
  <c r="H105" i="23" s="1"/>
  <c r="C106" i="30"/>
  <c r="H106" i="30" s="1"/>
  <c r="C104" i="7"/>
  <c r="H104" i="7" s="1"/>
  <c r="C105" i="43"/>
  <c r="H105" i="43" s="1"/>
  <c r="C106" i="71"/>
  <c r="H106" i="71" s="1"/>
  <c r="I30" i="43"/>
  <c r="H30" i="43"/>
  <c r="C72" i="43" s="1"/>
  <c r="C104" i="71"/>
  <c r="H104" i="71" s="1"/>
  <c r="C104" i="76"/>
  <c r="H104" i="76" s="1"/>
  <c r="H30" i="56"/>
  <c r="C72" i="56" s="1"/>
  <c r="H22" i="60"/>
  <c r="H19" i="60"/>
  <c r="I17" i="7"/>
  <c r="H17" i="60"/>
  <c r="I16" i="7"/>
  <c r="H16" i="60"/>
  <c r="H27" i="60"/>
  <c r="H14" i="60"/>
  <c r="H15" i="60"/>
  <c r="H21" i="60"/>
  <c r="C104" i="43"/>
  <c r="H104" i="43" s="1"/>
  <c r="C104" i="35"/>
  <c r="H104" i="35" s="1"/>
  <c r="C104" i="44"/>
  <c r="H104" i="44" s="1"/>
  <c r="C104" i="56"/>
  <c r="C107" i="56" s="1"/>
  <c r="H133" i="45"/>
  <c r="U126" i="45" s="1"/>
  <c r="C75" i="45"/>
  <c r="H76" i="45" s="1"/>
  <c r="H92" i="45" s="1"/>
  <c r="C78" i="45"/>
  <c r="H79" i="45" s="1"/>
  <c r="H85" i="45" s="1"/>
  <c r="C81" i="45"/>
  <c r="H82" i="45" s="1"/>
  <c r="H90" i="45" s="1"/>
  <c r="H133" i="78"/>
  <c r="U126" i="78" s="1"/>
  <c r="C78" i="78"/>
  <c r="H79" i="78" s="1"/>
  <c r="H85" i="78" s="1"/>
  <c r="C81" i="78"/>
  <c r="H82" i="78" s="1"/>
  <c r="H90" i="78" s="1"/>
  <c r="C75" i="78"/>
  <c r="H76" i="78" s="1"/>
  <c r="H92" i="78" s="1"/>
  <c r="H133" i="50"/>
  <c r="U126" i="50" s="1"/>
  <c r="C75" i="50"/>
  <c r="H76" i="50" s="1"/>
  <c r="H92" i="50" s="1"/>
  <c r="C78" i="50"/>
  <c r="H79" i="50" s="1"/>
  <c r="H85" i="50" s="1"/>
  <c r="C81" i="50"/>
  <c r="H82" i="50" s="1"/>
  <c r="H90" i="50" s="1"/>
  <c r="H133" i="55"/>
  <c r="U126" i="55" s="1"/>
  <c r="C75" i="55"/>
  <c r="H76" i="55" s="1"/>
  <c r="H92" i="55" s="1"/>
  <c r="C78" i="55"/>
  <c r="H79" i="55" s="1"/>
  <c r="H85" i="55" s="1"/>
  <c r="C81" i="55"/>
  <c r="H82" i="55" s="1"/>
  <c r="H90" i="55" s="1"/>
  <c r="H133" i="40"/>
  <c r="U126" i="40" s="1"/>
  <c r="C75" i="40"/>
  <c r="H76" i="40" s="1"/>
  <c r="H92" i="40" s="1"/>
  <c r="C78" i="40"/>
  <c r="H79" i="40" s="1"/>
  <c r="H85" i="40" s="1"/>
  <c r="C81" i="40"/>
  <c r="H82" i="40" s="1"/>
  <c r="H90" i="40" s="1"/>
  <c r="H133" i="77"/>
  <c r="U126" i="77" s="1"/>
  <c r="C81" i="77"/>
  <c r="H82" i="77" s="1"/>
  <c r="H90" i="77" s="1"/>
  <c r="C78" i="77"/>
  <c r="H79" i="77" s="1"/>
  <c r="H85" i="77" s="1"/>
  <c r="C75" i="77"/>
  <c r="H76" i="77" s="1"/>
  <c r="H92" i="77" s="1"/>
  <c r="H133" i="17"/>
  <c r="U126" i="17" s="1"/>
  <c r="C75" i="17"/>
  <c r="H76" i="17" s="1"/>
  <c r="H92" i="17" s="1"/>
  <c r="C81" i="17"/>
  <c r="H82" i="17" s="1"/>
  <c r="H90" i="17" s="1"/>
  <c r="C78" i="17"/>
  <c r="H79" i="17" s="1"/>
  <c r="H85" i="17" s="1"/>
  <c r="H133" i="26"/>
  <c r="U126" i="26" s="1"/>
  <c r="C78" i="26"/>
  <c r="H79" i="26" s="1"/>
  <c r="H85" i="26" s="1"/>
  <c r="C81" i="26"/>
  <c r="H82" i="26" s="1"/>
  <c r="H90" i="26" s="1"/>
  <c r="C75" i="26"/>
  <c r="H76" i="26" s="1"/>
  <c r="H92" i="26" s="1"/>
  <c r="H133" i="57"/>
  <c r="U126" i="57" s="1"/>
  <c r="C81" i="57"/>
  <c r="H82" i="57" s="1"/>
  <c r="H90" i="57" s="1"/>
  <c r="C75" i="57"/>
  <c r="H76" i="57" s="1"/>
  <c r="H92" i="57" s="1"/>
  <c r="C78" i="57"/>
  <c r="H79" i="57" s="1"/>
  <c r="H85" i="57" s="1"/>
  <c r="H133" i="38"/>
  <c r="U126" i="38" s="1"/>
  <c r="C81" i="38"/>
  <c r="H82" i="38" s="1"/>
  <c r="H90" i="38" s="1"/>
  <c r="C78" i="38"/>
  <c r="H79" i="38" s="1"/>
  <c r="H85" i="38" s="1"/>
  <c r="C75" i="38"/>
  <c r="H76" i="38" s="1"/>
  <c r="H92" i="38" s="1"/>
  <c r="H133" i="28"/>
  <c r="U126" i="28" s="1"/>
  <c r="C81" i="28"/>
  <c r="H82" i="28" s="1"/>
  <c r="H90" i="28" s="1"/>
  <c r="C78" i="28"/>
  <c r="H79" i="28" s="1"/>
  <c r="H85" i="28" s="1"/>
  <c r="C75" i="28"/>
  <c r="H76" i="28" s="1"/>
  <c r="H92" i="28" s="1"/>
  <c r="H133" i="75"/>
  <c r="U126" i="75" s="1"/>
  <c r="C81" i="75"/>
  <c r="H82" i="75" s="1"/>
  <c r="H90" i="75" s="1"/>
  <c r="C75" i="75"/>
  <c r="H76" i="75" s="1"/>
  <c r="H92" i="75" s="1"/>
  <c r="C78" i="75"/>
  <c r="H79" i="75" s="1"/>
  <c r="H85" i="75" s="1"/>
  <c r="H133" i="23"/>
  <c r="U126" i="23" s="1"/>
  <c r="C78" i="23"/>
  <c r="H79" i="23" s="1"/>
  <c r="H85" i="23" s="1"/>
  <c r="C75" i="23"/>
  <c r="H76" i="23" s="1"/>
  <c r="H92" i="23" s="1"/>
  <c r="C81" i="23"/>
  <c r="H82" i="23" s="1"/>
  <c r="H90" i="23" s="1"/>
  <c r="C75" i="30"/>
  <c r="H76" i="30" s="1"/>
  <c r="H92" i="30" s="1"/>
  <c r="C78" i="30"/>
  <c r="H79" i="30" s="1"/>
  <c r="H85" i="30" s="1"/>
  <c r="C81" i="30"/>
  <c r="H82" i="30" s="1"/>
  <c r="H90" i="30" s="1"/>
  <c r="H133" i="67"/>
  <c r="U126" i="67" s="1"/>
  <c r="C81" i="67"/>
  <c r="H82" i="67" s="1"/>
  <c r="H90" i="67" s="1"/>
  <c r="C75" i="67"/>
  <c r="H76" i="67" s="1"/>
  <c r="H92" i="67" s="1"/>
  <c r="C78" i="67"/>
  <c r="H79" i="67" s="1"/>
  <c r="H85" i="67" s="1"/>
  <c r="H133" i="76"/>
  <c r="U126" i="76" s="1"/>
  <c r="C78" i="76"/>
  <c r="H79" i="76" s="1"/>
  <c r="H85" i="76" s="1"/>
  <c r="C81" i="76"/>
  <c r="H82" i="76" s="1"/>
  <c r="H90" i="76" s="1"/>
  <c r="C75" i="76"/>
  <c r="H76" i="76" s="1"/>
  <c r="H92" i="76" s="1"/>
  <c r="H133" i="24"/>
  <c r="U126" i="24" s="1"/>
  <c r="C78" i="24"/>
  <c r="H79" i="24" s="1"/>
  <c r="H85" i="24" s="1"/>
  <c r="C81" i="24"/>
  <c r="H82" i="24" s="1"/>
  <c r="H90" i="24" s="1"/>
  <c r="C75" i="24"/>
  <c r="H76" i="24" s="1"/>
  <c r="H92" i="24" s="1"/>
  <c r="H133" i="66"/>
  <c r="U126" i="66" s="1"/>
  <c r="C75" i="66"/>
  <c r="H76" i="66" s="1"/>
  <c r="H92" i="66" s="1"/>
  <c r="C78" i="66"/>
  <c r="H79" i="66" s="1"/>
  <c r="H85" i="66" s="1"/>
  <c r="C81" i="66"/>
  <c r="H82" i="66" s="1"/>
  <c r="H90" i="66" s="1"/>
  <c r="H133" i="22"/>
  <c r="U126" i="22" s="1"/>
  <c r="C81" i="22"/>
  <c r="H82" i="22" s="1"/>
  <c r="H90" i="22" s="1"/>
  <c r="C75" i="22"/>
  <c r="H76" i="22" s="1"/>
  <c r="H92" i="22" s="1"/>
  <c r="C78" i="22"/>
  <c r="H79" i="22" s="1"/>
  <c r="H85" i="22" s="1"/>
  <c r="C78" i="32"/>
  <c r="H79" i="32" s="1"/>
  <c r="H85" i="32" s="1"/>
  <c r="C81" i="32"/>
  <c r="H82" i="32" s="1"/>
  <c r="H90" i="32" s="1"/>
  <c r="C75" i="32"/>
  <c r="H76" i="32" s="1"/>
  <c r="H92" i="32" s="1"/>
  <c r="H133" i="56"/>
  <c r="U126" i="56" s="1"/>
  <c r="C78" i="56"/>
  <c r="H79" i="56" s="1"/>
  <c r="H85" i="56" s="1"/>
  <c r="C81" i="56"/>
  <c r="H82" i="56" s="1"/>
  <c r="H90" i="56" s="1"/>
  <c r="C75" i="56"/>
  <c r="H76" i="56" s="1"/>
  <c r="H92" i="56" s="1"/>
  <c r="H133" i="33"/>
  <c r="U126" i="33" s="1"/>
  <c r="C75" i="33"/>
  <c r="H76" i="33" s="1"/>
  <c r="H92" i="33" s="1"/>
  <c r="C78" i="33"/>
  <c r="H79" i="33" s="1"/>
  <c r="H85" i="33" s="1"/>
  <c r="C81" i="33"/>
  <c r="H82" i="33" s="1"/>
  <c r="H90" i="33" s="1"/>
  <c r="H133" i="21"/>
  <c r="U126" i="21" s="1"/>
  <c r="C81" i="21"/>
  <c r="H82" i="21" s="1"/>
  <c r="H90" i="21" s="1"/>
  <c r="C78" i="21"/>
  <c r="H79" i="21" s="1"/>
  <c r="H85" i="21" s="1"/>
  <c r="C75" i="21"/>
  <c r="H76" i="21" s="1"/>
  <c r="H92" i="21" s="1"/>
  <c r="H133" i="35"/>
  <c r="U126" i="35" s="1"/>
  <c r="C75" i="35"/>
  <c r="H76" i="35" s="1"/>
  <c r="H92" i="35" s="1"/>
  <c r="C81" i="35"/>
  <c r="H82" i="35" s="1"/>
  <c r="H90" i="35" s="1"/>
  <c r="C78" i="35"/>
  <c r="H79" i="35" s="1"/>
  <c r="H85" i="35" s="1"/>
  <c r="H133" i="51"/>
  <c r="U126" i="51" s="1"/>
  <c r="C81" i="51"/>
  <c r="H82" i="51" s="1"/>
  <c r="H90" i="51" s="1"/>
  <c r="C78" i="51"/>
  <c r="H79" i="51" s="1"/>
  <c r="H85" i="51" s="1"/>
  <c r="C75" i="51"/>
  <c r="H76" i="51" s="1"/>
  <c r="H92" i="51" s="1"/>
  <c r="H133" i="70"/>
  <c r="U126" i="70" s="1"/>
  <c r="C81" i="70"/>
  <c r="H82" i="70" s="1"/>
  <c r="H90" i="70" s="1"/>
  <c r="C78" i="70"/>
  <c r="H79" i="70" s="1"/>
  <c r="H85" i="70" s="1"/>
  <c r="C75" i="70"/>
  <c r="H76" i="70" s="1"/>
  <c r="H92" i="70" s="1"/>
  <c r="H133" i="25"/>
  <c r="U126" i="25" s="1"/>
  <c r="C81" i="25"/>
  <c r="H82" i="25" s="1"/>
  <c r="H90" i="25" s="1"/>
  <c r="C75" i="25"/>
  <c r="H76" i="25" s="1"/>
  <c r="H92" i="25" s="1"/>
  <c r="C78" i="25"/>
  <c r="H79" i="25" s="1"/>
  <c r="H85" i="25" s="1"/>
  <c r="H133" i="48"/>
  <c r="U126" i="48" s="1"/>
  <c r="C75" i="48"/>
  <c r="H76" i="48" s="1"/>
  <c r="H92" i="48" s="1"/>
  <c r="C78" i="48"/>
  <c r="H79" i="48" s="1"/>
  <c r="H85" i="48" s="1"/>
  <c r="C81" i="48"/>
  <c r="H82" i="48" s="1"/>
  <c r="H90" i="48" s="1"/>
  <c r="H133" i="18"/>
  <c r="U126" i="18" s="1"/>
  <c r="C81" i="18"/>
  <c r="H82" i="18" s="1"/>
  <c r="H90" i="18" s="1"/>
  <c r="C78" i="18"/>
  <c r="H79" i="18" s="1"/>
  <c r="H85" i="18" s="1"/>
  <c r="C75" i="18"/>
  <c r="H76" i="18" s="1"/>
  <c r="H92" i="18" s="1"/>
  <c r="C75" i="7"/>
  <c r="C81" i="7"/>
  <c r="C78" i="7"/>
  <c r="H133" i="43"/>
  <c r="U126" i="43" s="1"/>
  <c r="C81" i="43"/>
  <c r="H82" i="43" s="1"/>
  <c r="H90" i="43" s="1"/>
  <c r="C75" i="43"/>
  <c r="H76" i="43" s="1"/>
  <c r="H92" i="43" s="1"/>
  <c r="C78" i="43"/>
  <c r="H79" i="43" s="1"/>
  <c r="H85" i="43" s="1"/>
  <c r="H133" i="16"/>
  <c r="U126" i="16" s="1"/>
  <c r="C78" i="16"/>
  <c r="H79" i="16" s="1"/>
  <c r="H85" i="16" s="1"/>
  <c r="C81" i="16"/>
  <c r="H82" i="16" s="1"/>
  <c r="H90" i="16" s="1"/>
  <c r="C75" i="16"/>
  <c r="H76" i="16" s="1"/>
  <c r="H92" i="16" s="1"/>
  <c r="H133" i="42"/>
  <c r="U126" i="42" s="1"/>
  <c r="C81" i="42"/>
  <c r="H82" i="42" s="1"/>
  <c r="H90" i="42" s="1"/>
  <c r="C78" i="42"/>
  <c r="H79" i="42" s="1"/>
  <c r="H85" i="42" s="1"/>
  <c r="C75" i="42"/>
  <c r="H76" i="42" s="1"/>
  <c r="H92" i="42" s="1"/>
  <c r="H133" i="37"/>
  <c r="U126" i="37" s="1"/>
  <c r="C78" i="37"/>
  <c r="H79" i="37" s="1"/>
  <c r="H85" i="37" s="1"/>
  <c r="C81" i="37"/>
  <c r="H82" i="37" s="1"/>
  <c r="H90" i="37" s="1"/>
  <c r="C75" i="37"/>
  <c r="H76" i="37" s="1"/>
  <c r="H92" i="37" s="1"/>
  <c r="H133" i="58"/>
  <c r="U126" i="58" s="1"/>
  <c r="C78" i="58"/>
  <c r="H79" i="58" s="1"/>
  <c r="H85" i="58" s="1"/>
  <c r="C81" i="58"/>
  <c r="H82" i="58" s="1"/>
  <c r="H90" i="58" s="1"/>
  <c r="C75" i="58"/>
  <c r="H76" i="58" s="1"/>
  <c r="H92" i="58" s="1"/>
  <c r="H133" i="68"/>
  <c r="U126" i="68" s="1"/>
  <c r="C78" i="68"/>
  <c r="H79" i="68" s="1"/>
  <c r="H85" i="68" s="1"/>
  <c r="C81" i="68"/>
  <c r="H82" i="68" s="1"/>
  <c r="H90" i="68" s="1"/>
  <c r="C75" i="68"/>
  <c r="H76" i="68" s="1"/>
  <c r="H92" i="68" s="1"/>
  <c r="C81" i="31"/>
  <c r="H82" i="31" s="1"/>
  <c r="H90" i="31" s="1"/>
  <c r="C75" i="31"/>
  <c r="H76" i="31" s="1"/>
  <c r="H92" i="31" s="1"/>
  <c r="C78" i="31"/>
  <c r="H79" i="31" s="1"/>
  <c r="H85" i="31" s="1"/>
  <c r="H133" i="47"/>
  <c r="U126" i="47" s="1"/>
  <c r="C81" i="47"/>
  <c r="H82" i="47" s="1"/>
  <c r="H90" i="47" s="1"/>
  <c r="C78" i="47"/>
  <c r="H79" i="47" s="1"/>
  <c r="H85" i="47" s="1"/>
  <c r="C75" i="47"/>
  <c r="H76" i="47" s="1"/>
  <c r="H92" i="47" s="1"/>
  <c r="H133" i="39"/>
  <c r="U126" i="39" s="1"/>
  <c r="C78" i="39"/>
  <c r="H79" i="39" s="1"/>
  <c r="H85" i="39" s="1"/>
  <c r="C81" i="39"/>
  <c r="H82" i="39" s="1"/>
  <c r="H90" i="39" s="1"/>
  <c r="C75" i="39"/>
  <c r="H76" i="39" s="1"/>
  <c r="H92" i="39" s="1"/>
  <c r="H133" i="71"/>
  <c r="U126" i="71" s="1"/>
  <c r="C81" i="71"/>
  <c r="H82" i="71" s="1"/>
  <c r="H90" i="71" s="1"/>
  <c r="C78" i="71"/>
  <c r="H79" i="71" s="1"/>
  <c r="H85" i="71" s="1"/>
  <c r="C75" i="71"/>
  <c r="H76" i="71" s="1"/>
  <c r="H92" i="71" s="1"/>
  <c r="C81" i="36"/>
  <c r="H82" i="36" s="1"/>
  <c r="H90" i="36" s="1"/>
  <c r="C78" i="36"/>
  <c r="H79" i="36" s="1"/>
  <c r="H85" i="36" s="1"/>
  <c r="C75" i="36"/>
  <c r="H76" i="36" s="1"/>
  <c r="H92" i="36" s="1"/>
  <c r="H133" i="34"/>
  <c r="C81" i="34"/>
  <c r="H82" i="34" s="1"/>
  <c r="H90" i="34" s="1"/>
  <c r="C75" i="34"/>
  <c r="H76" i="34" s="1"/>
  <c r="H92" i="34" s="1"/>
  <c r="C78" i="34"/>
  <c r="H79" i="34" s="1"/>
  <c r="H85" i="34" s="1"/>
  <c r="H133" i="69"/>
  <c r="U126" i="69" s="1"/>
  <c r="C75" i="69"/>
  <c r="H76" i="69" s="1"/>
  <c r="H92" i="69" s="1"/>
  <c r="C78" i="69"/>
  <c r="H79" i="69" s="1"/>
  <c r="H85" i="69" s="1"/>
  <c r="C81" i="69"/>
  <c r="H82" i="69" s="1"/>
  <c r="H90" i="69" s="1"/>
  <c r="H133" i="20"/>
  <c r="U126" i="20" s="1"/>
  <c r="C75" i="20"/>
  <c r="H76" i="20" s="1"/>
  <c r="H92" i="20" s="1"/>
  <c r="C81" i="20"/>
  <c r="H82" i="20" s="1"/>
  <c r="H90" i="20" s="1"/>
  <c r="C78" i="20"/>
  <c r="H79" i="20" s="1"/>
  <c r="H85" i="20" s="1"/>
  <c r="H133" i="27"/>
  <c r="U126" i="27" s="1"/>
  <c r="C75" i="27"/>
  <c r="H76" i="27" s="1"/>
  <c r="H92" i="27" s="1"/>
  <c r="C78" i="27"/>
  <c r="H79" i="27" s="1"/>
  <c r="H85" i="27" s="1"/>
  <c r="C81" i="27"/>
  <c r="H82" i="27" s="1"/>
  <c r="H90" i="27" s="1"/>
  <c r="H133" i="44"/>
  <c r="U126" i="44" s="1"/>
  <c r="C78" i="44"/>
  <c r="H79" i="44" s="1"/>
  <c r="H85" i="44" s="1"/>
  <c r="C81" i="44"/>
  <c r="H82" i="44" s="1"/>
  <c r="H90" i="44" s="1"/>
  <c r="C75" i="44"/>
  <c r="H76" i="44" s="1"/>
  <c r="H92" i="44" s="1"/>
  <c r="H133" i="52"/>
  <c r="C78" i="52"/>
  <c r="H79" i="52" s="1"/>
  <c r="H85" i="52" s="1"/>
  <c r="C81" i="52"/>
  <c r="H82" i="52" s="1"/>
  <c r="H90" i="52" s="1"/>
  <c r="C75" i="52"/>
  <c r="H76" i="52" s="1"/>
  <c r="H92" i="52" s="1"/>
  <c r="I29" i="17"/>
  <c r="I29" i="60" s="1"/>
  <c r="I20" i="60"/>
  <c r="C104" i="52"/>
  <c r="H104" i="52" s="1"/>
  <c r="I14" i="52"/>
  <c r="I30" i="52" s="1"/>
  <c r="I28" i="60"/>
  <c r="I23" i="16"/>
  <c r="I25" i="16"/>
  <c r="I25" i="60" s="1"/>
  <c r="I40" i="60"/>
  <c r="C106" i="70"/>
  <c r="H106" i="70" s="1"/>
  <c r="C69" i="34"/>
  <c r="H70" i="34" s="1"/>
  <c r="I30" i="76"/>
  <c r="I30" i="71"/>
  <c r="I27" i="60"/>
  <c r="I42" i="60"/>
  <c r="I46" i="43"/>
  <c r="C106" i="78"/>
  <c r="H106" i="78" s="1"/>
  <c r="C105" i="57"/>
  <c r="H105" i="57" s="1"/>
  <c r="H30" i="76"/>
  <c r="C105" i="76"/>
  <c r="H105" i="76" s="1"/>
  <c r="C106" i="52"/>
  <c r="H106" i="52" s="1"/>
  <c r="H30" i="52"/>
  <c r="C69" i="52"/>
  <c r="H70" i="52" s="1"/>
  <c r="H98" i="52" s="1"/>
  <c r="I98" i="52" s="1"/>
  <c r="H133" i="32"/>
  <c r="U126" i="32" s="1"/>
  <c r="C69" i="32"/>
  <c r="H70" i="32" s="1"/>
  <c r="H98" i="32" s="1"/>
  <c r="I98" i="32" s="1"/>
  <c r="C105" i="68"/>
  <c r="H105" i="68" s="1"/>
  <c r="C106" i="32"/>
  <c r="H106" i="32" s="1"/>
  <c r="C105" i="71"/>
  <c r="H105" i="71" s="1"/>
  <c r="H30" i="71"/>
  <c r="H133" i="30"/>
  <c r="U126" i="30" s="1"/>
  <c r="C104" i="21"/>
  <c r="H104" i="21" s="1"/>
  <c r="I41" i="60"/>
  <c r="C105" i="36"/>
  <c r="H105" i="36" s="1"/>
  <c r="C105" i="58"/>
  <c r="H105" i="58" s="1"/>
  <c r="C104" i="48"/>
  <c r="H104" i="48" s="1"/>
  <c r="C105" i="50"/>
  <c r="H105" i="50" s="1"/>
  <c r="C105" i="75"/>
  <c r="H105" i="75" s="1"/>
  <c r="I44" i="60"/>
  <c r="C106" i="36"/>
  <c r="H106" i="36" s="1"/>
  <c r="H30" i="21"/>
  <c r="C105" i="77"/>
  <c r="H105" i="77" s="1"/>
  <c r="C106" i="22"/>
  <c r="H106" i="22" s="1"/>
  <c r="C106" i="28"/>
  <c r="H106" i="28" s="1"/>
  <c r="C104" i="34"/>
  <c r="H104" i="34" s="1"/>
  <c r="C105" i="24"/>
  <c r="H105" i="24" s="1"/>
  <c r="I30" i="40"/>
  <c r="C106" i="24"/>
  <c r="H106" i="24" s="1"/>
  <c r="C106" i="31"/>
  <c r="H106" i="31" s="1"/>
  <c r="C105" i="22"/>
  <c r="H105" i="22" s="1"/>
  <c r="C105" i="28"/>
  <c r="H105" i="28" s="1"/>
  <c r="I21" i="60"/>
  <c r="C105" i="45"/>
  <c r="H105" i="45" s="1"/>
  <c r="C69" i="35"/>
  <c r="H70" i="35" s="1"/>
  <c r="H98" i="35" s="1"/>
  <c r="I98" i="35" s="1"/>
  <c r="H30" i="58"/>
  <c r="I30" i="58"/>
  <c r="C104" i="58"/>
  <c r="C69" i="40"/>
  <c r="H70" i="40" s="1"/>
  <c r="H98" i="40" s="1"/>
  <c r="I98" i="40" s="1"/>
  <c r="I30" i="68"/>
  <c r="C104" i="68"/>
  <c r="H30" i="68"/>
  <c r="I39" i="60"/>
  <c r="I18" i="60"/>
  <c r="I30" i="55"/>
  <c r="C106" i="16"/>
  <c r="H106" i="16" s="1"/>
  <c r="C69" i="33"/>
  <c r="H70" i="33" s="1"/>
  <c r="H98" i="33" s="1"/>
  <c r="I98" i="33" s="1"/>
  <c r="I30" i="34"/>
  <c r="C105" i="35"/>
  <c r="I30" i="35"/>
  <c r="H30" i="35"/>
  <c r="C106" i="25"/>
  <c r="H106" i="25" s="1"/>
  <c r="C106" i="23"/>
  <c r="H106" i="23" s="1"/>
  <c r="H30" i="66"/>
  <c r="C104" i="66"/>
  <c r="H30" i="70"/>
  <c r="C104" i="70"/>
  <c r="H30" i="25"/>
  <c r="I30" i="25"/>
  <c r="C104" i="25"/>
  <c r="H30" i="50"/>
  <c r="I30" i="50"/>
  <c r="C104" i="50"/>
  <c r="C106" i="37"/>
  <c r="H106" i="37" s="1"/>
  <c r="C69" i="55"/>
  <c r="H70" i="55" s="1"/>
  <c r="H98" i="55" s="1"/>
  <c r="I98" i="55" s="1"/>
  <c r="C105" i="20"/>
  <c r="H105" i="20" s="1"/>
  <c r="C69" i="66"/>
  <c r="H70" i="66" s="1"/>
  <c r="H98" i="66" s="1"/>
  <c r="I98" i="66" s="1"/>
  <c r="E34" i="62"/>
  <c r="E38" i="62" s="1"/>
  <c r="C69" i="7"/>
  <c r="C106" i="50"/>
  <c r="H106" i="50" s="1"/>
  <c r="C105" i="70"/>
  <c r="H105" i="70" s="1"/>
  <c r="C69" i="70"/>
  <c r="H70" i="70" s="1"/>
  <c r="H98" i="70" s="1"/>
  <c r="I98" i="70" s="1"/>
  <c r="C69" i="25"/>
  <c r="H70" i="25" s="1"/>
  <c r="H98" i="25" s="1"/>
  <c r="I98" i="25" s="1"/>
  <c r="H30" i="17"/>
  <c r="C104" i="17"/>
  <c r="C69" i="50"/>
  <c r="H70" i="50" s="1"/>
  <c r="H98" i="50" s="1"/>
  <c r="I98" i="50" s="1"/>
  <c r="C69" i="31"/>
  <c r="H70" i="31" s="1"/>
  <c r="H98" i="31" s="1"/>
  <c r="I98" i="31" s="1"/>
  <c r="C69" i="45"/>
  <c r="H70" i="45" s="1"/>
  <c r="H98" i="45" s="1"/>
  <c r="I98" i="45" s="1"/>
  <c r="H30" i="23"/>
  <c r="C104" i="23"/>
  <c r="C69" i="18"/>
  <c r="H70" i="18" s="1"/>
  <c r="H98" i="18" s="1"/>
  <c r="I98" i="18" s="1"/>
  <c r="I30" i="27"/>
  <c r="C104" i="27"/>
  <c r="H30" i="27"/>
  <c r="I30" i="56"/>
  <c r="C69" i="17"/>
  <c r="H70" i="17" s="1"/>
  <c r="H98" i="17" s="1"/>
  <c r="I98" i="17" s="1"/>
  <c r="C106" i="45"/>
  <c r="H106" i="45" s="1"/>
  <c r="C105" i="25"/>
  <c r="H105" i="25" s="1"/>
  <c r="H30" i="31"/>
  <c r="I30" i="31"/>
  <c r="C104" i="31"/>
  <c r="I30" i="42"/>
  <c r="H30" i="42"/>
  <c r="C104" i="42"/>
  <c r="H30" i="75"/>
  <c r="I30" i="75"/>
  <c r="C104" i="75"/>
  <c r="C104" i="30"/>
  <c r="H30" i="30"/>
  <c r="C69" i="69"/>
  <c r="H70" i="69" s="1"/>
  <c r="H98" i="69" s="1"/>
  <c r="I98" i="69" s="1"/>
  <c r="H30" i="45"/>
  <c r="I30" i="45"/>
  <c r="C104" i="45"/>
  <c r="C69" i="23"/>
  <c r="H70" i="23" s="1"/>
  <c r="H98" i="23" s="1"/>
  <c r="I98" i="23" s="1"/>
  <c r="H30" i="78"/>
  <c r="I30" i="78"/>
  <c r="C104" i="78"/>
  <c r="C69" i="51"/>
  <c r="H70" i="51" s="1"/>
  <c r="H98" i="51" s="1"/>
  <c r="I98" i="51" s="1"/>
  <c r="C69" i="28"/>
  <c r="H70" i="28" s="1"/>
  <c r="H98" i="28" s="1"/>
  <c r="I98" i="28" s="1"/>
  <c r="C69" i="56"/>
  <c r="H70" i="56" s="1"/>
  <c r="H98" i="56" s="1"/>
  <c r="I98" i="56" s="1"/>
  <c r="C105" i="38"/>
  <c r="H105" i="38" s="1"/>
  <c r="C69" i="42"/>
  <c r="H70" i="42" s="1"/>
  <c r="H98" i="42" s="1"/>
  <c r="I98" i="42" s="1"/>
  <c r="C69" i="75"/>
  <c r="H70" i="75" s="1"/>
  <c r="H98" i="75" s="1"/>
  <c r="I98" i="75" s="1"/>
  <c r="C69" i="30"/>
  <c r="H70" i="30" s="1"/>
  <c r="H98" i="30" s="1"/>
  <c r="I98" i="30" s="1"/>
  <c r="C69" i="24"/>
  <c r="H70" i="24" s="1"/>
  <c r="H98" i="24" s="1"/>
  <c r="I98" i="24" s="1"/>
  <c r="C105" i="32"/>
  <c r="H105" i="32" s="1"/>
  <c r="C69" i="27"/>
  <c r="H70" i="27" s="1"/>
  <c r="H98" i="27" s="1"/>
  <c r="I98" i="27" s="1"/>
  <c r="C69" i="44"/>
  <c r="H70" i="44" s="1"/>
  <c r="H98" i="44" s="1"/>
  <c r="I98" i="44" s="1"/>
  <c r="C105" i="67"/>
  <c r="H105" i="67" s="1"/>
  <c r="C69" i="78"/>
  <c r="H70" i="78" s="1"/>
  <c r="H98" i="78" s="1"/>
  <c r="I98" i="78" s="1"/>
  <c r="C105" i="66"/>
  <c r="H105" i="66" s="1"/>
  <c r="C105" i="31"/>
  <c r="H105" i="31" s="1"/>
  <c r="C106" i="77"/>
  <c r="H106" i="77" s="1"/>
  <c r="H30" i="51"/>
  <c r="I30" i="51"/>
  <c r="C104" i="51"/>
  <c r="C104" i="16"/>
  <c r="H30" i="16"/>
  <c r="I30" i="28"/>
  <c r="C104" i="28"/>
  <c r="H30" i="28"/>
  <c r="E30" i="60"/>
  <c r="C69" i="39"/>
  <c r="H70" i="39" s="1"/>
  <c r="H98" i="39" s="1"/>
  <c r="I98" i="39" s="1"/>
  <c r="I30" i="24"/>
  <c r="C104" i="24"/>
  <c r="H30" i="24"/>
  <c r="C106" i="67"/>
  <c r="H106" i="67" s="1"/>
  <c r="H30" i="26"/>
  <c r="C104" i="26"/>
  <c r="I30" i="44"/>
  <c r="C105" i="44"/>
  <c r="H105" i="44" s="1"/>
  <c r="H30" i="44"/>
  <c r="H30" i="77"/>
  <c r="I30" i="77"/>
  <c r="C104" i="77"/>
  <c r="C69" i="16"/>
  <c r="H70" i="16" s="1"/>
  <c r="H98" i="16" s="1"/>
  <c r="I98" i="16" s="1"/>
  <c r="C69" i="47"/>
  <c r="H70" i="47" s="1"/>
  <c r="H98" i="47" s="1"/>
  <c r="I98" i="47" s="1"/>
  <c r="I30" i="21"/>
  <c r="C106" i="21"/>
  <c r="H106" i="21" s="1"/>
  <c r="H104" i="40"/>
  <c r="C106" i="20"/>
  <c r="H106" i="20" s="1"/>
  <c r="C69" i="37"/>
  <c r="H70" i="37" s="1"/>
  <c r="H98" i="37" s="1"/>
  <c r="I98" i="37" s="1"/>
  <c r="C69" i="26"/>
  <c r="H70" i="26" s="1"/>
  <c r="H98" i="26" s="1"/>
  <c r="I98" i="26" s="1"/>
  <c r="C69" i="43"/>
  <c r="H70" i="43" s="1"/>
  <c r="H98" i="43" s="1"/>
  <c r="I98" i="43" s="1"/>
  <c r="H30" i="38"/>
  <c r="I30" i="38"/>
  <c r="C104" i="38"/>
  <c r="C105" i="21"/>
  <c r="H105" i="21" s="1"/>
  <c r="C105" i="78"/>
  <c r="H105" i="78" s="1"/>
  <c r="C105" i="30"/>
  <c r="H105" i="30" s="1"/>
  <c r="C69" i="77"/>
  <c r="H70" i="77" s="1"/>
  <c r="H98" i="77" s="1"/>
  <c r="I98" i="77" s="1"/>
  <c r="H30" i="40"/>
  <c r="I30" i="47"/>
  <c r="H30" i="47"/>
  <c r="C104" i="47"/>
  <c r="C105" i="37"/>
  <c r="H105" i="37" s="1"/>
  <c r="C69" i="67"/>
  <c r="H70" i="67" s="1"/>
  <c r="H98" i="67" s="1"/>
  <c r="I98" i="67" s="1"/>
  <c r="H30" i="37"/>
  <c r="I30" i="37"/>
  <c r="C104" i="37"/>
  <c r="I22" i="60"/>
  <c r="C69" i="38"/>
  <c r="H70" i="38" s="1"/>
  <c r="H98" i="38" s="1"/>
  <c r="I98" i="38" s="1"/>
  <c r="H30" i="7"/>
  <c r="C106" i="17"/>
  <c r="H106" i="17" s="1"/>
  <c r="C106" i="66"/>
  <c r="H106" i="66" s="1"/>
  <c r="C105" i="40"/>
  <c r="H105" i="40" s="1"/>
  <c r="C104" i="67"/>
  <c r="H30" i="67"/>
  <c r="H30" i="32"/>
  <c r="C104" i="32"/>
  <c r="C105" i="18"/>
  <c r="H105" i="18" s="1"/>
  <c r="I30" i="36"/>
  <c r="C104" i="36"/>
  <c r="H30" i="36"/>
  <c r="C69" i="48"/>
  <c r="H70" i="48" s="1"/>
  <c r="H98" i="48" s="1"/>
  <c r="I98" i="48" s="1"/>
  <c r="C104" i="20"/>
  <c r="H30" i="20"/>
  <c r="C69" i="76"/>
  <c r="H70" i="76" s="1"/>
  <c r="H98" i="76" s="1"/>
  <c r="I98" i="76" s="1"/>
  <c r="C69" i="71"/>
  <c r="H70" i="71" s="1"/>
  <c r="H98" i="71" s="1"/>
  <c r="I98" i="71" s="1"/>
  <c r="C106" i="18"/>
  <c r="H106" i="18" s="1"/>
  <c r="C104" i="57"/>
  <c r="H30" i="57"/>
  <c r="I30" i="57"/>
  <c r="I30" i="69"/>
  <c r="C105" i="69"/>
  <c r="H30" i="69"/>
  <c r="C69" i="22"/>
  <c r="H70" i="22" s="1"/>
  <c r="H98" i="22" s="1"/>
  <c r="I98" i="22" s="1"/>
  <c r="I30" i="39"/>
  <c r="C104" i="39"/>
  <c r="H30" i="39"/>
  <c r="C106" i="58"/>
  <c r="H106" i="58" s="1"/>
  <c r="H30" i="18"/>
  <c r="C104" i="18"/>
  <c r="H30" i="55"/>
  <c r="C106" i="38"/>
  <c r="H106" i="38" s="1"/>
  <c r="C69" i="36"/>
  <c r="H70" i="36" s="1"/>
  <c r="H98" i="36" s="1"/>
  <c r="I98" i="36" s="1"/>
  <c r="I30" i="48"/>
  <c r="C106" i="48"/>
  <c r="H106" i="48" s="1"/>
  <c r="C105" i="26"/>
  <c r="H105" i="26" s="1"/>
  <c r="H30" i="48"/>
  <c r="I124" i="7"/>
  <c r="H30" i="34"/>
  <c r="E45" i="60"/>
  <c r="C69" i="21"/>
  <c r="H70" i="21" s="1"/>
  <c r="H98" i="21" s="1"/>
  <c r="I98" i="21" s="1"/>
  <c r="C69" i="20"/>
  <c r="H70" i="20" s="1"/>
  <c r="H98" i="20" s="1"/>
  <c r="I98" i="20" s="1"/>
  <c r="C69" i="58"/>
  <c r="H70" i="58" s="1"/>
  <c r="H98" i="58" s="1"/>
  <c r="I98" i="58" s="1"/>
  <c r="C69" i="57"/>
  <c r="H70" i="57" s="1"/>
  <c r="H98" i="57" s="1"/>
  <c r="I98" i="57" s="1"/>
  <c r="H30" i="22"/>
  <c r="C104" i="22"/>
  <c r="I30" i="22"/>
  <c r="C69" i="68"/>
  <c r="H70" i="68" s="1"/>
  <c r="H98" i="68" s="1"/>
  <c r="I98" i="68" s="1"/>
  <c r="C106" i="40"/>
  <c r="H106" i="40" s="1"/>
  <c r="C106" i="26"/>
  <c r="H106" i="26" s="1"/>
  <c r="C104" i="55"/>
  <c r="C102" i="60" l="1"/>
  <c r="H88" i="34"/>
  <c r="I88" i="34" s="1"/>
  <c r="H98" i="34"/>
  <c r="I98" i="34" s="1"/>
  <c r="C103" i="60"/>
  <c r="H104" i="60"/>
  <c r="C104" i="60"/>
  <c r="E46" i="43"/>
  <c r="C107" i="33"/>
  <c r="I107" i="33"/>
  <c r="C72" i="33"/>
  <c r="H73" i="33" s="1"/>
  <c r="I107" i="34"/>
  <c r="U126" i="7"/>
  <c r="C80" i="60"/>
  <c r="H81" i="60" s="1"/>
  <c r="H86" i="60" s="1"/>
  <c r="C83" i="60"/>
  <c r="H84" i="60" s="1"/>
  <c r="H91" i="60" s="1"/>
  <c r="C77" i="60"/>
  <c r="H78" i="60" s="1"/>
  <c r="H93" i="60" s="1"/>
  <c r="C71" i="60"/>
  <c r="H72" i="60" s="1"/>
  <c r="H89" i="60" s="1"/>
  <c r="P42" i="52"/>
  <c r="U42" i="52" s="1"/>
  <c r="U126" i="52"/>
  <c r="P16" i="34"/>
  <c r="T16" i="34" s="1"/>
  <c r="U16" i="34" s="1"/>
  <c r="U126" i="34"/>
  <c r="I107" i="43"/>
  <c r="E46" i="56"/>
  <c r="H73" i="56" s="1"/>
  <c r="H94" i="56" s="1"/>
  <c r="I94" i="56" s="1"/>
  <c r="P38" i="34"/>
  <c r="U38" i="34" s="1"/>
  <c r="P41" i="52"/>
  <c r="U41" i="52" s="1"/>
  <c r="P14" i="34"/>
  <c r="T14" i="34" s="1"/>
  <c r="U14" i="34" s="1"/>
  <c r="P29" i="52"/>
  <c r="T29" i="52" s="1"/>
  <c r="U29" i="52" s="1"/>
  <c r="P40" i="34"/>
  <c r="U40" i="34" s="1"/>
  <c r="P113" i="34"/>
  <c r="U113" i="34" s="1"/>
  <c r="P43" i="34"/>
  <c r="U43" i="34" s="1"/>
  <c r="P23" i="34"/>
  <c r="T23" i="34" s="1"/>
  <c r="U23" i="34" s="1"/>
  <c r="P43" i="52"/>
  <c r="U43" i="52" s="1"/>
  <c r="P39" i="34"/>
  <c r="U39" i="34" s="1"/>
  <c r="P20" i="52"/>
  <c r="T20" i="52" s="1"/>
  <c r="U20" i="52" s="1"/>
  <c r="P21" i="34"/>
  <c r="T21" i="34" s="1"/>
  <c r="U21" i="34" s="1"/>
  <c r="P25" i="52"/>
  <c r="T25" i="52" s="1"/>
  <c r="U25" i="52" s="1"/>
  <c r="H104" i="56"/>
  <c r="I107" i="56" s="1"/>
  <c r="P123" i="34"/>
  <c r="U123" i="34" s="1"/>
  <c r="P17" i="52"/>
  <c r="T17" i="52" s="1"/>
  <c r="U17" i="52" s="1"/>
  <c r="P26" i="34"/>
  <c r="T26" i="34" s="1"/>
  <c r="U26" i="34" s="1"/>
  <c r="P121" i="52"/>
  <c r="U121" i="52" s="1"/>
  <c r="P113" i="52"/>
  <c r="U113" i="52" s="1"/>
  <c r="H30" i="60"/>
  <c r="E47" i="60" s="1"/>
  <c r="P41" i="34"/>
  <c r="U41" i="34" s="1"/>
  <c r="P21" i="52"/>
  <c r="T21" i="52" s="1"/>
  <c r="U21" i="52" s="1"/>
  <c r="P15" i="34"/>
  <c r="T15" i="34" s="1"/>
  <c r="U15" i="34" s="1"/>
  <c r="P19" i="52"/>
  <c r="T19" i="52" s="1"/>
  <c r="U19" i="52" s="1"/>
  <c r="H79" i="7"/>
  <c r="H85" i="7" s="1"/>
  <c r="I85" i="7" s="1"/>
  <c r="H76" i="7"/>
  <c r="H92" i="7" s="1"/>
  <c r="I92" i="7" s="1"/>
  <c r="H70" i="7"/>
  <c r="H105" i="7"/>
  <c r="H82" i="7"/>
  <c r="H90" i="7" s="1"/>
  <c r="I90" i="7" s="1"/>
  <c r="I46" i="76"/>
  <c r="I46" i="39"/>
  <c r="P121" i="34"/>
  <c r="U121" i="34" s="1"/>
  <c r="P24" i="34"/>
  <c r="T24" i="34" s="1"/>
  <c r="U24" i="34" s="1"/>
  <c r="I46" i="47"/>
  <c r="C107" i="43"/>
  <c r="I46" i="51"/>
  <c r="P14" i="52"/>
  <c r="P23" i="52"/>
  <c r="T23" i="52" s="1"/>
  <c r="U23" i="52" s="1"/>
  <c r="K30" i="75"/>
  <c r="I46" i="56"/>
  <c r="I46" i="48"/>
  <c r="I46" i="37"/>
  <c r="P42" i="34"/>
  <c r="U42" i="34" s="1"/>
  <c r="P29" i="34"/>
  <c r="T29" i="34" s="1"/>
  <c r="U29" i="34" s="1"/>
  <c r="P22" i="52"/>
  <c r="T22" i="52" s="1"/>
  <c r="U22" i="52" s="1"/>
  <c r="P18" i="52"/>
  <c r="T18" i="52" s="1"/>
  <c r="U18" i="52" s="1"/>
  <c r="I46" i="50"/>
  <c r="I46" i="24"/>
  <c r="I46" i="27"/>
  <c r="P28" i="34"/>
  <c r="T28" i="34" s="1"/>
  <c r="U28" i="34" s="1"/>
  <c r="P22" i="34"/>
  <c r="T22" i="34" s="1"/>
  <c r="U22" i="34" s="1"/>
  <c r="P122" i="52"/>
  <c r="U122" i="52" s="1"/>
  <c r="P27" i="52"/>
  <c r="T27" i="52" s="1"/>
  <c r="U27" i="52" s="1"/>
  <c r="P39" i="52"/>
  <c r="U39" i="52" s="1"/>
  <c r="I46" i="35"/>
  <c r="P17" i="34"/>
  <c r="T17" i="34" s="1"/>
  <c r="U17" i="34" s="1"/>
  <c r="I46" i="77"/>
  <c r="P26" i="52"/>
  <c r="T26" i="52" s="1"/>
  <c r="U26" i="52" s="1"/>
  <c r="P123" i="52"/>
  <c r="U123" i="52" s="1"/>
  <c r="P28" i="52"/>
  <c r="T28" i="52" s="1"/>
  <c r="U28" i="52" s="1"/>
  <c r="I46" i="45"/>
  <c r="I46" i="42"/>
  <c r="I46" i="25"/>
  <c r="I46" i="68"/>
  <c r="I46" i="69"/>
  <c r="I46" i="34"/>
  <c r="I46" i="57"/>
  <c r="P122" i="34"/>
  <c r="U122" i="34" s="1"/>
  <c r="P27" i="34"/>
  <c r="T27" i="34" s="1"/>
  <c r="U27" i="34" s="1"/>
  <c r="P16" i="52"/>
  <c r="T16" i="52" s="1"/>
  <c r="U16" i="52" s="1"/>
  <c r="P40" i="52"/>
  <c r="U40" i="52" s="1"/>
  <c r="I46" i="31"/>
  <c r="I46" i="52"/>
  <c r="I46" i="40"/>
  <c r="I46" i="36"/>
  <c r="I46" i="22"/>
  <c r="I46" i="44"/>
  <c r="I46" i="28"/>
  <c r="P19" i="34"/>
  <c r="T19" i="34" s="1"/>
  <c r="U19" i="34" s="1"/>
  <c r="P15" i="52"/>
  <c r="T15" i="52" s="1"/>
  <c r="U15" i="52" s="1"/>
  <c r="I46" i="55"/>
  <c r="P25" i="34"/>
  <c r="T25" i="34" s="1"/>
  <c r="U25" i="34" s="1"/>
  <c r="P20" i="34"/>
  <c r="T20" i="34" s="1"/>
  <c r="U20" i="34" s="1"/>
  <c r="I46" i="21"/>
  <c r="P38" i="52"/>
  <c r="U38" i="52" s="1"/>
  <c r="I46" i="58"/>
  <c r="P18" i="34"/>
  <c r="T18" i="34" s="1"/>
  <c r="U18" i="34" s="1"/>
  <c r="I46" i="38"/>
  <c r="P24" i="52"/>
  <c r="T24" i="52" s="1"/>
  <c r="U24" i="52" s="1"/>
  <c r="I46" i="78"/>
  <c r="I46" i="71"/>
  <c r="E46" i="7"/>
  <c r="C72" i="7"/>
  <c r="E46" i="34"/>
  <c r="C72" i="34"/>
  <c r="E46" i="24"/>
  <c r="C72" i="24"/>
  <c r="E46" i="42"/>
  <c r="C72" i="42"/>
  <c r="E46" i="71"/>
  <c r="C72" i="71"/>
  <c r="E46" i="76"/>
  <c r="C72" i="76"/>
  <c r="E46" i="22"/>
  <c r="C72" i="22"/>
  <c r="E46" i="48"/>
  <c r="C72" i="48"/>
  <c r="E46" i="39"/>
  <c r="C72" i="39"/>
  <c r="E46" i="40"/>
  <c r="C72" i="40"/>
  <c r="E46" i="51"/>
  <c r="C72" i="51"/>
  <c r="E46" i="45"/>
  <c r="C72" i="45"/>
  <c r="E46" i="17"/>
  <c r="C72" i="17"/>
  <c r="E46" i="25"/>
  <c r="C72" i="25"/>
  <c r="E46" i="38"/>
  <c r="C72" i="38"/>
  <c r="E46" i="31"/>
  <c r="C72" i="31"/>
  <c r="E46" i="23"/>
  <c r="C72" i="23"/>
  <c r="E46" i="70"/>
  <c r="C72" i="70"/>
  <c r="E46" i="21"/>
  <c r="C72" i="21"/>
  <c r="E46" i="20"/>
  <c r="C72" i="20"/>
  <c r="E46" i="77"/>
  <c r="C72" i="77"/>
  <c r="E46" i="30"/>
  <c r="C72" i="30"/>
  <c r="E46" i="69"/>
  <c r="C72" i="69"/>
  <c r="E46" i="44"/>
  <c r="C72" i="44"/>
  <c r="E46" i="28"/>
  <c r="C72" i="28"/>
  <c r="E46" i="68"/>
  <c r="C72" i="68"/>
  <c r="E46" i="58"/>
  <c r="C72" i="58"/>
  <c r="E46" i="37"/>
  <c r="C72" i="37"/>
  <c r="E46" i="35"/>
  <c r="C72" i="35"/>
  <c r="E46" i="78"/>
  <c r="C72" i="78"/>
  <c r="E46" i="66"/>
  <c r="C72" i="66"/>
  <c r="H73" i="43"/>
  <c r="E46" i="47"/>
  <c r="C72" i="47"/>
  <c r="E46" i="50"/>
  <c r="C72" i="50"/>
  <c r="E46" i="36"/>
  <c r="C72" i="36"/>
  <c r="E46" i="32"/>
  <c r="C72" i="32"/>
  <c r="H73" i="32" s="1"/>
  <c r="E46" i="16"/>
  <c r="C72" i="16"/>
  <c r="E46" i="52"/>
  <c r="C72" i="52"/>
  <c r="E46" i="55"/>
  <c r="C72" i="55"/>
  <c r="E46" i="18"/>
  <c r="C72" i="18"/>
  <c r="E46" i="57"/>
  <c r="C72" i="57"/>
  <c r="E46" i="67"/>
  <c r="C72" i="67"/>
  <c r="E46" i="26"/>
  <c r="C72" i="26"/>
  <c r="E46" i="75"/>
  <c r="C72" i="75"/>
  <c r="E46" i="27"/>
  <c r="C72" i="27"/>
  <c r="I30" i="16"/>
  <c r="F51" i="33"/>
  <c r="I51" i="33" s="1"/>
  <c r="F52" i="33"/>
  <c r="I52" i="33" s="1"/>
  <c r="F52" i="43"/>
  <c r="I52" i="43" s="1"/>
  <c r="F51" i="43"/>
  <c r="I51" i="43" s="1"/>
  <c r="I30" i="17"/>
  <c r="I23" i="60"/>
  <c r="I85" i="34"/>
  <c r="I92" i="34"/>
  <c r="I90" i="34"/>
  <c r="I90" i="52"/>
  <c r="I107" i="71"/>
  <c r="I30" i="32"/>
  <c r="C107" i="71"/>
  <c r="I107" i="52"/>
  <c r="C107" i="52"/>
  <c r="C107" i="76"/>
  <c r="I92" i="52"/>
  <c r="I85" i="52"/>
  <c r="H88" i="52"/>
  <c r="I88" i="52" s="1"/>
  <c r="I107" i="76"/>
  <c r="I45" i="60"/>
  <c r="I16" i="60"/>
  <c r="C107" i="7"/>
  <c r="I30" i="7"/>
  <c r="C107" i="34"/>
  <c r="I46" i="75"/>
  <c r="I30" i="67"/>
  <c r="C107" i="21"/>
  <c r="I107" i="44"/>
  <c r="I19" i="60"/>
  <c r="I17" i="60"/>
  <c r="I30" i="70"/>
  <c r="I30" i="20"/>
  <c r="I107" i="40"/>
  <c r="I107" i="48"/>
  <c r="C107" i="22"/>
  <c r="H104" i="22"/>
  <c r="I107" i="22" s="1"/>
  <c r="P14" i="76"/>
  <c r="P29" i="76"/>
  <c r="T29" i="76" s="1"/>
  <c r="U29" i="76" s="1"/>
  <c r="P24" i="76"/>
  <c r="T24" i="76" s="1"/>
  <c r="U24" i="76" s="1"/>
  <c r="P38" i="76"/>
  <c r="U38" i="76" s="1"/>
  <c r="P41" i="76"/>
  <c r="U41" i="76" s="1"/>
  <c r="P19" i="76"/>
  <c r="T19" i="76" s="1"/>
  <c r="U19" i="76" s="1"/>
  <c r="P122" i="76"/>
  <c r="U122" i="76" s="1"/>
  <c r="P16" i="76"/>
  <c r="T16" i="76" s="1"/>
  <c r="U16" i="76" s="1"/>
  <c r="P26" i="76"/>
  <c r="T26" i="76" s="1"/>
  <c r="U26" i="76" s="1"/>
  <c r="P21" i="76"/>
  <c r="T21" i="76" s="1"/>
  <c r="U21" i="76" s="1"/>
  <c r="P28" i="76"/>
  <c r="T28" i="76" s="1"/>
  <c r="U28" i="76" s="1"/>
  <c r="P39" i="76"/>
  <c r="U39" i="76" s="1"/>
  <c r="P42" i="76"/>
  <c r="U42" i="76" s="1"/>
  <c r="P18" i="76"/>
  <c r="T18" i="76" s="1"/>
  <c r="U18" i="76" s="1"/>
  <c r="P23" i="76"/>
  <c r="T23" i="76" s="1"/>
  <c r="U23" i="76" s="1"/>
  <c r="P121" i="76"/>
  <c r="U121" i="76" s="1"/>
  <c r="P15" i="76"/>
  <c r="T15" i="76" s="1"/>
  <c r="U15" i="76" s="1"/>
  <c r="P25" i="76"/>
  <c r="T25" i="76" s="1"/>
  <c r="U25" i="76" s="1"/>
  <c r="P27" i="76"/>
  <c r="T27" i="76" s="1"/>
  <c r="U27" i="76" s="1"/>
  <c r="P20" i="76"/>
  <c r="T20" i="76" s="1"/>
  <c r="U20" i="76" s="1"/>
  <c r="P40" i="76"/>
  <c r="U40" i="76" s="1"/>
  <c r="P17" i="76"/>
  <c r="T17" i="76" s="1"/>
  <c r="U17" i="76" s="1"/>
  <c r="P43" i="76"/>
  <c r="U43" i="76" s="1"/>
  <c r="P113" i="76"/>
  <c r="U113" i="76" s="1"/>
  <c r="P22" i="76"/>
  <c r="T22" i="76" s="1"/>
  <c r="U22" i="76" s="1"/>
  <c r="P123" i="76"/>
  <c r="U123" i="76" s="1"/>
  <c r="C107" i="44"/>
  <c r="I85" i="24"/>
  <c r="I90" i="24"/>
  <c r="I92" i="24"/>
  <c r="H88" i="24"/>
  <c r="I88" i="24" s="1"/>
  <c r="P18" i="70"/>
  <c r="T18" i="70" s="1"/>
  <c r="U18" i="70" s="1"/>
  <c r="P23" i="70"/>
  <c r="T23" i="70" s="1"/>
  <c r="U23" i="70" s="1"/>
  <c r="P121" i="70"/>
  <c r="U121" i="70" s="1"/>
  <c r="P15" i="70"/>
  <c r="T15" i="70" s="1"/>
  <c r="U15" i="70" s="1"/>
  <c r="P25" i="70"/>
  <c r="T25" i="70" s="1"/>
  <c r="U25" i="70" s="1"/>
  <c r="P19" i="70"/>
  <c r="T19" i="70" s="1"/>
  <c r="U19" i="70" s="1"/>
  <c r="P122" i="70"/>
  <c r="U122" i="70" s="1"/>
  <c r="P22" i="70"/>
  <c r="T22" i="70" s="1"/>
  <c r="U22" i="70" s="1"/>
  <c r="P27" i="70"/>
  <c r="T27" i="70" s="1"/>
  <c r="U27" i="70" s="1"/>
  <c r="P40" i="70"/>
  <c r="U40" i="70" s="1"/>
  <c r="P20" i="70"/>
  <c r="T20" i="70" s="1"/>
  <c r="U20" i="70" s="1"/>
  <c r="P16" i="70"/>
  <c r="T16" i="70" s="1"/>
  <c r="U16" i="70" s="1"/>
  <c r="P41" i="70"/>
  <c r="U41" i="70" s="1"/>
  <c r="P14" i="70"/>
  <c r="P21" i="70"/>
  <c r="T21" i="70" s="1"/>
  <c r="U21" i="70" s="1"/>
  <c r="P26" i="70"/>
  <c r="T26" i="70" s="1"/>
  <c r="U26" i="70" s="1"/>
  <c r="P28" i="70"/>
  <c r="T28" i="70" s="1"/>
  <c r="U28" i="70" s="1"/>
  <c r="P42" i="70"/>
  <c r="U42" i="70" s="1"/>
  <c r="P38" i="70"/>
  <c r="U38" i="70" s="1"/>
  <c r="P43" i="70"/>
  <c r="U43" i="70" s="1"/>
  <c r="P123" i="70"/>
  <c r="U123" i="70" s="1"/>
  <c r="P113" i="70"/>
  <c r="U113" i="70" s="1"/>
  <c r="P24" i="70"/>
  <c r="T24" i="70" s="1"/>
  <c r="U24" i="70" s="1"/>
  <c r="P29" i="70"/>
  <c r="T29" i="70" s="1"/>
  <c r="U29" i="70" s="1"/>
  <c r="P17" i="70"/>
  <c r="T17" i="70" s="1"/>
  <c r="U17" i="70" s="1"/>
  <c r="P39" i="70"/>
  <c r="U39" i="70" s="1"/>
  <c r="C107" i="50"/>
  <c r="H104" i="50"/>
  <c r="I107" i="50" s="1"/>
  <c r="H105" i="35"/>
  <c r="I107" i="35" s="1"/>
  <c r="C107" i="35"/>
  <c r="P18" i="35"/>
  <c r="T18" i="35" s="1"/>
  <c r="U18" i="35" s="1"/>
  <c r="P23" i="35"/>
  <c r="T23" i="35" s="1"/>
  <c r="U23" i="35" s="1"/>
  <c r="P121" i="35"/>
  <c r="U121" i="35" s="1"/>
  <c r="P113" i="35"/>
  <c r="U113" i="35" s="1"/>
  <c r="P15" i="35"/>
  <c r="T15" i="35" s="1"/>
  <c r="U15" i="35" s="1"/>
  <c r="P25" i="35"/>
  <c r="T25" i="35" s="1"/>
  <c r="U25" i="35" s="1"/>
  <c r="P20" i="35"/>
  <c r="T20" i="35" s="1"/>
  <c r="U20" i="35" s="1"/>
  <c r="P40" i="35"/>
  <c r="U40" i="35" s="1"/>
  <c r="P43" i="35"/>
  <c r="U43" i="35" s="1"/>
  <c r="P123" i="35"/>
  <c r="U123" i="35" s="1"/>
  <c r="P27" i="35"/>
  <c r="T27" i="35" s="1"/>
  <c r="U27" i="35" s="1"/>
  <c r="P17" i="35"/>
  <c r="T17" i="35" s="1"/>
  <c r="U17" i="35" s="1"/>
  <c r="P22" i="35"/>
  <c r="T22" i="35" s="1"/>
  <c r="U22" i="35" s="1"/>
  <c r="P14" i="35"/>
  <c r="P29" i="35"/>
  <c r="T29" i="35" s="1"/>
  <c r="U29" i="35" s="1"/>
  <c r="P24" i="35"/>
  <c r="T24" i="35" s="1"/>
  <c r="U24" i="35" s="1"/>
  <c r="P38" i="35"/>
  <c r="U38" i="35" s="1"/>
  <c r="P41" i="35"/>
  <c r="U41" i="35" s="1"/>
  <c r="P19" i="35"/>
  <c r="T19" i="35" s="1"/>
  <c r="U19" i="35" s="1"/>
  <c r="P122" i="35"/>
  <c r="U122" i="35" s="1"/>
  <c r="P16" i="35"/>
  <c r="T16" i="35" s="1"/>
  <c r="U16" i="35" s="1"/>
  <c r="P26" i="35"/>
  <c r="T26" i="35" s="1"/>
  <c r="U26" i="35" s="1"/>
  <c r="P21" i="35"/>
  <c r="T21" i="35" s="1"/>
  <c r="U21" i="35" s="1"/>
  <c r="P39" i="35"/>
  <c r="U39" i="35" s="1"/>
  <c r="P42" i="35"/>
  <c r="U42" i="35" s="1"/>
  <c r="P28" i="35"/>
  <c r="T28" i="35" s="1"/>
  <c r="U28" i="35" s="1"/>
  <c r="I85" i="76"/>
  <c r="I90" i="76"/>
  <c r="I92" i="76"/>
  <c r="H88" i="76"/>
  <c r="I88" i="76" s="1"/>
  <c r="H104" i="37"/>
  <c r="I107" i="37" s="1"/>
  <c r="C107" i="37"/>
  <c r="I85" i="37"/>
  <c r="I90" i="37"/>
  <c r="I92" i="37"/>
  <c r="H88" i="37"/>
  <c r="I88" i="37" s="1"/>
  <c r="I92" i="47"/>
  <c r="H88" i="47"/>
  <c r="I88" i="47" s="1"/>
  <c r="I90" i="47"/>
  <c r="I85" i="47"/>
  <c r="H104" i="51"/>
  <c r="I107" i="51" s="1"/>
  <c r="C107" i="51"/>
  <c r="I85" i="44"/>
  <c r="I90" i="44"/>
  <c r="I92" i="44"/>
  <c r="H88" i="44"/>
  <c r="I88" i="44" s="1"/>
  <c r="P16" i="75"/>
  <c r="T16" i="75" s="1"/>
  <c r="U16" i="75" s="1"/>
  <c r="P15" i="75"/>
  <c r="T15" i="75" s="1"/>
  <c r="U15" i="75" s="1"/>
  <c r="P38" i="75"/>
  <c r="U38" i="75" s="1"/>
  <c r="P41" i="75"/>
  <c r="U41" i="75" s="1"/>
  <c r="P18" i="75"/>
  <c r="T18" i="75" s="1"/>
  <c r="U18" i="75" s="1"/>
  <c r="P26" i="75"/>
  <c r="T26" i="75" s="1"/>
  <c r="U26" i="75" s="1"/>
  <c r="P122" i="75"/>
  <c r="U122" i="75" s="1"/>
  <c r="P28" i="75"/>
  <c r="T28" i="75" s="1"/>
  <c r="U28" i="75" s="1"/>
  <c r="P23" i="75"/>
  <c r="T23" i="75" s="1"/>
  <c r="U23" i="75" s="1"/>
  <c r="P39" i="75"/>
  <c r="U39" i="75" s="1"/>
  <c r="P42" i="75"/>
  <c r="U42" i="75" s="1"/>
  <c r="P21" i="75"/>
  <c r="T21" i="75" s="1"/>
  <c r="U21" i="75" s="1"/>
  <c r="P121" i="75"/>
  <c r="U121" i="75" s="1"/>
  <c r="P25" i="75"/>
  <c r="T25" i="75" s="1"/>
  <c r="U25" i="75" s="1"/>
  <c r="P113" i="75"/>
  <c r="U113" i="75" s="1"/>
  <c r="P14" i="75"/>
  <c r="P19" i="75"/>
  <c r="T19" i="75" s="1"/>
  <c r="U19" i="75" s="1"/>
  <c r="P27" i="75"/>
  <c r="T27" i="75" s="1"/>
  <c r="U27" i="75" s="1"/>
  <c r="P40" i="75"/>
  <c r="U40" i="75" s="1"/>
  <c r="P43" i="75"/>
  <c r="U43" i="75" s="1"/>
  <c r="P123" i="75"/>
  <c r="U123" i="75" s="1"/>
  <c r="P17" i="75"/>
  <c r="T17" i="75" s="1"/>
  <c r="U17" i="75" s="1"/>
  <c r="P24" i="75"/>
  <c r="T24" i="75" s="1"/>
  <c r="U24" i="75" s="1"/>
  <c r="P20" i="75"/>
  <c r="T20" i="75" s="1"/>
  <c r="U20" i="75" s="1"/>
  <c r="P22" i="75"/>
  <c r="T22" i="75" s="1"/>
  <c r="U22" i="75" s="1"/>
  <c r="P29" i="75"/>
  <c r="T29" i="75" s="1"/>
  <c r="U29" i="75" s="1"/>
  <c r="P15" i="28"/>
  <c r="T15" i="28" s="1"/>
  <c r="U15" i="28" s="1"/>
  <c r="P25" i="28"/>
  <c r="T25" i="28" s="1"/>
  <c r="U25" i="28" s="1"/>
  <c r="P20" i="28"/>
  <c r="T20" i="28" s="1"/>
  <c r="U20" i="28" s="1"/>
  <c r="P40" i="28"/>
  <c r="U40" i="28" s="1"/>
  <c r="P43" i="28"/>
  <c r="U43" i="28" s="1"/>
  <c r="P123" i="28"/>
  <c r="U123" i="28" s="1"/>
  <c r="P27" i="28"/>
  <c r="T27" i="28" s="1"/>
  <c r="U27" i="28" s="1"/>
  <c r="P17" i="28"/>
  <c r="T17" i="28" s="1"/>
  <c r="U17" i="28" s="1"/>
  <c r="P22" i="28"/>
  <c r="T22" i="28" s="1"/>
  <c r="U22" i="28" s="1"/>
  <c r="P14" i="28"/>
  <c r="P29" i="28"/>
  <c r="T29" i="28" s="1"/>
  <c r="U29" i="28" s="1"/>
  <c r="P24" i="28"/>
  <c r="T24" i="28" s="1"/>
  <c r="U24" i="28" s="1"/>
  <c r="P38" i="28"/>
  <c r="U38" i="28" s="1"/>
  <c r="P41" i="28"/>
  <c r="U41" i="28" s="1"/>
  <c r="P19" i="28"/>
  <c r="T19" i="28" s="1"/>
  <c r="U19" i="28" s="1"/>
  <c r="P122" i="28"/>
  <c r="U122" i="28" s="1"/>
  <c r="P16" i="28"/>
  <c r="T16" i="28" s="1"/>
  <c r="U16" i="28" s="1"/>
  <c r="P26" i="28"/>
  <c r="T26" i="28" s="1"/>
  <c r="U26" i="28" s="1"/>
  <c r="P28" i="28"/>
  <c r="T28" i="28" s="1"/>
  <c r="U28" i="28" s="1"/>
  <c r="P39" i="28"/>
  <c r="U39" i="28" s="1"/>
  <c r="P42" i="28"/>
  <c r="U42" i="28" s="1"/>
  <c r="P18" i="28"/>
  <c r="T18" i="28" s="1"/>
  <c r="U18" i="28" s="1"/>
  <c r="P23" i="28"/>
  <c r="T23" i="28" s="1"/>
  <c r="U23" i="28" s="1"/>
  <c r="P121" i="28"/>
  <c r="U121" i="28" s="1"/>
  <c r="P21" i="28"/>
  <c r="T21" i="28" s="1"/>
  <c r="U21" i="28" s="1"/>
  <c r="P113" i="28"/>
  <c r="U113" i="28" s="1"/>
  <c r="H88" i="45"/>
  <c r="I88" i="45" s="1"/>
  <c r="I85" i="45"/>
  <c r="I90" i="45"/>
  <c r="I92" i="45"/>
  <c r="P28" i="50"/>
  <c r="T28" i="50" s="1"/>
  <c r="U28" i="50" s="1"/>
  <c r="P39" i="50"/>
  <c r="U39" i="50" s="1"/>
  <c r="P42" i="50"/>
  <c r="U42" i="50" s="1"/>
  <c r="P18" i="50"/>
  <c r="T18" i="50" s="1"/>
  <c r="U18" i="50" s="1"/>
  <c r="P23" i="50"/>
  <c r="T23" i="50" s="1"/>
  <c r="U23" i="50" s="1"/>
  <c r="P121" i="50"/>
  <c r="U121" i="50" s="1"/>
  <c r="P113" i="50"/>
  <c r="U113" i="50" s="1"/>
  <c r="P15" i="50"/>
  <c r="T15" i="50" s="1"/>
  <c r="U15" i="50" s="1"/>
  <c r="P25" i="50"/>
  <c r="T25" i="50" s="1"/>
  <c r="U25" i="50" s="1"/>
  <c r="P20" i="50"/>
  <c r="T20" i="50" s="1"/>
  <c r="U20" i="50" s="1"/>
  <c r="P40" i="50"/>
  <c r="U40" i="50" s="1"/>
  <c r="P43" i="50"/>
  <c r="U43" i="50" s="1"/>
  <c r="P123" i="50"/>
  <c r="U123" i="50" s="1"/>
  <c r="P27" i="50"/>
  <c r="T27" i="50" s="1"/>
  <c r="U27" i="50" s="1"/>
  <c r="P17" i="50"/>
  <c r="T17" i="50" s="1"/>
  <c r="U17" i="50" s="1"/>
  <c r="P22" i="50"/>
  <c r="T22" i="50" s="1"/>
  <c r="U22" i="50" s="1"/>
  <c r="P14" i="50"/>
  <c r="P29" i="50"/>
  <c r="T29" i="50" s="1"/>
  <c r="U29" i="50" s="1"/>
  <c r="P24" i="50"/>
  <c r="T24" i="50" s="1"/>
  <c r="U24" i="50" s="1"/>
  <c r="P38" i="50"/>
  <c r="U38" i="50" s="1"/>
  <c r="P41" i="50"/>
  <c r="U41" i="50" s="1"/>
  <c r="P19" i="50"/>
  <c r="T19" i="50" s="1"/>
  <c r="U19" i="50" s="1"/>
  <c r="P122" i="50"/>
  <c r="U122" i="50" s="1"/>
  <c r="P21" i="50"/>
  <c r="T21" i="50" s="1"/>
  <c r="U21" i="50" s="1"/>
  <c r="P16" i="50"/>
  <c r="T16" i="50" s="1"/>
  <c r="U16" i="50" s="1"/>
  <c r="P26" i="50"/>
  <c r="T26" i="50" s="1"/>
  <c r="U26" i="50" s="1"/>
  <c r="H88" i="57"/>
  <c r="I88" i="57" s="1"/>
  <c r="I85" i="57"/>
  <c r="I90" i="57"/>
  <c r="I92" i="57"/>
  <c r="I85" i="20"/>
  <c r="I90" i="20"/>
  <c r="I92" i="20"/>
  <c r="H88" i="20"/>
  <c r="I88" i="20" s="1"/>
  <c r="C107" i="39"/>
  <c r="H104" i="39"/>
  <c r="I107" i="39" s="1"/>
  <c r="C107" i="57"/>
  <c r="H104" i="57"/>
  <c r="I107" i="57" s="1"/>
  <c r="C107" i="36"/>
  <c r="H104" i="36"/>
  <c r="I107" i="36" s="1"/>
  <c r="H104" i="47"/>
  <c r="I107" i="47" s="1"/>
  <c r="C107" i="47"/>
  <c r="I85" i="28"/>
  <c r="I90" i="28"/>
  <c r="I92" i="28"/>
  <c r="H88" i="28"/>
  <c r="I88" i="28" s="1"/>
  <c r="I85" i="17"/>
  <c r="I92" i="17"/>
  <c r="H88" i="17"/>
  <c r="I88" i="17" s="1"/>
  <c r="I90" i="17"/>
  <c r="C107" i="17"/>
  <c r="H104" i="17"/>
  <c r="I107" i="17" s="1"/>
  <c r="H88" i="43"/>
  <c r="I88" i="43" s="1"/>
  <c r="I85" i="43"/>
  <c r="I90" i="43"/>
  <c r="I92" i="43"/>
  <c r="P18" i="37"/>
  <c r="T18" i="37" s="1"/>
  <c r="U18" i="37" s="1"/>
  <c r="P23" i="37"/>
  <c r="T23" i="37" s="1"/>
  <c r="U23" i="37" s="1"/>
  <c r="P121" i="37"/>
  <c r="U121" i="37" s="1"/>
  <c r="P15" i="37"/>
  <c r="T15" i="37" s="1"/>
  <c r="U15" i="37" s="1"/>
  <c r="P25" i="37"/>
  <c r="T25" i="37" s="1"/>
  <c r="U25" i="37" s="1"/>
  <c r="P20" i="37"/>
  <c r="T20" i="37" s="1"/>
  <c r="U20" i="37" s="1"/>
  <c r="P40" i="37"/>
  <c r="U40" i="37" s="1"/>
  <c r="P43" i="37"/>
  <c r="U43" i="37" s="1"/>
  <c r="P123" i="37"/>
  <c r="U123" i="37" s="1"/>
  <c r="P27" i="37"/>
  <c r="T27" i="37" s="1"/>
  <c r="U27" i="37" s="1"/>
  <c r="P17" i="37"/>
  <c r="T17" i="37" s="1"/>
  <c r="U17" i="37" s="1"/>
  <c r="P22" i="37"/>
  <c r="T22" i="37" s="1"/>
  <c r="U22" i="37" s="1"/>
  <c r="P14" i="37"/>
  <c r="P29" i="37"/>
  <c r="T29" i="37" s="1"/>
  <c r="U29" i="37" s="1"/>
  <c r="P24" i="37"/>
  <c r="T24" i="37" s="1"/>
  <c r="U24" i="37" s="1"/>
  <c r="P38" i="37"/>
  <c r="U38" i="37" s="1"/>
  <c r="P41" i="37"/>
  <c r="U41" i="37" s="1"/>
  <c r="P19" i="37"/>
  <c r="T19" i="37" s="1"/>
  <c r="U19" i="37" s="1"/>
  <c r="P16" i="37"/>
  <c r="T16" i="37" s="1"/>
  <c r="U16" i="37" s="1"/>
  <c r="P26" i="37"/>
  <c r="T26" i="37" s="1"/>
  <c r="U26" i="37" s="1"/>
  <c r="P21" i="37"/>
  <c r="T21" i="37" s="1"/>
  <c r="U21" i="37" s="1"/>
  <c r="P39" i="37"/>
  <c r="U39" i="37" s="1"/>
  <c r="P122" i="37"/>
  <c r="U122" i="37" s="1"/>
  <c r="P113" i="37"/>
  <c r="U113" i="37" s="1"/>
  <c r="P42" i="37"/>
  <c r="U42" i="37" s="1"/>
  <c r="P28" i="37"/>
  <c r="T28" i="37" s="1"/>
  <c r="U28" i="37" s="1"/>
  <c r="P17" i="47"/>
  <c r="T17" i="47" s="1"/>
  <c r="U17" i="47" s="1"/>
  <c r="P22" i="47"/>
  <c r="T22" i="47" s="1"/>
  <c r="U22" i="47" s="1"/>
  <c r="P14" i="47"/>
  <c r="P29" i="47"/>
  <c r="T29" i="47" s="1"/>
  <c r="U29" i="47" s="1"/>
  <c r="P24" i="47"/>
  <c r="T24" i="47" s="1"/>
  <c r="U24" i="47" s="1"/>
  <c r="P19" i="47"/>
  <c r="T19" i="47" s="1"/>
  <c r="U19" i="47" s="1"/>
  <c r="P15" i="47"/>
  <c r="T15" i="47" s="1"/>
  <c r="U15" i="47" s="1"/>
  <c r="P39" i="47"/>
  <c r="U39" i="47" s="1"/>
  <c r="P43" i="47"/>
  <c r="U43" i="47" s="1"/>
  <c r="P121" i="47"/>
  <c r="U121" i="47" s="1"/>
  <c r="P27" i="47"/>
  <c r="T27" i="47" s="1"/>
  <c r="U27" i="47" s="1"/>
  <c r="P113" i="47"/>
  <c r="U113" i="47" s="1"/>
  <c r="P25" i="47"/>
  <c r="T25" i="47" s="1"/>
  <c r="U25" i="47" s="1"/>
  <c r="P20" i="47"/>
  <c r="T20" i="47" s="1"/>
  <c r="U20" i="47" s="1"/>
  <c r="P40" i="47"/>
  <c r="U40" i="47" s="1"/>
  <c r="P123" i="47"/>
  <c r="U123" i="47" s="1"/>
  <c r="P23" i="47"/>
  <c r="T23" i="47" s="1"/>
  <c r="U23" i="47" s="1"/>
  <c r="P28" i="47"/>
  <c r="T28" i="47" s="1"/>
  <c r="U28" i="47" s="1"/>
  <c r="P41" i="47"/>
  <c r="U41" i="47" s="1"/>
  <c r="P18" i="47"/>
  <c r="T18" i="47" s="1"/>
  <c r="U18" i="47" s="1"/>
  <c r="P26" i="47"/>
  <c r="T26" i="47" s="1"/>
  <c r="U26" i="47" s="1"/>
  <c r="P21" i="47"/>
  <c r="T21" i="47" s="1"/>
  <c r="U21" i="47" s="1"/>
  <c r="P16" i="47"/>
  <c r="T16" i="47" s="1"/>
  <c r="U16" i="47" s="1"/>
  <c r="P42" i="47"/>
  <c r="U42" i="47" s="1"/>
  <c r="P122" i="47"/>
  <c r="U122" i="47" s="1"/>
  <c r="P38" i="47"/>
  <c r="U38" i="47" s="1"/>
  <c r="P14" i="39"/>
  <c r="P29" i="39"/>
  <c r="T29" i="39" s="1"/>
  <c r="U29" i="39" s="1"/>
  <c r="P24" i="39"/>
  <c r="T24" i="39" s="1"/>
  <c r="U24" i="39" s="1"/>
  <c r="P38" i="39"/>
  <c r="U38" i="39" s="1"/>
  <c r="P41" i="39"/>
  <c r="U41" i="39" s="1"/>
  <c r="P19" i="39"/>
  <c r="T19" i="39" s="1"/>
  <c r="U19" i="39" s="1"/>
  <c r="P122" i="39"/>
  <c r="U122" i="39" s="1"/>
  <c r="P16" i="39"/>
  <c r="T16" i="39" s="1"/>
  <c r="U16" i="39" s="1"/>
  <c r="P26" i="39"/>
  <c r="T26" i="39" s="1"/>
  <c r="U26" i="39" s="1"/>
  <c r="P21" i="39"/>
  <c r="T21" i="39" s="1"/>
  <c r="U21" i="39" s="1"/>
  <c r="P28" i="39"/>
  <c r="T28" i="39" s="1"/>
  <c r="U28" i="39" s="1"/>
  <c r="P39" i="39"/>
  <c r="U39" i="39" s="1"/>
  <c r="P42" i="39"/>
  <c r="U42" i="39" s="1"/>
  <c r="P18" i="39"/>
  <c r="T18" i="39" s="1"/>
  <c r="U18" i="39" s="1"/>
  <c r="P23" i="39"/>
  <c r="T23" i="39" s="1"/>
  <c r="U23" i="39" s="1"/>
  <c r="P121" i="39"/>
  <c r="U121" i="39" s="1"/>
  <c r="P113" i="39"/>
  <c r="U113" i="39" s="1"/>
  <c r="P15" i="39"/>
  <c r="T15" i="39" s="1"/>
  <c r="U15" i="39" s="1"/>
  <c r="P25" i="39"/>
  <c r="T25" i="39" s="1"/>
  <c r="U25" i="39" s="1"/>
  <c r="P20" i="39"/>
  <c r="T20" i="39" s="1"/>
  <c r="U20" i="39" s="1"/>
  <c r="P40" i="39"/>
  <c r="U40" i="39" s="1"/>
  <c r="P43" i="39"/>
  <c r="U43" i="39" s="1"/>
  <c r="P123" i="39"/>
  <c r="U123" i="39" s="1"/>
  <c r="P27" i="39"/>
  <c r="T27" i="39" s="1"/>
  <c r="U27" i="39" s="1"/>
  <c r="P22" i="39"/>
  <c r="T22" i="39" s="1"/>
  <c r="U22" i="39" s="1"/>
  <c r="P17" i="39"/>
  <c r="T17" i="39" s="1"/>
  <c r="U17" i="39" s="1"/>
  <c r="P20" i="44"/>
  <c r="T20" i="44" s="1"/>
  <c r="U20" i="44" s="1"/>
  <c r="P40" i="44"/>
  <c r="U40" i="44" s="1"/>
  <c r="P43" i="44"/>
  <c r="U43" i="44" s="1"/>
  <c r="P27" i="44"/>
  <c r="T27" i="44" s="1"/>
  <c r="U27" i="44" s="1"/>
  <c r="P17" i="44"/>
  <c r="T17" i="44" s="1"/>
  <c r="U17" i="44" s="1"/>
  <c r="P22" i="44"/>
  <c r="T22" i="44" s="1"/>
  <c r="U22" i="44" s="1"/>
  <c r="P14" i="44"/>
  <c r="P24" i="44"/>
  <c r="T24" i="44" s="1"/>
  <c r="U24" i="44" s="1"/>
  <c r="P38" i="44"/>
  <c r="U38" i="44" s="1"/>
  <c r="P41" i="44"/>
  <c r="U41" i="44" s="1"/>
  <c r="P19" i="44"/>
  <c r="T19" i="44" s="1"/>
  <c r="U19" i="44" s="1"/>
  <c r="P21" i="44"/>
  <c r="T21" i="44" s="1"/>
  <c r="U21" i="44" s="1"/>
  <c r="P26" i="44"/>
  <c r="T26" i="44" s="1"/>
  <c r="U26" i="44" s="1"/>
  <c r="P23" i="44"/>
  <c r="T23" i="44" s="1"/>
  <c r="U23" i="44" s="1"/>
  <c r="P29" i="44"/>
  <c r="T29" i="44" s="1"/>
  <c r="U29" i="44" s="1"/>
  <c r="P121" i="44"/>
  <c r="U121" i="44" s="1"/>
  <c r="P113" i="44"/>
  <c r="U113" i="44" s="1"/>
  <c r="P18" i="44"/>
  <c r="T18" i="44" s="1"/>
  <c r="U18" i="44" s="1"/>
  <c r="P42" i="44"/>
  <c r="U42" i="44" s="1"/>
  <c r="P123" i="44"/>
  <c r="U123" i="44" s="1"/>
  <c r="P16" i="44"/>
  <c r="T16" i="44" s="1"/>
  <c r="U16" i="44" s="1"/>
  <c r="P39" i="44"/>
  <c r="U39" i="44" s="1"/>
  <c r="P28" i="44"/>
  <c r="T28" i="44" s="1"/>
  <c r="U28" i="44" s="1"/>
  <c r="P122" i="44"/>
  <c r="U122" i="44" s="1"/>
  <c r="P25" i="44"/>
  <c r="T25" i="44" s="1"/>
  <c r="U25" i="44" s="1"/>
  <c r="P15" i="44"/>
  <c r="T15" i="44" s="1"/>
  <c r="U15" i="44" s="1"/>
  <c r="P20" i="42"/>
  <c r="T20" i="42" s="1"/>
  <c r="U20" i="42" s="1"/>
  <c r="P40" i="42"/>
  <c r="U40" i="42" s="1"/>
  <c r="P43" i="42"/>
  <c r="U43" i="42" s="1"/>
  <c r="P123" i="42"/>
  <c r="U123" i="42" s="1"/>
  <c r="P27" i="42"/>
  <c r="T27" i="42" s="1"/>
  <c r="U27" i="42" s="1"/>
  <c r="P17" i="42"/>
  <c r="T17" i="42" s="1"/>
  <c r="U17" i="42" s="1"/>
  <c r="P22" i="42"/>
  <c r="T22" i="42" s="1"/>
  <c r="U22" i="42" s="1"/>
  <c r="P14" i="42"/>
  <c r="P29" i="42"/>
  <c r="T29" i="42" s="1"/>
  <c r="U29" i="42" s="1"/>
  <c r="P19" i="42"/>
  <c r="T19" i="42" s="1"/>
  <c r="U19" i="42" s="1"/>
  <c r="P122" i="42"/>
  <c r="U122" i="42" s="1"/>
  <c r="P16" i="42"/>
  <c r="T16" i="42" s="1"/>
  <c r="U16" i="42" s="1"/>
  <c r="P26" i="42"/>
  <c r="T26" i="42" s="1"/>
  <c r="U26" i="42" s="1"/>
  <c r="P21" i="42"/>
  <c r="T21" i="42" s="1"/>
  <c r="U21" i="42" s="1"/>
  <c r="P113" i="42"/>
  <c r="U113" i="42" s="1"/>
  <c r="P15" i="42"/>
  <c r="T15" i="42" s="1"/>
  <c r="U15" i="42" s="1"/>
  <c r="P18" i="42"/>
  <c r="T18" i="42" s="1"/>
  <c r="U18" i="42" s="1"/>
  <c r="P41" i="42"/>
  <c r="U41" i="42" s="1"/>
  <c r="P121" i="42"/>
  <c r="U121" i="42" s="1"/>
  <c r="P42" i="42"/>
  <c r="U42" i="42" s="1"/>
  <c r="P23" i="42"/>
  <c r="T23" i="42" s="1"/>
  <c r="U23" i="42" s="1"/>
  <c r="P24" i="42"/>
  <c r="T24" i="42" s="1"/>
  <c r="U24" i="42" s="1"/>
  <c r="P38" i="42"/>
  <c r="U38" i="42" s="1"/>
  <c r="P28" i="42"/>
  <c r="T28" i="42" s="1"/>
  <c r="U28" i="42" s="1"/>
  <c r="P39" i="42"/>
  <c r="U39" i="42" s="1"/>
  <c r="P25" i="42"/>
  <c r="T25" i="42" s="1"/>
  <c r="U25" i="42" s="1"/>
  <c r="H88" i="69"/>
  <c r="I88" i="69" s="1"/>
  <c r="I92" i="69"/>
  <c r="I90" i="69"/>
  <c r="I85" i="69"/>
  <c r="H104" i="75"/>
  <c r="I107" i="75" s="1"/>
  <c r="C107" i="75"/>
  <c r="P21" i="17"/>
  <c r="T21" i="17" s="1"/>
  <c r="U21" i="17" s="1"/>
  <c r="P28" i="17"/>
  <c r="T28" i="17" s="1"/>
  <c r="U28" i="17" s="1"/>
  <c r="P39" i="17"/>
  <c r="U39" i="17" s="1"/>
  <c r="P42" i="17"/>
  <c r="U42" i="17" s="1"/>
  <c r="P18" i="17"/>
  <c r="T18" i="17" s="1"/>
  <c r="U18" i="17" s="1"/>
  <c r="P23" i="17"/>
  <c r="T23" i="17" s="1"/>
  <c r="U23" i="17" s="1"/>
  <c r="P15" i="17"/>
  <c r="T15" i="17" s="1"/>
  <c r="U15" i="17" s="1"/>
  <c r="P25" i="17"/>
  <c r="T25" i="17" s="1"/>
  <c r="U25" i="17" s="1"/>
  <c r="P20" i="17"/>
  <c r="T20" i="17" s="1"/>
  <c r="U20" i="17" s="1"/>
  <c r="P40" i="17"/>
  <c r="U40" i="17" s="1"/>
  <c r="P43" i="17"/>
  <c r="U43" i="17" s="1"/>
  <c r="P123" i="17"/>
  <c r="U123" i="17" s="1"/>
  <c r="P17" i="17"/>
  <c r="T17" i="17" s="1"/>
  <c r="U17" i="17" s="1"/>
  <c r="P22" i="17"/>
  <c r="T22" i="17" s="1"/>
  <c r="U22" i="17" s="1"/>
  <c r="P19" i="17"/>
  <c r="T19" i="17" s="1"/>
  <c r="U19" i="17" s="1"/>
  <c r="P122" i="17"/>
  <c r="U122" i="17" s="1"/>
  <c r="P24" i="17"/>
  <c r="T24" i="17" s="1"/>
  <c r="U24" i="17" s="1"/>
  <c r="P14" i="17"/>
  <c r="P38" i="17"/>
  <c r="U38" i="17" s="1"/>
  <c r="P121" i="17"/>
  <c r="U121" i="17" s="1"/>
  <c r="P29" i="17"/>
  <c r="T29" i="17" s="1"/>
  <c r="U29" i="17" s="1"/>
  <c r="P41" i="17"/>
  <c r="U41" i="17" s="1"/>
  <c r="P26" i="17"/>
  <c r="T26" i="17" s="1"/>
  <c r="U26" i="17" s="1"/>
  <c r="P113" i="17"/>
  <c r="U113" i="17" s="1"/>
  <c r="P16" i="17"/>
  <c r="T16" i="17" s="1"/>
  <c r="U16" i="17" s="1"/>
  <c r="P27" i="17"/>
  <c r="T27" i="17" s="1"/>
  <c r="U27" i="17" s="1"/>
  <c r="C107" i="27"/>
  <c r="H104" i="27"/>
  <c r="I107" i="27" s="1"/>
  <c r="P18" i="45"/>
  <c r="T18" i="45" s="1"/>
  <c r="U18" i="45" s="1"/>
  <c r="P23" i="45"/>
  <c r="T23" i="45" s="1"/>
  <c r="U23" i="45" s="1"/>
  <c r="P121" i="45"/>
  <c r="U121" i="45" s="1"/>
  <c r="P113" i="45"/>
  <c r="U113" i="45" s="1"/>
  <c r="P15" i="45"/>
  <c r="T15" i="45" s="1"/>
  <c r="U15" i="45" s="1"/>
  <c r="P25" i="45"/>
  <c r="T25" i="45" s="1"/>
  <c r="U25" i="45" s="1"/>
  <c r="P20" i="45"/>
  <c r="T20" i="45" s="1"/>
  <c r="U20" i="45" s="1"/>
  <c r="P40" i="45"/>
  <c r="U40" i="45" s="1"/>
  <c r="P43" i="45"/>
  <c r="U43" i="45" s="1"/>
  <c r="P123" i="45"/>
  <c r="U123" i="45" s="1"/>
  <c r="P27" i="45"/>
  <c r="T27" i="45" s="1"/>
  <c r="U27" i="45" s="1"/>
  <c r="P17" i="45"/>
  <c r="T17" i="45" s="1"/>
  <c r="U17" i="45" s="1"/>
  <c r="P22" i="45"/>
  <c r="T22" i="45" s="1"/>
  <c r="U22" i="45" s="1"/>
  <c r="P14" i="45"/>
  <c r="P29" i="45"/>
  <c r="T29" i="45" s="1"/>
  <c r="U29" i="45" s="1"/>
  <c r="P24" i="45"/>
  <c r="T24" i="45" s="1"/>
  <c r="U24" i="45" s="1"/>
  <c r="P38" i="45"/>
  <c r="U38" i="45" s="1"/>
  <c r="P41" i="45"/>
  <c r="U41" i="45" s="1"/>
  <c r="P16" i="45"/>
  <c r="T16" i="45" s="1"/>
  <c r="U16" i="45" s="1"/>
  <c r="P26" i="45"/>
  <c r="T26" i="45" s="1"/>
  <c r="U26" i="45" s="1"/>
  <c r="P39" i="45"/>
  <c r="U39" i="45" s="1"/>
  <c r="P122" i="45"/>
  <c r="U122" i="45" s="1"/>
  <c r="P19" i="45"/>
  <c r="T19" i="45" s="1"/>
  <c r="U19" i="45" s="1"/>
  <c r="P28" i="45"/>
  <c r="T28" i="45" s="1"/>
  <c r="U28" i="45" s="1"/>
  <c r="P42" i="45"/>
  <c r="U42" i="45" s="1"/>
  <c r="P21" i="45"/>
  <c r="T21" i="45" s="1"/>
  <c r="U21" i="45" s="1"/>
  <c r="H104" i="66"/>
  <c r="I107" i="66" s="1"/>
  <c r="C107" i="66"/>
  <c r="P14" i="40"/>
  <c r="P24" i="40"/>
  <c r="T24" i="40" s="1"/>
  <c r="U24" i="40" s="1"/>
  <c r="P18" i="40"/>
  <c r="T18" i="40" s="1"/>
  <c r="U18" i="40" s="1"/>
  <c r="P23" i="40"/>
  <c r="T23" i="40" s="1"/>
  <c r="U23" i="40" s="1"/>
  <c r="P17" i="40"/>
  <c r="T17" i="40" s="1"/>
  <c r="U17" i="40" s="1"/>
  <c r="P40" i="40"/>
  <c r="U40" i="40" s="1"/>
  <c r="P43" i="40"/>
  <c r="U43" i="40" s="1"/>
  <c r="P123" i="40"/>
  <c r="U123" i="40" s="1"/>
  <c r="P20" i="40"/>
  <c r="T20" i="40" s="1"/>
  <c r="U20" i="40" s="1"/>
  <c r="P27" i="40"/>
  <c r="T27" i="40" s="1"/>
  <c r="U27" i="40" s="1"/>
  <c r="P15" i="40"/>
  <c r="T15" i="40" s="1"/>
  <c r="U15" i="40" s="1"/>
  <c r="P29" i="40"/>
  <c r="T29" i="40" s="1"/>
  <c r="U29" i="40" s="1"/>
  <c r="P38" i="40"/>
  <c r="U38" i="40" s="1"/>
  <c r="P41" i="40"/>
  <c r="U41" i="40" s="1"/>
  <c r="P122" i="40"/>
  <c r="U122" i="40" s="1"/>
  <c r="P21" i="40"/>
  <c r="T21" i="40" s="1"/>
  <c r="U21" i="40" s="1"/>
  <c r="P26" i="40"/>
  <c r="T26" i="40" s="1"/>
  <c r="U26" i="40" s="1"/>
  <c r="P16" i="40"/>
  <c r="T16" i="40" s="1"/>
  <c r="U16" i="40" s="1"/>
  <c r="P19" i="40"/>
  <c r="T19" i="40" s="1"/>
  <c r="U19" i="40" s="1"/>
  <c r="P28" i="40"/>
  <c r="T28" i="40" s="1"/>
  <c r="U28" i="40" s="1"/>
  <c r="P39" i="40"/>
  <c r="U39" i="40" s="1"/>
  <c r="P42" i="40"/>
  <c r="U42" i="40" s="1"/>
  <c r="P22" i="40"/>
  <c r="T22" i="40" s="1"/>
  <c r="U22" i="40" s="1"/>
  <c r="P121" i="40"/>
  <c r="U121" i="40" s="1"/>
  <c r="P113" i="40"/>
  <c r="U113" i="40" s="1"/>
  <c r="P25" i="40"/>
  <c r="T25" i="40" s="1"/>
  <c r="U25" i="40" s="1"/>
  <c r="H104" i="26"/>
  <c r="I107" i="26" s="1"/>
  <c r="C107" i="26"/>
  <c r="I85" i="39"/>
  <c r="I90" i="39"/>
  <c r="I92" i="39"/>
  <c r="H88" i="39"/>
  <c r="I88" i="39" s="1"/>
  <c r="I92" i="42"/>
  <c r="H88" i="42"/>
  <c r="I88" i="42" s="1"/>
  <c r="I90" i="42"/>
  <c r="I85" i="42"/>
  <c r="H88" i="31"/>
  <c r="I88" i="31" s="1"/>
  <c r="I85" i="31"/>
  <c r="I90" i="31"/>
  <c r="I92" i="31"/>
  <c r="C107" i="25"/>
  <c r="H104" i="25"/>
  <c r="I107" i="25" s="1"/>
  <c r="I30" i="66"/>
  <c r="I85" i="40"/>
  <c r="I90" i="40"/>
  <c r="I92" i="40"/>
  <c r="H88" i="40"/>
  <c r="I88" i="40" s="1"/>
  <c r="P15" i="21"/>
  <c r="T15" i="21" s="1"/>
  <c r="U15" i="21" s="1"/>
  <c r="P25" i="21"/>
  <c r="T25" i="21" s="1"/>
  <c r="U25" i="21" s="1"/>
  <c r="P20" i="21"/>
  <c r="T20" i="21" s="1"/>
  <c r="U20" i="21" s="1"/>
  <c r="P40" i="21"/>
  <c r="U40" i="21" s="1"/>
  <c r="P43" i="21"/>
  <c r="U43" i="21" s="1"/>
  <c r="P123" i="21"/>
  <c r="U123" i="21" s="1"/>
  <c r="P27" i="21"/>
  <c r="T27" i="21" s="1"/>
  <c r="U27" i="21" s="1"/>
  <c r="P17" i="21"/>
  <c r="T17" i="21" s="1"/>
  <c r="U17" i="21" s="1"/>
  <c r="P22" i="21"/>
  <c r="T22" i="21" s="1"/>
  <c r="U22" i="21" s="1"/>
  <c r="P14" i="21"/>
  <c r="P29" i="21"/>
  <c r="T29" i="21" s="1"/>
  <c r="U29" i="21" s="1"/>
  <c r="P24" i="21"/>
  <c r="T24" i="21" s="1"/>
  <c r="U24" i="21" s="1"/>
  <c r="P38" i="21"/>
  <c r="U38" i="21" s="1"/>
  <c r="P41" i="21"/>
  <c r="U41" i="21" s="1"/>
  <c r="P16" i="21"/>
  <c r="T16" i="21" s="1"/>
  <c r="U16" i="21" s="1"/>
  <c r="P26" i="21"/>
  <c r="T26" i="21" s="1"/>
  <c r="U26" i="21" s="1"/>
  <c r="P21" i="21"/>
  <c r="T21" i="21" s="1"/>
  <c r="U21" i="21" s="1"/>
  <c r="P28" i="21"/>
  <c r="T28" i="21" s="1"/>
  <c r="U28" i="21" s="1"/>
  <c r="P39" i="21"/>
  <c r="U39" i="21" s="1"/>
  <c r="P42" i="21"/>
  <c r="U42" i="21" s="1"/>
  <c r="P18" i="21"/>
  <c r="T18" i="21" s="1"/>
  <c r="U18" i="21" s="1"/>
  <c r="P23" i="21"/>
  <c r="T23" i="21" s="1"/>
  <c r="U23" i="21" s="1"/>
  <c r="P121" i="21"/>
  <c r="U121" i="21" s="1"/>
  <c r="P122" i="21"/>
  <c r="U122" i="21" s="1"/>
  <c r="P113" i="21"/>
  <c r="U113" i="21" s="1"/>
  <c r="P19" i="21"/>
  <c r="T19" i="21" s="1"/>
  <c r="U19" i="21" s="1"/>
  <c r="C107" i="20"/>
  <c r="H104" i="20"/>
  <c r="I107" i="20" s="1"/>
  <c r="P15" i="68"/>
  <c r="T15" i="68" s="1"/>
  <c r="U15" i="68" s="1"/>
  <c r="P27" i="68"/>
  <c r="T27" i="68" s="1"/>
  <c r="U27" i="68" s="1"/>
  <c r="P17" i="68"/>
  <c r="T17" i="68" s="1"/>
  <c r="U17" i="68" s="1"/>
  <c r="P24" i="68"/>
  <c r="T24" i="68" s="1"/>
  <c r="U24" i="68" s="1"/>
  <c r="P16" i="68"/>
  <c r="T16" i="68" s="1"/>
  <c r="U16" i="68" s="1"/>
  <c r="P20" i="68"/>
  <c r="T20" i="68" s="1"/>
  <c r="U20" i="68" s="1"/>
  <c r="P23" i="68"/>
  <c r="T23" i="68" s="1"/>
  <c r="U23" i="68" s="1"/>
  <c r="P25" i="68"/>
  <c r="T25" i="68" s="1"/>
  <c r="U25" i="68" s="1"/>
  <c r="P29" i="68"/>
  <c r="T29" i="68" s="1"/>
  <c r="U29" i="68" s="1"/>
  <c r="P18" i="68"/>
  <c r="T18" i="68" s="1"/>
  <c r="U18" i="68" s="1"/>
  <c r="P38" i="68"/>
  <c r="U38" i="68" s="1"/>
  <c r="P41" i="68"/>
  <c r="U41" i="68" s="1"/>
  <c r="P21" i="68"/>
  <c r="T21" i="68" s="1"/>
  <c r="U21" i="68" s="1"/>
  <c r="P122" i="68"/>
  <c r="U122" i="68" s="1"/>
  <c r="P19" i="68"/>
  <c r="T19" i="68" s="1"/>
  <c r="U19" i="68" s="1"/>
  <c r="P121" i="68"/>
  <c r="U121" i="68" s="1"/>
  <c r="P43" i="68"/>
  <c r="U43" i="68" s="1"/>
  <c r="P26" i="68"/>
  <c r="T26" i="68" s="1"/>
  <c r="U26" i="68" s="1"/>
  <c r="P22" i="68"/>
  <c r="T22" i="68" s="1"/>
  <c r="U22" i="68" s="1"/>
  <c r="P113" i="68"/>
  <c r="U113" i="68" s="1"/>
  <c r="P39" i="68"/>
  <c r="U39" i="68" s="1"/>
  <c r="P123" i="68"/>
  <c r="U123" i="68" s="1"/>
  <c r="P28" i="68"/>
  <c r="T28" i="68" s="1"/>
  <c r="U28" i="68" s="1"/>
  <c r="P40" i="68"/>
  <c r="U40" i="68" s="1"/>
  <c r="P14" i="68"/>
  <c r="P42" i="68"/>
  <c r="U42" i="68" s="1"/>
  <c r="I85" i="21"/>
  <c r="I90" i="21"/>
  <c r="I92" i="21"/>
  <c r="H88" i="21"/>
  <c r="I88" i="21" s="1"/>
  <c r="H104" i="18"/>
  <c r="I107" i="18" s="1"/>
  <c r="C107" i="18"/>
  <c r="I92" i="38"/>
  <c r="H88" i="38"/>
  <c r="I88" i="38" s="1"/>
  <c r="I85" i="38"/>
  <c r="I90" i="38"/>
  <c r="P18" i="43"/>
  <c r="T18" i="43" s="1"/>
  <c r="U18" i="43" s="1"/>
  <c r="P23" i="43"/>
  <c r="T23" i="43" s="1"/>
  <c r="U23" i="43" s="1"/>
  <c r="P121" i="43"/>
  <c r="U121" i="43" s="1"/>
  <c r="P113" i="43"/>
  <c r="U113" i="43" s="1"/>
  <c r="P15" i="43"/>
  <c r="T15" i="43" s="1"/>
  <c r="U15" i="43" s="1"/>
  <c r="P25" i="43"/>
  <c r="T25" i="43" s="1"/>
  <c r="U25" i="43" s="1"/>
  <c r="P20" i="43"/>
  <c r="T20" i="43" s="1"/>
  <c r="U20" i="43" s="1"/>
  <c r="P40" i="43"/>
  <c r="U40" i="43" s="1"/>
  <c r="P43" i="43"/>
  <c r="U43" i="43" s="1"/>
  <c r="P123" i="43"/>
  <c r="U123" i="43" s="1"/>
  <c r="P27" i="43"/>
  <c r="T27" i="43" s="1"/>
  <c r="U27" i="43" s="1"/>
  <c r="P17" i="43"/>
  <c r="T17" i="43" s="1"/>
  <c r="U17" i="43" s="1"/>
  <c r="P22" i="43"/>
  <c r="T22" i="43" s="1"/>
  <c r="U22" i="43" s="1"/>
  <c r="P14" i="43"/>
  <c r="P29" i="43"/>
  <c r="T29" i="43" s="1"/>
  <c r="U29" i="43" s="1"/>
  <c r="P24" i="43"/>
  <c r="T24" i="43" s="1"/>
  <c r="U24" i="43" s="1"/>
  <c r="P38" i="43"/>
  <c r="U38" i="43" s="1"/>
  <c r="P41" i="43"/>
  <c r="U41" i="43" s="1"/>
  <c r="P21" i="43"/>
  <c r="T21" i="43" s="1"/>
  <c r="U21" i="43" s="1"/>
  <c r="P16" i="43"/>
  <c r="T16" i="43" s="1"/>
  <c r="U16" i="43" s="1"/>
  <c r="P42" i="43"/>
  <c r="U42" i="43" s="1"/>
  <c r="P26" i="43"/>
  <c r="T26" i="43" s="1"/>
  <c r="U26" i="43" s="1"/>
  <c r="P39" i="43"/>
  <c r="U39" i="43" s="1"/>
  <c r="P122" i="43"/>
  <c r="U122" i="43" s="1"/>
  <c r="P19" i="43"/>
  <c r="T19" i="43" s="1"/>
  <c r="U19" i="43" s="1"/>
  <c r="P28" i="43"/>
  <c r="T28" i="43" s="1"/>
  <c r="U28" i="43" s="1"/>
  <c r="I30" i="26"/>
  <c r="E32" i="60"/>
  <c r="P21" i="69"/>
  <c r="T21" i="69" s="1"/>
  <c r="U21" i="69" s="1"/>
  <c r="P28" i="69"/>
  <c r="T28" i="69" s="1"/>
  <c r="U28" i="69" s="1"/>
  <c r="P39" i="69"/>
  <c r="U39" i="69" s="1"/>
  <c r="P42" i="69"/>
  <c r="U42" i="69" s="1"/>
  <c r="P18" i="69"/>
  <c r="T18" i="69" s="1"/>
  <c r="U18" i="69" s="1"/>
  <c r="P23" i="69"/>
  <c r="T23" i="69" s="1"/>
  <c r="U23" i="69" s="1"/>
  <c r="P121" i="69"/>
  <c r="U121" i="69" s="1"/>
  <c r="P113" i="69"/>
  <c r="U113" i="69" s="1"/>
  <c r="P15" i="69"/>
  <c r="T15" i="69" s="1"/>
  <c r="U15" i="69" s="1"/>
  <c r="P25" i="69"/>
  <c r="T25" i="69" s="1"/>
  <c r="U25" i="69" s="1"/>
  <c r="P20" i="69"/>
  <c r="T20" i="69" s="1"/>
  <c r="U20" i="69" s="1"/>
  <c r="P40" i="69"/>
  <c r="U40" i="69" s="1"/>
  <c r="P43" i="69"/>
  <c r="U43" i="69" s="1"/>
  <c r="P123" i="69"/>
  <c r="U123" i="69" s="1"/>
  <c r="P17" i="69"/>
  <c r="T17" i="69" s="1"/>
  <c r="U17" i="69" s="1"/>
  <c r="P22" i="69"/>
  <c r="T22" i="69" s="1"/>
  <c r="U22" i="69" s="1"/>
  <c r="P14" i="69"/>
  <c r="P29" i="69"/>
  <c r="T29" i="69" s="1"/>
  <c r="U29" i="69" s="1"/>
  <c r="P24" i="69"/>
  <c r="T24" i="69" s="1"/>
  <c r="U24" i="69" s="1"/>
  <c r="P38" i="69"/>
  <c r="U38" i="69" s="1"/>
  <c r="P41" i="69"/>
  <c r="U41" i="69" s="1"/>
  <c r="P19" i="69"/>
  <c r="T19" i="69" s="1"/>
  <c r="U19" i="69" s="1"/>
  <c r="P26" i="69"/>
  <c r="T26" i="69" s="1"/>
  <c r="U26" i="69" s="1"/>
  <c r="P122" i="69"/>
  <c r="U122" i="69" s="1"/>
  <c r="P27" i="69"/>
  <c r="T27" i="69" s="1"/>
  <c r="U27" i="69" s="1"/>
  <c r="P16" i="69"/>
  <c r="T16" i="69" s="1"/>
  <c r="U16" i="69" s="1"/>
  <c r="I92" i="66"/>
  <c r="H88" i="66"/>
  <c r="I88" i="66" s="1"/>
  <c r="I85" i="66"/>
  <c r="I90" i="66"/>
  <c r="P20" i="55"/>
  <c r="T20" i="55" s="1"/>
  <c r="U20" i="55" s="1"/>
  <c r="P40" i="55"/>
  <c r="U40" i="55" s="1"/>
  <c r="P43" i="55"/>
  <c r="U43" i="55" s="1"/>
  <c r="P123" i="55"/>
  <c r="U123" i="55" s="1"/>
  <c r="P27" i="55"/>
  <c r="T27" i="55" s="1"/>
  <c r="U27" i="55" s="1"/>
  <c r="P17" i="55"/>
  <c r="T17" i="55" s="1"/>
  <c r="U17" i="55" s="1"/>
  <c r="P22" i="55"/>
  <c r="T22" i="55" s="1"/>
  <c r="U22" i="55" s="1"/>
  <c r="P14" i="55"/>
  <c r="P29" i="55"/>
  <c r="T29" i="55" s="1"/>
  <c r="U29" i="55" s="1"/>
  <c r="P24" i="55"/>
  <c r="T24" i="55" s="1"/>
  <c r="U24" i="55" s="1"/>
  <c r="P38" i="55"/>
  <c r="U38" i="55" s="1"/>
  <c r="P41" i="55"/>
  <c r="U41" i="55" s="1"/>
  <c r="P19" i="55"/>
  <c r="T19" i="55" s="1"/>
  <c r="U19" i="55" s="1"/>
  <c r="P122" i="55"/>
  <c r="U122" i="55" s="1"/>
  <c r="P16" i="55"/>
  <c r="T16" i="55" s="1"/>
  <c r="U16" i="55" s="1"/>
  <c r="P26" i="55"/>
  <c r="T26" i="55" s="1"/>
  <c r="U26" i="55" s="1"/>
  <c r="P21" i="55"/>
  <c r="T21" i="55" s="1"/>
  <c r="U21" i="55" s="1"/>
  <c r="P28" i="55"/>
  <c r="T28" i="55" s="1"/>
  <c r="U28" i="55" s="1"/>
  <c r="P39" i="55"/>
  <c r="U39" i="55" s="1"/>
  <c r="P42" i="55"/>
  <c r="U42" i="55" s="1"/>
  <c r="P113" i="55"/>
  <c r="U113" i="55" s="1"/>
  <c r="P23" i="55"/>
  <c r="T23" i="55" s="1"/>
  <c r="U23" i="55" s="1"/>
  <c r="P121" i="55"/>
  <c r="U121" i="55" s="1"/>
  <c r="P18" i="55"/>
  <c r="T18" i="55" s="1"/>
  <c r="U18" i="55" s="1"/>
  <c r="P25" i="55"/>
  <c r="T25" i="55" s="1"/>
  <c r="U25" i="55" s="1"/>
  <c r="P15" i="55"/>
  <c r="T15" i="55" s="1"/>
  <c r="U15" i="55" s="1"/>
  <c r="I85" i="68"/>
  <c r="I90" i="68"/>
  <c r="I92" i="68"/>
  <c r="H88" i="68"/>
  <c r="I88" i="68" s="1"/>
  <c r="I92" i="22"/>
  <c r="I90" i="22"/>
  <c r="I85" i="22"/>
  <c r="H88" i="22"/>
  <c r="I88" i="22" s="1"/>
  <c r="P113" i="67"/>
  <c r="U113" i="67" s="1"/>
  <c r="P15" i="67"/>
  <c r="T15" i="67" s="1"/>
  <c r="U15" i="67" s="1"/>
  <c r="P20" i="67"/>
  <c r="T20" i="67" s="1"/>
  <c r="U20" i="67" s="1"/>
  <c r="P40" i="67"/>
  <c r="U40" i="67" s="1"/>
  <c r="P43" i="67"/>
  <c r="U43" i="67" s="1"/>
  <c r="P123" i="67"/>
  <c r="U123" i="67" s="1"/>
  <c r="P29" i="67"/>
  <c r="T29" i="67" s="1"/>
  <c r="U29" i="67" s="1"/>
  <c r="P17" i="67"/>
  <c r="T17" i="67" s="1"/>
  <c r="U17" i="67" s="1"/>
  <c r="P19" i="67"/>
  <c r="T19" i="67" s="1"/>
  <c r="U19" i="67" s="1"/>
  <c r="P39" i="67"/>
  <c r="U39" i="67" s="1"/>
  <c r="P122" i="67"/>
  <c r="U122" i="67" s="1"/>
  <c r="P24" i="67"/>
  <c r="T24" i="67" s="1"/>
  <c r="U24" i="67" s="1"/>
  <c r="P26" i="67"/>
  <c r="T26" i="67" s="1"/>
  <c r="U26" i="67" s="1"/>
  <c r="P16" i="67"/>
  <c r="T16" i="67" s="1"/>
  <c r="U16" i="67" s="1"/>
  <c r="P18" i="67"/>
  <c r="T18" i="67" s="1"/>
  <c r="U18" i="67" s="1"/>
  <c r="P41" i="67"/>
  <c r="U41" i="67" s="1"/>
  <c r="P121" i="67"/>
  <c r="U121" i="67" s="1"/>
  <c r="P14" i="67"/>
  <c r="P42" i="67"/>
  <c r="U42" i="67" s="1"/>
  <c r="P25" i="67"/>
  <c r="T25" i="67" s="1"/>
  <c r="U25" i="67" s="1"/>
  <c r="P21" i="67"/>
  <c r="T21" i="67" s="1"/>
  <c r="U21" i="67" s="1"/>
  <c r="P22" i="67"/>
  <c r="T22" i="67" s="1"/>
  <c r="U22" i="67" s="1"/>
  <c r="P27" i="67"/>
  <c r="T27" i="67" s="1"/>
  <c r="U27" i="67" s="1"/>
  <c r="P38" i="67"/>
  <c r="U38" i="67" s="1"/>
  <c r="P23" i="67"/>
  <c r="T23" i="67" s="1"/>
  <c r="U23" i="67" s="1"/>
  <c r="P28" i="67"/>
  <c r="T28" i="67" s="1"/>
  <c r="U28" i="67" s="1"/>
  <c r="P17" i="27"/>
  <c r="T17" i="27" s="1"/>
  <c r="U17" i="27" s="1"/>
  <c r="P22" i="27"/>
  <c r="T22" i="27" s="1"/>
  <c r="U22" i="27" s="1"/>
  <c r="P14" i="27"/>
  <c r="P29" i="27"/>
  <c r="T29" i="27" s="1"/>
  <c r="U29" i="27" s="1"/>
  <c r="P24" i="27"/>
  <c r="T24" i="27" s="1"/>
  <c r="U24" i="27" s="1"/>
  <c r="P38" i="27"/>
  <c r="U38" i="27" s="1"/>
  <c r="P41" i="27"/>
  <c r="U41" i="27" s="1"/>
  <c r="P19" i="27"/>
  <c r="T19" i="27" s="1"/>
  <c r="U19" i="27" s="1"/>
  <c r="P122" i="27"/>
  <c r="U122" i="27" s="1"/>
  <c r="P16" i="27"/>
  <c r="T16" i="27" s="1"/>
  <c r="U16" i="27" s="1"/>
  <c r="P26" i="27"/>
  <c r="T26" i="27" s="1"/>
  <c r="U26" i="27" s="1"/>
  <c r="P21" i="27"/>
  <c r="T21" i="27" s="1"/>
  <c r="U21" i="27" s="1"/>
  <c r="P28" i="27"/>
  <c r="T28" i="27" s="1"/>
  <c r="U28" i="27" s="1"/>
  <c r="P39" i="27"/>
  <c r="U39" i="27" s="1"/>
  <c r="P42" i="27"/>
  <c r="U42" i="27" s="1"/>
  <c r="P18" i="27"/>
  <c r="T18" i="27" s="1"/>
  <c r="U18" i="27" s="1"/>
  <c r="P23" i="27"/>
  <c r="T23" i="27" s="1"/>
  <c r="U23" i="27" s="1"/>
  <c r="P121" i="27"/>
  <c r="U121" i="27" s="1"/>
  <c r="P15" i="27"/>
  <c r="T15" i="27" s="1"/>
  <c r="U15" i="27" s="1"/>
  <c r="P25" i="27"/>
  <c r="T25" i="27" s="1"/>
  <c r="U25" i="27" s="1"/>
  <c r="P20" i="27"/>
  <c r="T20" i="27" s="1"/>
  <c r="U20" i="27" s="1"/>
  <c r="P40" i="27"/>
  <c r="U40" i="27" s="1"/>
  <c r="P43" i="27"/>
  <c r="U43" i="27" s="1"/>
  <c r="P123" i="27"/>
  <c r="U123" i="27" s="1"/>
  <c r="P113" i="27"/>
  <c r="U113" i="27" s="1"/>
  <c r="P27" i="27"/>
  <c r="T27" i="27" s="1"/>
  <c r="U27" i="27" s="1"/>
  <c r="C107" i="48"/>
  <c r="P15" i="51"/>
  <c r="T15" i="51" s="1"/>
  <c r="U15" i="51" s="1"/>
  <c r="P25" i="51"/>
  <c r="T25" i="51" s="1"/>
  <c r="U25" i="51" s="1"/>
  <c r="P27" i="51"/>
  <c r="T27" i="51" s="1"/>
  <c r="U27" i="51" s="1"/>
  <c r="P14" i="51"/>
  <c r="P29" i="51"/>
  <c r="T29" i="51" s="1"/>
  <c r="U29" i="51" s="1"/>
  <c r="P24" i="51"/>
  <c r="T24" i="51" s="1"/>
  <c r="U24" i="51" s="1"/>
  <c r="P38" i="51"/>
  <c r="U38" i="51" s="1"/>
  <c r="P41" i="51"/>
  <c r="U41" i="51" s="1"/>
  <c r="P122" i="51"/>
  <c r="U122" i="51" s="1"/>
  <c r="P17" i="51"/>
  <c r="T17" i="51" s="1"/>
  <c r="U17" i="51" s="1"/>
  <c r="P22" i="51"/>
  <c r="T22" i="51" s="1"/>
  <c r="U22" i="51" s="1"/>
  <c r="P42" i="51"/>
  <c r="U42" i="51" s="1"/>
  <c r="P20" i="51"/>
  <c r="T20" i="51" s="1"/>
  <c r="U20" i="51" s="1"/>
  <c r="P121" i="51"/>
  <c r="U121" i="51" s="1"/>
  <c r="P43" i="51"/>
  <c r="U43" i="51" s="1"/>
  <c r="P113" i="51"/>
  <c r="U113" i="51" s="1"/>
  <c r="P28" i="51"/>
  <c r="T28" i="51" s="1"/>
  <c r="U28" i="51" s="1"/>
  <c r="P18" i="51"/>
  <c r="T18" i="51" s="1"/>
  <c r="U18" i="51" s="1"/>
  <c r="P23" i="51"/>
  <c r="T23" i="51" s="1"/>
  <c r="U23" i="51" s="1"/>
  <c r="P123" i="51"/>
  <c r="U123" i="51" s="1"/>
  <c r="P16" i="51"/>
  <c r="T16" i="51" s="1"/>
  <c r="U16" i="51" s="1"/>
  <c r="P26" i="51"/>
  <c r="T26" i="51" s="1"/>
  <c r="U26" i="51" s="1"/>
  <c r="P39" i="51"/>
  <c r="U39" i="51" s="1"/>
  <c r="P21" i="51"/>
  <c r="T21" i="51" s="1"/>
  <c r="U21" i="51" s="1"/>
  <c r="P19" i="51"/>
  <c r="T19" i="51" s="1"/>
  <c r="U19" i="51" s="1"/>
  <c r="P40" i="51"/>
  <c r="U40" i="51" s="1"/>
  <c r="I92" i="23"/>
  <c r="H88" i="23"/>
  <c r="I88" i="23" s="1"/>
  <c r="I85" i="23"/>
  <c r="I90" i="23"/>
  <c r="C107" i="42"/>
  <c r="H104" i="42"/>
  <c r="I107" i="42" s="1"/>
  <c r="P18" i="31"/>
  <c r="T18" i="31" s="1"/>
  <c r="U18" i="31" s="1"/>
  <c r="P23" i="31"/>
  <c r="T23" i="31" s="1"/>
  <c r="U23" i="31" s="1"/>
  <c r="P20" i="31"/>
  <c r="T20" i="31" s="1"/>
  <c r="U20" i="31" s="1"/>
  <c r="P27" i="31"/>
  <c r="T27" i="31" s="1"/>
  <c r="U27" i="31" s="1"/>
  <c r="P17" i="31"/>
  <c r="T17" i="31" s="1"/>
  <c r="U17" i="31" s="1"/>
  <c r="P22" i="31"/>
  <c r="T22" i="31" s="1"/>
  <c r="U22" i="31" s="1"/>
  <c r="P16" i="31"/>
  <c r="T16" i="31" s="1"/>
  <c r="U16" i="31" s="1"/>
  <c r="P26" i="31"/>
  <c r="T26" i="31" s="1"/>
  <c r="U26" i="31" s="1"/>
  <c r="P19" i="31"/>
  <c r="T19" i="31" s="1"/>
  <c r="U19" i="31" s="1"/>
  <c r="P25" i="31"/>
  <c r="T25" i="31" s="1"/>
  <c r="U25" i="31" s="1"/>
  <c r="P28" i="31"/>
  <c r="T28" i="31" s="1"/>
  <c r="U28" i="31" s="1"/>
  <c r="P121" i="31"/>
  <c r="U121" i="31" s="1"/>
  <c r="P14" i="31"/>
  <c r="P113" i="31"/>
  <c r="U113" i="31" s="1"/>
  <c r="P40" i="31"/>
  <c r="U40" i="31" s="1"/>
  <c r="P43" i="31"/>
  <c r="U43" i="31" s="1"/>
  <c r="P123" i="31"/>
  <c r="U123" i="31" s="1"/>
  <c r="P15" i="31"/>
  <c r="T15" i="31" s="1"/>
  <c r="U15" i="31" s="1"/>
  <c r="P29" i="31"/>
  <c r="T29" i="31" s="1"/>
  <c r="U29" i="31" s="1"/>
  <c r="P38" i="31"/>
  <c r="U38" i="31" s="1"/>
  <c r="P41" i="31"/>
  <c r="U41" i="31" s="1"/>
  <c r="P21" i="31"/>
  <c r="T21" i="31" s="1"/>
  <c r="U21" i="31" s="1"/>
  <c r="P24" i="31"/>
  <c r="T24" i="31" s="1"/>
  <c r="U24" i="31" s="1"/>
  <c r="P122" i="31"/>
  <c r="U122" i="31" s="1"/>
  <c r="P39" i="31"/>
  <c r="U39" i="31" s="1"/>
  <c r="P42" i="31"/>
  <c r="U42" i="31" s="1"/>
  <c r="H88" i="25"/>
  <c r="I88" i="25" s="1"/>
  <c r="I85" i="25"/>
  <c r="I90" i="25"/>
  <c r="I92" i="25"/>
  <c r="P16" i="66"/>
  <c r="T16" i="66" s="1"/>
  <c r="U16" i="66" s="1"/>
  <c r="P26" i="66"/>
  <c r="T26" i="66" s="1"/>
  <c r="U26" i="66" s="1"/>
  <c r="P28" i="66"/>
  <c r="T28" i="66" s="1"/>
  <c r="U28" i="66" s="1"/>
  <c r="P39" i="66"/>
  <c r="U39" i="66" s="1"/>
  <c r="P42" i="66"/>
  <c r="U42" i="66" s="1"/>
  <c r="P18" i="66"/>
  <c r="T18" i="66" s="1"/>
  <c r="U18" i="66" s="1"/>
  <c r="P23" i="66"/>
  <c r="T23" i="66" s="1"/>
  <c r="U23" i="66" s="1"/>
  <c r="P121" i="66"/>
  <c r="U121" i="66" s="1"/>
  <c r="P113" i="66"/>
  <c r="U113" i="66" s="1"/>
  <c r="P15" i="66"/>
  <c r="T15" i="66" s="1"/>
  <c r="U15" i="66" s="1"/>
  <c r="P25" i="66"/>
  <c r="T25" i="66" s="1"/>
  <c r="U25" i="66" s="1"/>
  <c r="P27" i="66"/>
  <c r="T27" i="66" s="1"/>
  <c r="U27" i="66" s="1"/>
  <c r="P17" i="66"/>
  <c r="T17" i="66" s="1"/>
  <c r="U17" i="66" s="1"/>
  <c r="P22" i="66"/>
  <c r="T22" i="66" s="1"/>
  <c r="U22" i="66" s="1"/>
  <c r="P14" i="66"/>
  <c r="P29" i="66"/>
  <c r="T29" i="66" s="1"/>
  <c r="U29" i="66" s="1"/>
  <c r="P19" i="66"/>
  <c r="T19" i="66" s="1"/>
  <c r="U19" i="66" s="1"/>
  <c r="P20" i="66"/>
  <c r="T20" i="66" s="1"/>
  <c r="U20" i="66" s="1"/>
  <c r="P24" i="66"/>
  <c r="T24" i="66" s="1"/>
  <c r="U24" i="66" s="1"/>
  <c r="P40" i="66"/>
  <c r="U40" i="66" s="1"/>
  <c r="P41" i="66"/>
  <c r="U41" i="66" s="1"/>
  <c r="P21" i="66"/>
  <c r="T21" i="66" s="1"/>
  <c r="U21" i="66" s="1"/>
  <c r="P122" i="66"/>
  <c r="U122" i="66" s="1"/>
  <c r="P43" i="66"/>
  <c r="U43" i="66" s="1"/>
  <c r="P123" i="66"/>
  <c r="U123" i="66" s="1"/>
  <c r="P38" i="66"/>
  <c r="U38" i="66" s="1"/>
  <c r="I85" i="55"/>
  <c r="I90" i="55"/>
  <c r="I92" i="55"/>
  <c r="H88" i="55"/>
  <c r="I88" i="55" s="1"/>
  <c r="H104" i="58"/>
  <c r="I107" i="58" s="1"/>
  <c r="C107" i="58"/>
  <c r="C107" i="55"/>
  <c r="H104" i="55"/>
  <c r="I107" i="55" s="1"/>
  <c r="I92" i="58"/>
  <c r="H88" i="58"/>
  <c r="I88" i="58" s="1"/>
  <c r="I90" i="58"/>
  <c r="I85" i="58"/>
  <c r="P18" i="58"/>
  <c r="T18" i="58" s="1"/>
  <c r="U18" i="58" s="1"/>
  <c r="P23" i="58"/>
  <c r="T23" i="58" s="1"/>
  <c r="U23" i="58" s="1"/>
  <c r="P121" i="58"/>
  <c r="U121" i="58" s="1"/>
  <c r="P15" i="58"/>
  <c r="T15" i="58" s="1"/>
  <c r="U15" i="58" s="1"/>
  <c r="P25" i="58"/>
  <c r="T25" i="58" s="1"/>
  <c r="U25" i="58" s="1"/>
  <c r="P20" i="58"/>
  <c r="T20" i="58" s="1"/>
  <c r="U20" i="58" s="1"/>
  <c r="P40" i="58"/>
  <c r="U40" i="58" s="1"/>
  <c r="P43" i="58"/>
  <c r="U43" i="58" s="1"/>
  <c r="P123" i="58"/>
  <c r="U123" i="58" s="1"/>
  <c r="P27" i="58"/>
  <c r="T27" i="58" s="1"/>
  <c r="U27" i="58" s="1"/>
  <c r="P17" i="58"/>
  <c r="T17" i="58" s="1"/>
  <c r="U17" i="58" s="1"/>
  <c r="P22" i="58"/>
  <c r="T22" i="58" s="1"/>
  <c r="U22" i="58" s="1"/>
  <c r="P19" i="58"/>
  <c r="T19" i="58" s="1"/>
  <c r="U19" i="58" s="1"/>
  <c r="P122" i="58"/>
  <c r="U122" i="58" s="1"/>
  <c r="P16" i="58"/>
  <c r="T16" i="58" s="1"/>
  <c r="U16" i="58" s="1"/>
  <c r="P26" i="58"/>
  <c r="T26" i="58" s="1"/>
  <c r="U26" i="58" s="1"/>
  <c r="P29" i="58"/>
  <c r="T29" i="58" s="1"/>
  <c r="U29" i="58" s="1"/>
  <c r="P41" i="58"/>
  <c r="U41" i="58" s="1"/>
  <c r="P113" i="58"/>
  <c r="U113" i="58" s="1"/>
  <c r="P42" i="58"/>
  <c r="U42" i="58" s="1"/>
  <c r="P14" i="58"/>
  <c r="P38" i="58"/>
  <c r="U38" i="58" s="1"/>
  <c r="P21" i="58"/>
  <c r="T21" i="58" s="1"/>
  <c r="U21" i="58" s="1"/>
  <c r="P24" i="58"/>
  <c r="T24" i="58" s="1"/>
  <c r="U24" i="58" s="1"/>
  <c r="P28" i="58"/>
  <c r="T28" i="58" s="1"/>
  <c r="U28" i="58" s="1"/>
  <c r="P39" i="58"/>
  <c r="U39" i="58" s="1"/>
  <c r="I15" i="60"/>
  <c r="I30" i="18"/>
  <c r="H104" i="32"/>
  <c r="I107" i="32" s="1"/>
  <c r="C107" i="32"/>
  <c r="P16" i="38"/>
  <c r="T16" i="38" s="1"/>
  <c r="U16" i="38" s="1"/>
  <c r="P26" i="38"/>
  <c r="T26" i="38" s="1"/>
  <c r="U26" i="38" s="1"/>
  <c r="P28" i="38"/>
  <c r="T28" i="38" s="1"/>
  <c r="U28" i="38" s="1"/>
  <c r="P39" i="38"/>
  <c r="U39" i="38" s="1"/>
  <c r="P42" i="38"/>
  <c r="U42" i="38" s="1"/>
  <c r="P18" i="38"/>
  <c r="T18" i="38" s="1"/>
  <c r="U18" i="38" s="1"/>
  <c r="P23" i="38"/>
  <c r="T23" i="38" s="1"/>
  <c r="U23" i="38" s="1"/>
  <c r="P121" i="38"/>
  <c r="U121" i="38" s="1"/>
  <c r="P113" i="38"/>
  <c r="U113" i="38" s="1"/>
  <c r="P15" i="38"/>
  <c r="T15" i="38" s="1"/>
  <c r="U15" i="38" s="1"/>
  <c r="P25" i="38"/>
  <c r="T25" i="38" s="1"/>
  <c r="U25" i="38" s="1"/>
  <c r="P20" i="38"/>
  <c r="T20" i="38" s="1"/>
  <c r="U20" i="38" s="1"/>
  <c r="P40" i="38"/>
  <c r="U40" i="38" s="1"/>
  <c r="P43" i="38"/>
  <c r="U43" i="38" s="1"/>
  <c r="P123" i="38"/>
  <c r="U123" i="38" s="1"/>
  <c r="P27" i="38"/>
  <c r="T27" i="38" s="1"/>
  <c r="U27" i="38" s="1"/>
  <c r="P17" i="38"/>
  <c r="T17" i="38" s="1"/>
  <c r="U17" i="38" s="1"/>
  <c r="P22" i="38"/>
  <c r="T22" i="38" s="1"/>
  <c r="U22" i="38" s="1"/>
  <c r="P14" i="38"/>
  <c r="P29" i="38"/>
  <c r="T29" i="38" s="1"/>
  <c r="U29" i="38" s="1"/>
  <c r="P24" i="38"/>
  <c r="T24" i="38" s="1"/>
  <c r="U24" i="38" s="1"/>
  <c r="P38" i="38"/>
  <c r="U38" i="38" s="1"/>
  <c r="P41" i="38"/>
  <c r="U41" i="38" s="1"/>
  <c r="P21" i="38"/>
  <c r="T21" i="38" s="1"/>
  <c r="U21" i="38" s="1"/>
  <c r="P19" i="38"/>
  <c r="T19" i="38" s="1"/>
  <c r="U19" i="38" s="1"/>
  <c r="P122" i="38"/>
  <c r="U122" i="38" s="1"/>
  <c r="H88" i="67"/>
  <c r="I88" i="67" s="1"/>
  <c r="I90" i="67"/>
  <c r="I92" i="67"/>
  <c r="I85" i="67"/>
  <c r="H88" i="77"/>
  <c r="I88" i="77" s="1"/>
  <c r="I85" i="77"/>
  <c r="I90" i="77"/>
  <c r="I92" i="77"/>
  <c r="I14" i="60"/>
  <c r="I92" i="26"/>
  <c r="H88" i="26"/>
  <c r="I88" i="26" s="1"/>
  <c r="I85" i="26"/>
  <c r="I90" i="26"/>
  <c r="C107" i="40"/>
  <c r="P15" i="16"/>
  <c r="T15" i="16" s="1"/>
  <c r="U15" i="16" s="1"/>
  <c r="P17" i="16"/>
  <c r="T17" i="16" s="1"/>
  <c r="U17" i="16" s="1"/>
  <c r="P19" i="16"/>
  <c r="T19" i="16" s="1"/>
  <c r="U19" i="16" s="1"/>
  <c r="P14" i="16"/>
  <c r="P29" i="16"/>
  <c r="T29" i="16" s="1"/>
  <c r="U29" i="16" s="1"/>
  <c r="P24" i="16"/>
  <c r="T24" i="16" s="1"/>
  <c r="U24" i="16" s="1"/>
  <c r="P38" i="16"/>
  <c r="U38" i="16" s="1"/>
  <c r="P41" i="16"/>
  <c r="U41" i="16" s="1"/>
  <c r="P122" i="16"/>
  <c r="U122" i="16" s="1"/>
  <c r="P26" i="16"/>
  <c r="T26" i="16" s="1"/>
  <c r="U26" i="16" s="1"/>
  <c r="P21" i="16"/>
  <c r="T21" i="16" s="1"/>
  <c r="U21" i="16" s="1"/>
  <c r="P28" i="16"/>
  <c r="T28" i="16" s="1"/>
  <c r="U28" i="16" s="1"/>
  <c r="P39" i="16"/>
  <c r="U39" i="16" s="1"/>
  <c r="P42" i="16"/>
  <c r="U42" i="16" s="1"/>
  <c r="P23" i="16"/>
  <c r="T23" i="16" s="1"/>
  <c r="U23" i="16" s="1"/>
  <c r="P121" i="16"/>
  <c r="U121" i="16" s="1"/>
  <c r="P113" i="16"/>
  <c r="U113" i="16" s="1"/>
  <c r="P25" i="16"/>
  <c r="T25" i="16" s="1"/>
  <c r="U25" i="16" s="1"/>
  <c r="P16" i="16"/>
  <c r="T16" i="16" s="1"/>
  <c r="U16" i="16" s="1"/>
  <c r="P20" i="16"/>
  <c r="T20" i="16" s="1"/>
  <c r="U20" i="16" s="1"/>
  <c r="P27" i="16"/>
  <c r="T27" i="16" s="1"/>
  <c r="U27" i="16" s="1"/>
  <c r="P123" i="16"/>
  <c r="U123" i="16" s="1"/>
  <c r="P40" i="16"/>
  <c r="U40" i="16" s="1"/>
  <c r="P18" i="16"/>
  <c r="T18" i="16" s="1"/>
  <c r="U18" i="16" s="1"/>
  <c r="P22" i="16"/>
  <c r="T22" i="16" s="1"/>
  <c r="U22" i="16" s="1"/>
  <c r="P43" i="16"/>
  <c r="U43" i="16" s="1"/>
  <c r="C107" i="28"/>
  <c r="H104" i="28"/>
  <c r="I107" i="28" s="1"/>
  <c r="I92" i="78"/>
  <c r="H88" i="78"/>
  <c r="I88" i="78" s="1"/>
  <c r="I90" i="78"/>
  <c r="I85" i="78"/>
  <c r="I85" i="27"/>
  <c r="I90" i="27"/>
  <c r="I92" i="27"/>
  <c r="H88" i="27"/>
  <c r="I88" i="27" s="1"/>
  <c r="P17" i="30"/>
  <c r="T17" i="30" s="1"/>
  <c r="U17" i="30" s="1"/>
  <c r="P22" i="30"/>
  <c r="T22" i="30" s="1"/>
  <c r="U22" i="30" s="1"/>
  <c r="P14" i="30"/>
  <c r="P29" i="30"/>
  <c r="T29" i="30" s="1"/>
  <c r="U29" i="30" s="1"/>
  <c r="P24" i="30"/>
  <c r="T24" i="30" s="1"/>
  <c r="U24" i="30" s="1"/>
  <c r="P38" i="30"/>
  <c r="U38" i="30" s="1"/>
  <c r="P41" i="30"/>
  <c r="U41" i="30" s="1"/>
  <c r="P19" i="30"/>
  <c r="T19" i="30" s="1"/>
  <c r="U19" i="30" s="1"/>
  <c r="P122" i="30"/>
  <c r="U122" i="30" s="1"/>
  <c r="P16" i="30"/>
  <c r="T16" i="30" s="1"/>
  <c r="U16" i="30" s="1"/>
  <c r="P26" i="30"/>
  <c r="T26" i="30" s="1"/>
  <c r="U26" i="30" s="1"/>
  <c r="P21" i="30"/>
  <c r="T21" i="30" s="1"/>
  <c r="U21" i="30" s="1"/>
  <c r="P28" i="30"/>
  <c r="T28" i="30" s="1"/>
  <c r="U28" i="30" s="1"/>
  <c r="P39" i="30"/>
  <c r="U39" i="30" s="1"/>
  <c r="P42" i="30"/>
  <c r="U42" i="30" s="1"/>
  <c r="P18" i="30"/>
  <c r="T18" i="30" s="1"/>
  <c r="U18" i="30" s="1"/>
  <c r="P23" i="30"/>
  <c r="T23" i="30" s="1"/>
  <c r="U23" i="30" s="1"/>
  <c r="P121" i="30"/>
  <c r="U121" i="30" s="1"/>
  <c r="P113" i="30"/>
  <c r="U113" i="30" s="1"/>
  <c r="P15" i="30"/>
  <c r="T15" i="30" s="1"/>
  <c r="U15" i="30" s="1"/>
  <c r="P25" i="30"/>
  <c r="T25" i="30" s="1"/>
  <c r="U25" i="30" s="1"/>
  <c r="P20" i="30"/>
  <c r="T20" i="30" s="1"/>
  <c r="U20" i="30" s="1"/>
  <c r="P40" i="30"/>
  <c r="U40" i="30" s="1"/>
  <c r="P43" i="30"/>
  <c r="U43" i="30" s="1"/>
  <c r="P27" i="30"/>
  <c r="T27" i="30" s="1"/>
  <c r="U27" i="30" s="1"/>
  <c r="P123" i="30"/>
  <c r="U123" i="30" s="1"/>
  <c r="H88" i="51"/>
  <c r="I88" i="51" s="1"/>
  <c r="I92" i="51"/>
  <c r="I85" i="51"/>
  <c r="I90" i="51"/>
  <c r="I92" i="18"/>
  <c r="H88" i="18"/>
  <c r="I88" i="18" s="1"/>
  <c r="I90" i="18"/>
  <c r="I85" i="18"/>
  <c r="C107" i="70"/>
  <c r="H104" i="70"/>
  <c r="I107" i="70" s="1"/>
  <c r="P17" i="20"/>
  <c r="T17" i="20" s="1"/>
  <c r="U17" i="20" s="1"/>
  <c r="P22" i="20"/>
  <c r="T22" i="20" s="1"/>
  <c r="U22" i="20" s="1"/>
  <c r="P14" i="20"/>
  <c r="P29" i="20"/>
  <c r="T29" i="20" s="1"/>
  <c r="U29" i="20" s="1"/>
  <c r="P24" i="20"/>
  <c r="T24" i="20" s="1"/>
  <c r="U24" i="20" s="1"/>
  <c r="P38" i="20"/>
  <c r="U38" i="20" s="1"/>
  <c r="P41" i="20"/>
  <c r="U41" i="20" s="1"/>
  <c r="P19" i="20"/>
  <c r="T19" i="20" s="1"/>
  <c r="U19" i="20" s="1"/>
  <c r="P122" i="20"/>
  <c r="U122" i="20" s="1"/>
  <c r="P16" i="20"/>
  <c r="T16" i="20" s="1"/>
  <c r="U16" i="20" s="1"/>
  <c r="P26" i="20"/>
  <c r="T26" i="20" s="1"/>
  <c r="U26" i="20" s="1"/>
  <c r="P21" i="20"/>
  <c r="T21" i="20" s="1"/>
  <c r="U21" i="20" s="1"/>
  <c r="P18" i="20"/>
  <c r="T18" i="20" s="1"/>
  <c r="U18" i="20" s="1"/>
  <c r="P23" i="20"/>
  <c r="T23" i="20" s="1"/>
  <c r="U23" i="20" s="1"/>
  <c r="P121" i="20"/>
  <c r="U121" i="20" s="1"/>
  <c r="P113" i="20"/>
  <c r="U113" i="20" s="1"/>
  <c r="P15" i="20"/>
  <c r="T15" i="20" s="1"/>
  <c r="U15" i="20" s="1"/>
  <c r="P25" i="20"/>
  <c r="T25" i="20" s="1"/>
  <c r="U25" i="20" s="1"/>
  <c r="P20" i="20"/>
  <c r="T20" i="20" s="1"/>
  <c r="U20" i="20" s="1"/>
  <c r="P40" i="20"/>
  <c r="U40" i="20" s="1"/>
  <c r="P43" i="20"/>
  <c r="U43" i="20" s="1"/>
  <c r="P123" i="20"/>
  <c r="U123" i="20" s="1"/>
  <c r="P39" i="20"/>
  <c r="U39" i="20" s="1"/>
  <c r="P27" i="20"/>
  <c r="T27" i="20" s="1"/>
  <c r="U27" i="20" s="1"/>
  <c r="P28" i="20"/>
  <c r="T28" i="20" s="1"/>
  <c r="U28" i="20" s="1"/>
  <c r="P42" i="20"/>
  <c r="U42" i="20" s="1"/>
  <c r="P18" i="22"/>
  <c r="T18" i="22" s="1"/>
  <c r="U18" i="22" s="1"/>
  <c r="P23" i="22"/>
  <c r="T23" i="22" s="1"/>
  <c r="U23" i="22" s="1"/>
  <c r="P121" i="22"/>
  <c r="U121" i="22" s="1"/>
  <c r="P15" i="22"/>
  <c r="T15" i="22" s="1"/>
  <c r="U15" i="22" s="1"/>
  <c r="P25" i="22"/>
  <c r="T25" i="22" s="1"/>
  <c r="U25" i="22" s="1"/>
  <c r="P20" i="22"/>
  <c r="T20" i="22" s="1"/>
  <c r="U20" i="22" s="1"/>
  <c r="P40" i="22"/>
  <c r="U40" i="22" s="1"/>
  <c r="P43" i="22"/>
  <c r="U43" i="22" s="1"/>
  <c r="P123" i="22"/>
  <c r="U123" i="22" s="1"/>
  <c r="P27" i="22"/>
  <c r="T27" i="22" s="1"/>
  <c r="U27" i="22" s="1"/>
  <c r="P14" i="22"/>
  <c r="P29" i="22"/>
  <c r="T29" i="22" s="1"/>
  <c r="U29" i="22" s="1"/>
  <c r="P16" i="22"/>
  <c r="T16" i="22" s="1"/>
  <c r="U16" i="22" s="1"/>
  <c r="P26" i="22"/>
  <c r="T26" i="22" s="1"/>
  <c r="U26" i="22" s="1"/>
  <c r="P24" i="22"/>
  <c r="T24" i="22" s="1"/>
  <c r="U24" i="22" s="1"/>
  <c r="P42" i="22"/>
  <c r="U42" i="22" s="1"/>
  <c r="P19" i="22"/>
  <c r="T19" i="22" s="1"/>
  <c r="U19" i="22" s="1"/>
  <c r="P22" i="22"/>
  <c r="T22" i="22" s="1"/>
  <c r="U22" i="22" s="1"/>
  <c r="P38" i="22"/>
  <c r="U38" i="22" s="1"/>
  <c r="P28" i="22"/>
  <c r="T28" i="22" s="1"/>
  <c r="U28" i="22" s="1"/>
  <c r="P17" i="22"/>
  <c r="T17" i="22" s="1"/>
  <c r="U17" i="22" s="1"/>
  <c r="P39" i="22"/>
  <c r="U39" i="22" s="1"/>
  <c r="P122" i="22"/>
  <c r="U122" i="22" s="1"/>
  <c r="P41" i="22"/>
  <c r="U41" i="22" s="1"/>
  <c r="P113" i="22"/>
  <c r="U113" i="22" s="1"/>
  <c r="P21" i="22"/>
  <c r="T21" i="22" s="1"/>
  <c r="U21" i="22" s="1"/>
  <c r="P16" i="71"/>
  <c r="T16" i="71" s="1"/>
  <c r="U16" i="71" s="1"/>
  <c r="P26" i="71"/>
  <c r="T26" i="71" s="1"/>
  <c r="U26" i="71" s="1"/>
  <c r="P21" i="71"/>
  <c r="T21" i="71" s="1"/>
  <c r="U21" i="71" s="1"/>
  <c r="P28" i="71"/>
  <c r="T28" i="71" s="1"/>
  <c r="U28" i="71" s="1"/>
  <c r="P39" i="71"/>
  <c r="U39" i="71" s="1"/>
  <c r="P42" i="71"/>
  <c r="U42" i="71" s="1"/>
  <c r="P113" i="71"/>
  <c r="U113" i="71" s="1"/>
  <c r="P17" i="71"/>
  <c r="T17" i="71" s="1"/>
  <c r="U17" i="71" s="1"/>
  <c r="P22" i="71"/>
  <c r="T22" i="71" s="1"/>
  <c r="U22" i="71" s="1"/>
  <c r="P18" i="71"/>
  <c r="T18" i="71" s="1"/>
  <c r="U18" i="71" s="1"/>
  <c r="P38" i="71"/>
  <c r="U38" i="71" s="1"/>
  <c r="P121" i="71"/>
  <c r="U121" i="71" s="1"/>
  <c r="P123" i="71"/>
  <c r="U123" i="71" s="1"/>
  <c r="P29" i="71"/>
  <c r="T29" i="71" s="1"/>
  <c r="U29" i="71" s="1"/>
  <c r="P14" i="71"/>
  <c r="P24" i="71"/>
  <c r="T24" i="71" s="1"/>
  <c r="U24" i="71" s="1"/>
  <c r="P40" i="71"/>
  <c r="U40" i="71" s="1"/>
  <c r="P19" i="71"/>
  <c r="T19" i="71" s="1"/>
  <c r="U19" i="71" s="1"/>
  <c r="P27" i="71"/>
  <c r="T27" i="71" s="1"/>
  <c r="U27" i="71" s="1"/>
  <c r="P41" i="71"/>
  <c r="U41" i="71" s="1"/>
  <c r="P25" i="71"/>
  <c r="T25" i="71" s="1"/>
  <c r="U25" i="71" s="1"/>
  <c r="P15" i="71"/>
  <c r="T15" i="71" s="1"/>
  <c r="U15" i="71" s="1"/>
  <c r="P20" i="71"/>
  <c r="T20" i="71" s="1"/>
  <c r="U20" i="71" s="1"/>
  <c r="P122" i="71"/>
  <c r="U122" i="71" s="1"/>
  <c r="P23" i="71"/>
  <c r="T23" i="71" s="1"/>
  <c r="U23" i="71" s="1"/>
  <c r="P43" i="71"/>
  <c r="U43" i="71" s="1"/>
  <c r="P15" i="48"/>
  <c r="T15" i="48" s="1"/>
  <c r="U15" i="48" s="1"/>
  <c r="P25" i="48"/>
  <c r="T25" i="48" s="1"/>
  <c r="U25" i="48" s="1"/>
  <c r="P20" i="48"/>
  <c r="T20" i="48" s="1"/>
  <c r="U20" i="48" s="1"/>
  <c r="P40" i="48"/>
  <c r="U40" i="48" s="1"/>
  <c r="P43" i="48"/>
  <c r="U43" i="48" s="1"/>
  <c r="P123" i="48"/>
  <c r="U123" i="48" s="1"/>
  <c r="P27" i="48"/>
  <c r="T27" i="48" s="1"/>
  <c r="U27" i="48" s="1"/>
  <c r="P17" i="48"/>
  <c r="T17" i="48" s="1"/>
  <c r="U17" i="48" s="1"/>
  <c r="P22" i="48"/>
  <c r="T22" i="48" s="1"/>
  <c r="U22" i="48" s="1"/>
  <c r="P24" i="48"/>
  <c r="T24" i="48" s="1"/>
  <c r="U24" i="48" s="1"/>
  <c r="P38" i="48"/>
  <c r="U38" i="48" s="1"/>
  <c r="P41" i="48"/>
  <c r="U41" i="48" s="1"/>
  <c r="P19" i="48"/>
  <c r="T19" i="48" s="1"/>
  <c r="U19" i="48" s="1"/>
  <c r="P16" i="48"/>
  <c r="T16" i="48" s="1"/>
  <c r="U16" i="48" s="1"/>
  <c r="P26" i="48"/>
  <c r="T26" i="48" s="1"/>
  <c r="U26" i="48" s="1"/>
  <c r="P21" i="48"/>
  <c r="T21" i="48" s="1"/>
  <c r="U21" i="48" s="1"/>
  <c r="P28" i="48"/>
  <c r="T28" i="48" s="1"/>
  <c r="U28" i="48" s="1"/>
  <c r="P39" i="48"/>
  <c r="U39" i="48" s="1"/>
  <c r="P42" i="48"/>
  <c r="U42" i="48" s="1"/>
  <c r="P18" i="48"/>
  <c r="T18" i="48" s="1"/>
  <c r="U18" i="48" s="1"/>
  <c r="P14" i="48"/>
  <c r="P23" i="48"/>
  <c r="T23" i="48" s="1"/>
  <c r="U23" i="48" s="1"/>
  <c r="P122" i="48"/>
  <c r="U122" i="48" s="1"/>
  <c r="P113" i="48"/>
  <c r="U113" i="48" s="1"/>
  <c r="P29" i="48"/>
  <c r="T29" i="48" s="1"/>
  <c r="U29" i="48" s="1"/>
  <c r="P121" i="48"/>
  <c r="U121" i="48" s="1"/>
  <c r="I107" i="21"/>
  <c r="I85" i="30"/>
  <c r="I90" i="30"/>
  <c r="I92" i="30"/>
  <c r="H88" i="30"/>
  <c r="I88" i="30" s="1"/>
  <c r="I85" i="56"/>
  <c r="I90" i="56"/>
  <c r="I92" i="56"/>
  <c r="H88" i="56"/>
  <c r="I88" i="56" s="1"/>
  <c r="P16" i="23"/>
  <c r="T16" i="23" s="1"/>
  <c r="U16" i="23" s="1"/>
  <c r="P26" i="23"/>
  <c r="T26" i="23" s="1"/>
  <c r="U26" i="23" s="1"/>
  <c r="P21" i="23"/>
  <c r="T21" i="23" s="1"/>
  <c r="U21" i="23" s="1"/>
  <c r="P28" i="23"/>
  <c r="T28" i="23" s="1"/>
  <c r="U28" i="23" s="1"/>
  <c r="P39" i="23"/>
  <c r="U39" i="23" s="1"/>
  <c r="P42" i="23"/>
  <c r="U42" i="23" s="1"/>
  <c r="P18" i="23"/>
  <c r="T18" i="23" s="1"/>
  <c r="U18" i="23" s="1"/>
  <c r="P23" i="23"/>
  <c r="T23" i="23" s="1"/>
  <c r="U23" i="23" s="1"/>
  <c r="P121" i="23"/>
  <c r="U121" i="23" s="1"/>
  <c r="P113" i="23"/>
  <c r="U113" i="23" s="1"/>
  <c r="P15" i="23"/>
  <c r="T15" i="23" s="1"/>
  <c r="U15" i="23" s="1"/>
  <c r="P25" i="23"/>
  <c r="T25" i="23" s="1"/>
  <c r="U25" i="23" s="1"/>
  <c r="P20" i="23"/>
  <c r="T20" i="23" s="1"/>
  <c r="U20" i="23" s="1"/>
  <c r="P40" i="23"/>
  <c r="U40" i="23" s="1"/>
  <c r="P43" i="23"/>
  <c r="U43" i="23" s="1"/>
  <c r="P123" i="23"/>
  <c r="U123" i="23" s="1"/>
  <c r="P27" i="23"/>
  <c r="T27" i="23" s="1"/>
  <c r="U27" i="23" s="1"/>
  <c r="P17" i="23"/>
  <c r="T17" i="23" s="1"/>
  <c r="U17" i="23" s="1"/>
  <c r="P22" i="23"/>
  <c r="T22" i="23" s="1"/>
  <c r="U22" i="23" s="1"/>
  <c r="P14" i="23"/>
  <c r="P29" i="23"/>
  <c r="T29" i="23" s="1"/>
  <c r="U29" i="23" s="1"/>
  <c r="P24" i="23"/>
  <c r="T24" i="23" s="1"/>
  <c r="U24" i="23" s="1"/>
  <c r="P38" i="23"/>
  <c r="U38" i="23" s="1"/>
  <c r="P41" i="23"/>
  <c r="U41" i="23" s="1"/>
  <c r="P19" i="23"/>
  <c r="T19" i="23" s="1"/>
  <c r="U19" i="23" s="1"/>
  <c r="P122" i="23"/>
  <c r="U122" i="23" s="1"/>
  <c r="C107" i="30"/>
  <c r="H104" i="30"/>
  <c r="I107" i="30" s="1"/>
  <c r="P19" i="18"/>
  <c r="T19" i="18" s="1"/>
  <c r="U19" i="18" s="1"/>
  <c r="P16" i="18"/>
  <c r="T16" i="18" s="1"/>
  <c r="U16" i="18" s="1"/>
  <c r="P26" i="18"/>
  <c r="T26" i="18" s="1"/>
  <c r="U26" i="18" s="1"/>
  <c r="P122" i="18"/>
  <c r="U122" i="18" s="1"/>
  <c r="P21" i="18"/>
  <c r="T21" i="18" s="1"/>
  <c r="U21" i="18" s="1"/>
  <c r="P28" i="18"/>
  <c r="T28" i="18" s="1"/>
  <c r="U28" i="18" s="1"/>
  <c r="P39" i="18"/>
  <c r="U39" i="18" s="1"/>
  <c r="P42" i="18"/>
  <c r="U42" i="18" s="1"/>
  <c r="P18" i="18"/>
  <c r="T18" i="18" s="1"/>
  <c r="U18" i="18" s="1"/>
  <c r="P23" i="18"/>
  <c r="T23" i="18" s="1"/>
  <c r="U23" i="18" s="1"/>
  <c r="P121" i="18"/>
  <c r="U121" i="18" s="1"/>
  <c r="P20" i="18"/>
  <c r="T20" i="18" s="1"/>
  <c r="U20" i="18" s="1"/>
  <c r="P40" i="18"/>
  <c r="U40" i="18" s="1"/>
  <c r="P43" i="18"/>
  <c r="U43" i="18" s="1"/>
  <c r="P17" i="18"/>
  <c r="T17" i="18" s="1"/>
  <c r="U17" i="18" s="1"/>
  <c r="P22" i="18"/>
  <c r="T22" i="18" s="1"/>
  <c r="U22" i="18" s="1"/>
  <c r="P14" i="18"/>
  <c r="P29" i="18"/>
  <c r="T29" i="18" s="1"/>
  <c r="U29" i="18" s="1"/>
  <c r="P15" i="18"/>
  <c r="T15" i="18" s="1"/>
  <c r="U15" i="18" s="1"/>
  <c r="P113" i="18"/>
  <c r="U113" i="18" s="1"/>
  <c r="P24" i="18"/>
  <c r="T24" i="18" s="1"/>
  <c r="U24" i="18" s="1"/>
  <c r="P25" i="18"/>
  <c r="T25" i="18" s="1"/>
  <c r="U25" i="18" s="1"/>
  <c r="P41" i="18"/>
  <c r="U41" i="18" s="1"/>
  <c r="P123" i="18"/>
  <c r="U123" i="18" s="1"/>
  <c r="P27" i="18"/>
  <c r="T27" i="18" s="1"/>
  <c r="U27" i="18" s="1"/>
  <c r="P38" i="18"/>
  <c r="U38" i="18" s="1"/>
  <c r="P19" i="25"/>
  <c r="T19" i="25" s="1"/>
  <c r="U19" i="25" s="1"/>
  <c r="P16" i="25"/>
  <c r="T16" i="25" s="1"/>
  <c r="U16" i="25" s="1"/>
  <c r="P26" i="25"/>
  <c r="T26" i="25" s="1"/>
  <c r="U26" i="25" s="1"/>
  <c r="P18" i="25"/>
  <c r="T18" i="25" s="1"/>
  <c r="U18" i="25" s="1"/>
  <c r="P23" i="25"/>
  <c r="T23" i="25" s="1"/>
  <c r="U23" i="25" s="1"/>
  <c r="P39" i="25"/>
  <c r="U39" i="25" s="1"/>
  <c r="P42" i="25"/>
  <c r="U42" i="25" s="1"/>
  <c r="P28" i="25"/>
  <c r="T28" i="25" s="1"/>
  <c r="U28" i="25" s="1"/>
  <c r="P121" i="25"/>
  <c r="U121" i="25" s="1"/>
  <c r="P113" i="25"/>
  <c r="U113" i="25" s="1"/>
  <c r="P22" i="25"/>
  <c r="T22" i="25" s="1"/>
  <c r="U22" i="25" s="1"/>
  <c r="P24" i="25"/>
  <c r="T24" i="25" s="1"/>
  <c r="U24" i="25" s="1"/>
  <c r="P20" i="25"/>
  <c r="T20" i="25" s="1"/>
  <c r="U20" i="25" s="1"/>
  <c r="P40" i="25"/>
  <c r="U40" i="25" s="1"/>
  <c r="P43" i="25"/>
  <c r="U43" i="25" s="1"/>
  <c r="P123" i="25"/>
  <c r="U123" i="25" s="1"/>
  <c r="P14" i="25"/>
  <c r="P27" i="25"/>
  <c r="T27" i="25" s="1"/>
  <c r="U27" i="25" s="1"/>
  <c r="P25" i="25"/>
  <c r="T25" i="25" s="1"/>
  <c r="U25" i="25" s="1"/>
  <c r="P29" i="25"/>
  <c r="T29" i="25" s="1"/>
  <c r="U29" i="25" s="1"/>
  <c r="P38" i="25"/>
  <c r="U38" i="25" s="1"/>
  <c r="P41" i="25"/>
  <c r="U41" i="25" s="1"/>
  <c r="P21" i="25"/>
  <c r="T21" i="25" s="1"/>
  <c r="U21" i="25" s="1"/>
  <c r="P122" i="25"/>
  <c r="U122" i="25" s="1"/>
  <c r="P15" i="25"/>
  <c r="T15" i="25" s="1"/>
  <c r="U15" i="25" s="1"/>
  <c r="P17" i="25"/>
  <c r="T17" i="25" s="1"/>
  <c r="U17" i="25" s="1"/>
  <c r="P17" i="33"/>
  <c r="T17" i="33" s="1"/>
  <c r="U17" i="33" s="1"/>
  <c r="P22" i="33"/>
  <c r="T22" i="33" s="1"/>
  <c r="U22" i="33" s="1"/>
  <c r="P14" i="33"/>
  <c r="P29" i="33"/>
  <c r="T29" i="33" s="1"/>
  <c r="U29" i="33" s="1"/>
  <c r="P24" i="33"/>
  <c r="T24" i="33" s="1"/>
  <c r="U24" i="33" s="1"/>
  <c r="P38" i="33"/>
  <c r="U38" i="33" s="1"/>
  <c r="P41" i="33"/>
  <c r="U41" i="33" s="1"/>
  <c r="P19" i="33"/>
  <c r="T19" i="33" s="1"/>
  <c r="U19" i="33" s="1"/>
  <c r="P122" i="33"/>
  <c r="U122" i="33" s="1"/>
  <c r="P16" i="33"/>
  <c r="T16" i="33" s="1"/>
  <c r="U16" i="33" s="1"/>
  <c r="P26" i="33"/>
  <c r="T26" i="33" s="1"/>
  <c r="U26" i="33" s="1"/>
  <c r="P21" i="33"/>
  <c r="T21" i="33" s="1"/>
  <c r="U21" i="33" s="1"/>
  <c r="P28" i="33"/>
  <c r="T28" i="33" s="1"/>
  <c r="U28" i="33" s="1"/>
  <c r="P39" i="33"/>
  <c r="U39" i="33" s="1"/>
  <c r="P42" i="33"/>
  <c r="U42" i="33" s="1"/>
  <c r="P18" i="33"/>
  <c r="T18" i="33" s="1"/>
  <c r="U18" i="33" s="1"/>
  <c r="P23" i="33"/>
  <c r="T23" i="33" s="1"/>
  <c r="U23" i="33" s="1"/>
  <c r="P121" i="33"/>
  <c r="U121" i="33" s="1"/>
  <c r="P20" i="33"/>
  <c r="T20" i="33" s="1"/>
  <c r="U20" i="33" s="1"/>
  <c r="P40" i="33"/>
  <c r="U40" i="33" s="1"/>
  <c r="P43" i="33"/>
  <c r="U43" i="33" s="1"/>
  <c r="P123" i="33"/>
  <c r="U123" i="33" s="1"/>
  <c r="P15" i="33"/>
  <c r="T15" i="33" s="1"/>
  <c r="U15" i="33" s="1"/>
  <c r="P27" i="33"/>
  <c r="T27" i="33" s="1"/>
  <c r="U27" i="33" s="1"/>
  <c r="P25" i="33"/>
  <c r="T25" i="33" s="1"/>
  <c r="U25" i="33" s="1"/>
  <c r="P113" i="33"/>
  <c r="U113" i="33" s="1"/>
  <c r="P28" i="57"/>
  <c r="T28" i="57" s="1"/>
  <c r="U28" i="57" s="1"/>
  <c r="P39" i="57"/>
  <c r="U39" i="57" s="1"/>
  <c r="P42" i="57"/>
  <c r="U42" i="57" s="1"/>
  <c r="P113" i="57"/>
  <c r="U113" i="57" s="1"/>
  <c r="P15" i="57"/>
  <c r="T15" i="57" s="1"/>
  <c r="U15" i="57" s="1"/>
  <c r="P25" i="57"/>
  <c r="T25" i="57" s="1"/>
  <c r="U25" i="57" s="1"/>
  <c r="P27" i="57"/>
  <c r="T27" i="57" s="1"/>
  <c r="U27" i="57" s="1"/>
  <c r="P14" i="57"/>
  <c r="P29" i="57"/>
  <c r="T29" i="57" s="1"/>
  <c r="U29" i="57" s="1"/>
  <c r="P24" i="57"/>
  <c r="T24" i="57" s="1"/>
  <c r="U24" i="57" s="1"/>
  <c r="P38" i="57"/>
  <c r="U38" i="57" s="1"/>
  <c r="P41" i="57"/>
  <c r="U41" i="57" s="1"/>
  <c r="P19" i="57"/>
  <c r="T19" i="57" s="1"/>
  <c r="U19" i="57" s="1"/>
  <c r="P122" i="57"/>
  <c r="U122" i="57" s="1"/>
  <c r="P123" i="57"/>
  <c r="U123" i="57" s="1"/>
  <c r="P22" i="57"/>
  <c r="T22" i="57" s="1"/>
  <c r="U22" i="57" s="1"/>
  <c r="P16" i="57"/>
  <c r="T16" i="57" s="1"/>
  <c r="U16" i="57" s="1"/>
  <c r="P26" i="57"/>
  <c r="T26" i="57" s="1"/>
  <c r="U26" i="57" s="1"/>
  <c r="P121" i="57"/>
  <c r="U121" i="57" s="1"/>
  <c r="P23" i="57"/>
  <c r="T23" i="57" s="1"/>
  <c r="U23" i="57" s="1"/>
  <c r="P43" i="57"/>
  <c r="U43" i="57" s="1"/>
  <c r="P20" i="57"/>
  <c r="T20" i="57" s="1"/>
  <c r="U20" i="57" s="1"/>
  <c r="P17" i="57"/>
  <c r="T17" i="57" s="1"/>
  <c r="U17" i="57" s="1"/>
  <c r="P18" i="57"/>
  <c r="T18" i="57" s="1"/>
  <c r="U18" i="57" s="1"/>
  <c r="P40" i="57"/>
  <c r="U40" i="57" s="1"/>
  <c r="P21" i="57"/>
  <c r="T21" i="57" s="1"/>
  <c r="U21" i="57" s="1"/>
  <c r="I92" i="71"/>
  <c r="H88" i="71"/>
  <c r="I88" i="71" s="1"/>
  <c r="I85" i="71"/>
  <c r="I90" i="71"/>
  <c r="I85" i="48"/>
  <c r="I90" i="48"/>
  <c r="I92" i="48"/>
  <c r="H88" i="48"/>
  <c r="I88" i="48" s="1"/>
  <c r="P28" i="77"/>
  <c r="T28" i="77" s="1"/>
  <c r="U28" i="77" s="1"/>
  <c r="P39" i="77"/>
  <c r="U39" i="77" s="1"/>
  <c r="P42" i="77"/>
  <c r="U42" i="77" s="1"/>
  <c r="P18" i="77"/>
  <c r="T18" i="77" s="1"/>
  <c r="U18" i="77" s="1"/>
  <c r="P23" i="77"/>
  <c r="T23" i="77" s="1"/>
  <c r="U23" i="77" s="1"/>
  <c r="P121" i="77"/>
  <c r="U121" i="77" s="1"/>
  <c r="P113" i="77"/>
  <c r="U113" i="77" s="1"/>
  <c r="P15" i="77"/>
  <c r="T15" i="77" s="1"/>
  <c r="U15" i="77" s="1"/>
  <c r="P25" i="77"/>
  <c r="T25" i="77" s="1"/>
  <c r="U25" i="77" s="1"/>
  <c r="P20" i="77"/>
  <c r="T20" i="77" s="1"/>
  <c r="U20" i="77" s="1"/>
  <c r="P40" i="77"/>
  <c r="U40" i="77" s="1"/>
  <c r="P43" i="77"/>
  <c r="U43" i="77" s="1"/>
  <c r="P123" i="77"/>
  <c r="U123" i="77" s="1"/>
  <c r="P27" i="77"/>
  <c r="T27" i="77" s="1"/>
  <c r="U27" i="77" s="1"/>
  <c r="P17" i="77"/>
  <c r="T17" i="77" s="1"/>
  <c r="U17" i="77" s="1"/>
  <c r="P22" i="77"/>
  <c r="T22" i="77" s="1"/>
  <c r="U22" i="77" s="1"/>
  <c r="P14" i="77"/>
  <c r="P29" i="77"/>
  <c r="T29" i="77" s="1"/>
  <c r="U29" i="77" s="1"/>
  <c r="P24" i="77"/>
  <c r="T24" i="77" s="1"/>
  <c r="U24" i="77" s="1"/>
  <c r="P38" i="77"/>
  <c r="U38" i="77" s="1"/>
  <c r="P41" i="77"/>
  <c r="U41" i="77" s="1"/>
  <c r="P19" i="77"/>
  <c r="T19" i="77" s="1"/>
  <c r="U19" i="77" s="1"/>
  <c r="P122" i="77"/>
  <c r="U122" i="77" s="1"/>
  <c r="P16" i="77"/>
  <c r="T16" i="77" s="1"/>
  <c r="U16" i="77" s="1"/>
  <c r="P26" i="77"/>
  <c r="T26" i="77" s="1"/>
  <c r="U26" i="77" s="1"/>
  <c r="P21" i="77"/>
  <c r="T21" i="77" s="1"/>
  <c r="U21" i="77" s="1"/>
  <c r="P19" i="26"/>
  <c r="T19" i="26" s="1"/>
  <c r="U19" i="26" s="1"/>
  <c r="P122" i="26"/>
  <c r="U122" i="26" s="1"/>
  <c r="P16" i="26"/>
  <c r="T16" i="26" s="1"/>
  <c r="U16" i="26" s="1"/>
  <c r="P26" i="26"/>
  <c r="T26" i="26" s="1"/>
  <c r="U26" i="26" s="1"/>
  <c r="P21" i="26"/>
  <c r="T21" i="26" s="1"/>
  <c r="U21" i="26" s="1"/>
  <c r="P28" i="26"/>
  <c r="T28" i="26" s="1"/>
  <c r="U28" i="26" s="1"/>
  <c r="P39" i="26"/>
  <c r="U39" i="26" s="1"/>
  <c r="P42" i="26"/>
  <c r="U42" i="26" s="1"/>
  <c r="P18" i="26"/>
  <c r="T18" i="26" s="1"/>
  <c r="U18" i="26" s="1"/>
  <c r="P23" i="26"/>
  <c r="T23" i="26" s="1"/>
  <c r="U23" i="26" s="1"/>
  <c r="P121" i="26"/>
  <c r="U121" i="26" s="1"/>
  <c r="P113" i="26"/>
  <c r="U113" i="26" s="1"/>
  <c r="P15" i="26"/>
  <c r="T15" i="26" s="1"/>
  <c r="U15" i="26" s="1"/>
  <c r="P25" i="26"/>
  <c r="T25" i="26" s="1"/>
  <c r="U25" i="26" s="1"/>
  <c r="P20" i="26"/>
  <c r="T20" i="26" s="1"/>
  <c r="U20" i="26" s="1"/>
  <c r="P40" i="26"/>
  <c r="U40" i="26" s="1"/>
  <c r="P43" i="26"/>
  <c r="U43" i="26" s="1"/>
  <c r="P123" i="26"/>
  <c r="U123" i="26" s="1"/>
  <c r="P17" i="26"/>
  <c r="T17" i="26" s="1"/>
  <c r="U17" i="26" s="1"/>
  <c r="P22" i="26"/>
  <c r="T22" i="26" s="1"/>
  <c r="U22" i="26" s="1"/>
  <c r="P14" i="26"/>
  <c r="P29" i="26"/>
  <c r="T29" i="26" s="1"/>
  <c r="U29" i="26" s="1"/>
  <c r="P38" i="26"/>
  <c r="U38" i="26" s="1"/>
  <c r="P27" i="26"/>
  <c r="T27" i="26" s="1"/>
  <c r="U27" i="26" s="1"/>
  <c r="P41" i="26"/>
  <c r="U41" i="26" s="1"/>
  <c r="P24" i="26"/>
  <c r="T24" i="26" s="1"/>
  <c r="U24" i="26" s="1"/>
  <c r="I85" i="16"/>
  <c r="I90" i="16"/>
  <c r="I92" i="16"/>
  <c r="H88" i="16"/>
  <c r="I88" i="16" s="1"/>
  <c r="P19" i="78"/>
  <c r="T19" i="78" s="1"/>
  <c r="U19" i="78" s="1"/>
  <c r="P122" i="78"/>
  <c r="U122" i="78" s="1"/>
  <c r="P16" i="78"/>
  <c r="T16" i="78" s="1"/>
  <c r="U16" i="78" s="1"/>
  <c r="P26" i="78"/>
  <c r="T26" i="78" s="1"/>
  <c r="U26" i="78" s="1"/>
  <c r="P21" i="78"/>
  <c r="T21" i="78" s="1"/>
  <c r="U21" i="78" s="1"/>
  <c r="P28" i="78"/>
  <c r="T28" i="78" s="1"/>
  <c r="U28" i="78" s="1"/>
  <c r="P39" i="78"/>
  <c r="U39" i="78" s="1"/>
  <c r="P42" i="78"/>
  <c r="U42" i="78" s="1"/>
  <c r="P18" i="78"/>
  <c r="T18" i="78" s="1"/>
  <c r="U18" i="78" s="1"/>
  <c r="P23" i="78"/>
  <c r="T23" i="78" s="1"/>
  <c r="U23" i="78" s="1"/>
  <c r="P121" i="78"/>
  <c r="U121" i="78" s="1"/>
  <c r="P113" i="78"/>
  <c r="U113" i="78" s="1"/>
  <c r="P15" i="78"/>
  <c r="T15" i="78" s="1"/>
  <c r="U15" i="78" s="1"/>
  <c r="P25" i="78"/>
  <c r="T25" i="78" s="1"/>
  <c r="U25" i="78" s="1"/>
  <c r="P20" i="78"/>
  <c r="T20" i="78" s="1"/>
  <c r="U20" i="78" s="1"/>
  <c r="P40" i="78"/>
  <c r="U40" i="78" s="1"/>
  <c r="P43" i="78"/>
  <c r="U43" i="78" s="1"/>
  <c r="P123" i="78"/>
  <c r="U123" i="78" s="1"/>
  <c r="P27" i="78"/>
  <c r="T27" i="78" s="1"/>
  <c r="U27" i="78" s="1"/>
  <c r="P17" i="78"/>
  <c r="T17" i="78" s="1"/>
  <c r="U17" i="78" s="1"/>
  <c r="P22" i="78"/>
  <c r="T22" i="78" s="1"/>
  <c r="U22" i="78" s="1"/>
  <c r="P29" i="78"/>
  <c r="T29" i="78" s="1"/>
  <c r="U29" i="78" s="1"/>
  <c r="P14" i="78"/>
  <c r="P24" i="78"/>
  <c r="T24" i="78" s="1"/>
  <c r="U24" i="78" s="1"/>
  <c r="P38" i="78"/>
  <c r="U38" i="78" s="1"/>
  <c r="P41" i="78"/>
  <c r="U41" i="78" s="1"/>
  <c r="I30" i="30"/>
  <c r="C107" i="31"/>
  <c r="H104" i="31"/>
  <c r="I107" i="31" s="1"/>
  <c r="H104" i="23"/>
  <c r="I107" i="23" s="1"/>
  <c r="C107" i="23"/>
  <c r="I85" i="33"/>
  <c r="I90" i="33"/>
  <c r="I92" i="33"/>
  <c r="H88" i="33"/>
  <c r="I88" i="33" s="1"/>
  <c r="P17" i="36"/>
  <c r="T17" i="36" s="1"/>
  <c r="U17" i="36" s="1"/>
  <c r="P22" i="36"/>
  <c r="T22" i="36" s="1"/>
  <c r="U22" i="36" s="1"/>
  <c r="P14" i="36"/>
  <c r="P29" i="36"/>
  <c r="T29" i="36" s="1"/>
  <c r="U29" i="36" s="1"/>
  <c r="P24" i="36"/>
  <c r="T24" i="36" s="1"/>
  <c r="U24" i="36" s="1"/>
  <c r="P38" i="36"/>
  <c r="U38" i="36" s="1"/>
  <c r="P41" i="36"/>
  <c r="U41" i="36" s="1"/>
  <c r="P18" i="36"/>
  <c r="T18" i="36" s="1"/>
  <c r="U18" i="36" s="1"/>
  <c r="P23" i="36"/>
  <c r="T23" i="36" s="1"/>
  <c r="U23" i="36" s="1"/>
  <c r="P121" i="36"/>
  <c r="U121" i="36" s="1"/>
  <c r="P39" i="36"/>
  <c r="U39" i="36" s="1"/>
  <c r="P43" i="36"/>
  <c r="U43" i="36" s="1"/>
  <c r="P123" i="36"/>
  <c r="U123" i="36" s="1"/>
  <c r="P15" i="36"/>
  <c r="T15" i="36" s="1"/>
  <c r="U15" i="36" s="1"/>
  <c r="P27" i="36"/>
  <c r="T27" i="36" s="1"/>
  <c r="U27" i="36" s="1"/>
  <c r="P40" i="36"/>
  <c r="U40" i="36" s="1"/>
  <c r="P20" i="36"/>
  <c r="T20" i="36" s="1"/>
  <c r="U20" i="36" s="1"/>
  <c r="P25" i="36"/>
  <c r="T25" i="36" s="1"/>
  <c r="U25" i="36" s="1"/>
  <c r="P113" i="36"/>
  <c r="U113" i="36" s="1"/>
  <c r="P16" i="36"/>
  <c r="T16" i="36" s="1"/>
  <c r="U16" i="36" s="1"/>
  <c r="P28" i="36"/>
  <c r="T28" i="36" s="1"/>
  <c r="U28" i="36" s="1"/>
  <c r="P122" i="36"/>
  <c r="U122" i="36" s="1"/>
  <c r="P19" i="36"/>
  <c r="T19" i="36" s="1"/>
  <c r="U19" i="36" s="1"/>
  <c r="P21" i="36"/>
  <c r="T21" i="36" s="1"/>
  <c r="U21" i="36" s="1"/>
  <c r="P26" i="36"/>
  <c r="T26" i="36" s="1"/>
  <c r="U26" i="36" s="1"/>
  <c r="P42" i="36"/>
  <c r="U42" i="36" s="1"/>
  <c r="I92" i="32"/>
  <c r="H88" i="32"/>
  <c r="I88" i="32" s="1"/>
  <c r="I90" i="32"/>
  <c r="I85" i="32"/>
  <c r="H105" i="69"/>
  <c r="I107" i="69" s="1"/>
  <c r="C107" i="69"/>
  <c r="H104" i="67"/>
  <c r="I107" i="67" s="1"/>
  <c r="C107" i="67"/>
  <c r="H104" i="38"/>
  <c r="I107" i="38" s="1"/>
  <c r="C107" i="38"/>
  <c r="C107" i="77"/>
  <c r="H104" i="77"/>
  <c r="I107" i="77" s="1"/>
  <c r="C107" i="24"/>
  <c r="H104" i="24"/>
  <c r="I107" i="24" s="1"/>
  <c r="C107" i="16"/>
  <c r="H104" i="16"/>
  <c r="P15" i="56"/>
  <c r="T15" i="56" s="1"/>
  <c r="U15" i="56" s="1"/>
  <c r="P25" i="56"/>
  <c r="T25" i="56" s="1"/>
  <c r="U25" i="56" s="1"/>
  <c r="P27" i="56"/>
  <c r="T27" i="56" s="1"/>
  <c r="U27" i="56" s="1"/>
  <c r="P17" i="56"/>
  <c r="T17" i="56" s="1"/>
  <c r="U17" i="56" s="1"/>
  <c r="P22" i="56"/>
  <c r="T22" i="56" s="1"/>
  <c r="U22" i="56" s="1"/>
  <c r="P24" i="56"/>
  <c r="T24" i="56" s="1"/>
  <c r="U24" i="56" s="1"/>
  <c r="P38" i="56"/>
  <c r="U38" i="56" s="1"/>
  <c r="P41" i="56"/>
  <c r="U41" i="56" s="1"/>
  <c r="P16" i="56"/>
  <c r="T16" i="56" s="1"/>
  <c r="U16" i="56" s="1"/>
  <c r="P26" i="56"/>
  <c r="T26" i="56" s="1"/>
  <c r="U26" i="56" s="1"/>
  <c r="P21" i="56"/>
  <c r="T21" i="56" s="1"/>
  <c r="U21" i="56" s="1"/>
  <c r="P28" i="56"/>
  <c r="T28" i="56" s="1"/>
  <c r="U28" i="56" s="1"/>
  <c r="P39" i="56"/>
  <c r="U39" i="56" s="1"/>
  <c r="P42" i="56"/>
  <c r="U42" i="56" s="1"/>
  <c r="P123" i="56"/>
  <c r="U123" i="56" s="1"/>
  <c r="P18" i="56"/>
  <c r="T18" i="56" s="1"/>
  <c r="U18" i="56" s="1"/>
  <c r="P40" i="56"/>
  <c r="U40" i="56" s="1"/>
  <c r="P121" i="56"/>
  <c r="U121" i="56" s="1"/>
  <c r="P29" i="56"/>
  <c r="T29" i="56" s="1"/>
  <c r="U29" i="56" s="1"/>
  <c r="P19" i="56"/>
  <c r="T19" i="56" s="1"/>
  <c r="U19" i="56" s="1"/>
  <c r="P113" i="56"/>
  <c r="U113" i="56" s="1"/>
  <c r="P23" i="56"/>
  <c r="T23" i="56" s="1"/>
  <c r="U23" i="56" s="1"/>
  <c r="P122" i="56"/>
  <c r="U122" i="56" s="1"/>
  <c r="P14" i="56"/>
  <c r="P43" i="56"/>
  <c r="U43" i="56" s="1"/>
  <c r="P20" i="56"/>
  <c r="T20" i="56" s="1"/>
  <c r="U20" i="56" s="1"/>
  <c r="C107" i="45"/>
  <c r="H104" i="45"/>
  <c r="I107" i="45" s="1"/>
  <c r="I30" i="23"/>
  <c r="H88" i="70"/>
  <c r="I88" i="70" s="1"/>
  <c r="I92" i="70"/>
  <c r="I90" i="70"/>
  <c r="I85" i="70"/>
  <c r="C107" i="68"/>
  <c r="H104" i="68"/>
  <c r="I107" i="68" s="1"/>
  <c r="H88" i="35"/>
  <c r="I88" i="35" s="1"/>
  <c r="I85" i="35"/>
  <c r="I90" i="35"/>
  <c r="I92" i="35"/>
  <c r="I85" i="36"/>
  <c r="I90" i="36"/>
  <c r="H88" i="36"/>
  <c r="I88" i="36" s="1"/>
  <c r="I92" i="36"/>
  <c r="P19" i="32"/>
  <c r="T19" i="32" s="1"/>
  <c r="U19" i="32" s="1"/>
  <c r="P16" i="32"/>
  <c r="T16" i="32" s="1"/>
  <c r="U16" i="32" s="1"/>
  <c r="P26" i="32"/>
  <c r="T26" i="32" s="1"/>
  <c r="U26" i="32" s="1"/>
  <c r="P21" i="32"/>
  <c r="T21" i="32" s="1"/>
  <c r="U21" i="32" s="1"/>
  <c r="P28" i="32"/>
  <c r="T28" i="32" s="1"/>
  <c r="U28" i="32" s="1"/>
  <c r="P39" i="32"/>
  <c r="U39" i="32" s="1"/>
  <c r="P42" i="32"/>
  <c r="U42" i="32" s="1"/>
  <c r="P18" i="32"/>
  <c r="T18" i="32" s="1"/>
  <c r="U18" i="32" s="1"/>
  <c r="P23" i="32"/>
  <c r="T23" i="32" s="1"/>
  <c r="U23" i="32" s="1"/>
  <c r="P121" i="32"/>
  <c r="U121" i="32" s="1"/>
  <c r="P113" i="32"/>
  <c r="U113" i="32" s="1"/>
  <c r="P15" i="32"/>
  <c r="T15" i="32" s="1"/>
  <c r="U15" i="32" s="1"/>
  <c r="P25" i="32"/>
  <c r="T25" i="32" s="1"/>
  <c r="U25" i="32" s="1"/>
  <c r="P20" i="32"/>
  <c r="T20" i="32" s="1"/>
  <c r="U20" i="32" s="1"/>
  <c r="P40" i="32"/>
  <c r="U40" i="32" s="1"/>
  <c r="P43" i="32"/>
  <c r="U43" i="32" s="1"/>
  <c r="P14" i="32"/>
  <c r="P29" i="32"/>
  <c r="T29" i="32" s="1"/>
  <c r="U29" i="32" s="1"/>
  <c r="P17" i="32"/>
  <c r="T17" i="32" s="1"/>
  <c r="U17" i="32" s="1"/>
  <c r="P22" i="32"/>
  <c r="T22" i="32" s="1"/>
  <c r="U22" i="32" s="1"/>
  <c r="P41" i="32"/>
  <c r="U41" i="32" s="1"/>
  <c r="P122" i="32"/>
  <c r="U122" i="32" s="1"/>
  <c r="P27" i="32"/>
  <c r="T27" i="32" s="1"/>
  <c r="U27" i="32" s="1"/>
  <c r="P38" i="32"/>
  <c r="U38" i="32" s="1"/>
  <c r="P24" i="32"/>
  <c r="T24" i="32" s="1"/>
  <c r="U24" i="32" s="1"/>
  <c r="P123" i="32"/>
  <c r="U123" i="32" s="1"/>
  <c r="P20" i="24"/>
  <c r="T20" i="24" s="1"/>
  <c r="U20" i="24" s="1"/>
  <c r="P40" i="24"/>
  <c r="U40" i="24" s="1"/>
  <c r="P43" i="24"/>
  <c r="U43" i="24" s="1"/>
  <c r="P123" i="24"/>
  <c r="U123" i="24" s="1"/>
  <c r="P17" i="24"/>
  <c r="T17" i="24" s="1"/>
  <c r="U17" i="24" s="1"/>
  <c r="P22" i="24"/>
  <c r="T22" i="24" s="1"/>
  <c r="U22" i="24" s="1"/>
  <c r="P14" i="24"/>
  <c r="P29" i="24"/>
  <c r="T29" i="24" s="1"/>
  <c r="U29" i="24" s="1"/>
  <c r="P24" i="24"/>
  <c r="T24" i="24" s="1"/>
  <c r="U24" i="24" s="1"/>
  <c r="P38" i="24"/>
  <c r="U38" i="24" s="1"/>
  <c r="P41" i="24"/>
  <c r="U41" i="24" s="1"/>
  <c r="P16" i="24"/>
  <c r="T16" i="24" s="1"/>
  <c r="U16" i="24" s="1"/>
  <c r="P26" i="24"/>
  <c r="T26" i="24" s="1"/>
  <c r="U26" i="24" s="1"/>
  <c r="P18" i="24"/>
  <c r="T18" i="24" s="1"/>
  <c r="U18" i="24" s="1"/>
  <c r="P23" i="24"/>
  <c r="T23" i="24" s="1"/>
  <c r="U23" i="24" s="1"/>
  <c r="P121" i="24"/>
  <c r="U121" i="24" s="1"/>
  <c r="P19" i="24"/>
  <c r="T19" i="24" s="1"/>
  <c r="U19" i="24" s="1"/>
  <c r="P28" i="24"/>
  <c r="T28" i="24" s="1"/>
  <c r="U28" i="24" s="1"/>
  <c r="P25" i="24"/>
  <c r="T25" i="24" s="1"/>
  <c r="U25" i="24" s="1"/>
  <c r="P39" i="24"/>
  <c r="U39" i="24" s="1"/>
  <c r="P15" i="24"/>
  <c r="T15" i="24" s="1"/>
  <c r="U15" i="24" s="1"/>
  <c r="P113" i="24"/>
  <c r="U113" i="24" s="1"/>
  <c r="P21" i="24"/>
  <c r="T21" i="24" s="1"/>
  <c r="U21" i="24" s="1"/>
  <c r="P27" i="24"/>
  <c r="T27" i="24" s="1"/>
  <c r="U27" i="24" s="1"/>
  <c r="P122" i="24"/>
  <c r="U122" i="24" s="1"/>
  <c r="P42" i="24"/>
  <c r="U42" i="24" s="1"/>
  <c r="I85" i="75"/>
  <c r="I90" i="75"/>
  <c r="I92" i="75"/>
  <c r="H88" i="75"/>
  <c r="I88" i="75" s="1"/>
  <c r="H104" i="78"/>
  <c r="I107" i="78" s="1"/>
  <c r="C107" i="78"/>
  <c r="H88" i="50"/>
  <c r="I88" i="50" s="1"/>
  <c r="I85" i="50"/>
  <c r="I90" i="50"/>
  <c r="I92" i="50"/>
  <c r="P14" i="7"/>
  <c r="P16" i="7"/>
  <c r="T16" i="7" s="1"/>
  <c r="U16" i="7" s="1"/>
  <c r="P121" i="7"/>
  <c r="U121" i="7" s="1"/>
  <c r="P18" i="7"/>
  <c r="T18" i="7" s="1"/>
  <c r="U18" i="7" s="1"/>
  <c r="P20" i="7"/>
  <c r="T20" i="7" s="1"/>
  <c r="U20" i="7" s="1"/>
  <c r="P22" i="7"/>
  <c r="T22" i="7" s="1"/>
  <c r="U22" i="7" s="1"/>
  <c r="P24" i="7"/>
  <c r="T24" i="7" s="1"/>
  <c r="U24" i="7" s="1"/>
  <c r="P26" i="7"/>
  <c r="T26" i="7" s="1"/>
  <c r="U26" i="7" s="1"/>
  <c r="P28" i="7"/>
  <c r="T28" i="7" s="1"/>
  <c r="U28" i="7" s="1"/>
  <c r="P39" i="7"/>
  <c r="U39" i="7" s="1"/>
  <c r="P42" i="7"/>
  <c r="U42" i="7" s="1"/>
  <c r="P113" i="7"/>
  <c r="U113" i="7" s="1"/>
  <c r="P123" i="7"/>
  <c r="U123" i="7" s="1"/>
  <c r="P15" i="7"/>
  <c r="T15" i="7" s="1"/>
  <c r="U15" i="7" s="1"/>
  <c r="P40" i="7"/>
  <c r="U40" i="7" s="1"/>
  <c r="P43" i="7"/>
  <c r="U43" i="7" s="1"/>
  <c r="P17" i="7"/>
  <c r="T17" i="7" s="1"/>
  <c r="U17" i="7" s="1"/>
  <c r="P19" i="7"/>
  <c r="T19" i="7" s="1"/>
  <c r="U19" i="7" s="1"/>
  <c r="P23" i="7"/>
  <c r="T23" i="7" s="1"/>
  <c r="U23" i="7" s="1"/>
  <c r="P27" i="7"/>
  <c r="T27" i="7" s="1"/>
  <c r="U27" i="7" s="1"/>
  <c r="P38" i="7"/>
  <c r="U38" i="7" s="1"/>
  <c r="P122" i="7"/>
  <c r="U122" i="7" s="1"/>
  <c r="P41" i="7"/>
  <c r="U41" i="7" s="1"/>
  <c r="P21" i="7"/>
  <c r="T21" i="7" s="1"/>
  <c r="U21" i="7" s="1"/>
  <c r="P25" i="7"/>
  <c r="T25" i="7" s="1"/>
  <c r="U25" i="7" s="1"/>
  <c r="P29" i="7"/>
  <c r="T29" i="7" s="1"/>
  <c r="U29" i="7" s="1"/>
  <c r="H96" i="56" l="1"/>
  <c r="I96" i="56" s="1"/>
  <c r="I128" i="56" s="1"/>
  <c r="H102" i="60"/>
  <c r="I107" i="7"/>
  <c r="H103" i="60"/>
  <c r="H88" i="7"/>
  <c r="I88" i="7" s="1"/>
  <c r="H98" i="7"/>
  <c r="I98" i="7" s="1"/>
  <c r="I86" i="60"/>
  <c r="C74" i="60"/>
  <c r="H75" i="60" s="1"/>
  <c r="F52" i="38"/>
  <c r="I52" i="38" s="1"/>
  <c r="F52" i="22"/>
  <c r="I52" i="22" s="1"/>
  <c r="F51" i="69"/>
  <c r="I51" i="69" s="1"/>
  <c r="F51" i="37"/>
  <c r="I51" i="37" s="1"/>
  <c r="F52" i="76"/>
  <c r="I52" i="76" s="1"/>
  <c r="F51" i="36"/>
  <c r="I51" i="36" s="1"/>
  <c r="F51" i="68"/>
  <c r="I51" i="68" s="1"/>
  <c r="F52" i="48"/>
  <c r="I52" i="48" s="1"/>
  <c r="F52" i="58"/>
  <c r="I52" i="58" s="1"/>
  <c r="F51" i="40"/>
  <c r="I51" i="40" s="1"/>
  <c r="F52" i="25"/>
  <c r="I52" i="25" s="1"/>
  <c r="F51" i="56"/>
  <c r="I51" i="56" s="1"/>
  <c r="F51" i="52"/>
  <c r="I51" i="52" s="1"/>
  <c r="F51" i="42"/>
  <c r="I51" i="42" s="1"/>
  <c r="F52" i="21"/>
  <c r="I52" i="21" s="1"/>
  <c r="F52" i="31"/>
  <c r="I52" i="31" s="1"/>
  <c r="F51" i="45"/>
  <c r="I51" i="45" s="1"/>
  <c r="F51" i="27"/>
  <c r="I51" i="27" s="1"/>
  <c r="F51" i="24"/>
  <c r="I51" i="24" s="1"/>
  <c r="F51" i="51"/>
  <c r="I51" i="51" s="1"/>
  <c r="F51" i="25"/>
  <c r="I51" i="25" s="1"/>
  <c r="F51" i="55"/>
  <c r="I51" i="55" s="1"/>
  <c r="F52" i="50"/>
  <c r="I52" i="50" s="1"/>
  <c r="F52" i="45"/>
  <c r="I52" i="45" s="1"/>
  <c r="F52" i="77"/>
  <c r="I52" i="77" s="1"/>
  <c r="F52" i="47"/>
  <c r="I52" i="47" s="1"/>
  <c r="F51" i="71"/>
  <c r="I51" i="71" s="1"/>
  <c r="F52" i="78"/>
  <c r="I52" i="78" s="1"/>
  <c r="F52" i="28"/>
  <c r="I52" i="28" s="1"/>
  <c r="F51" i="57"/>
  <c r="I51" i="57" s="1"/>
  <c r="F52" i="44"/>
  <c r="I52" i="44" s="1"/>
  <c r="F51" i="34"/>
  <c r="I51" i="34" s="1"/>
  <c r="F52" i="35"/>
  <c r="I52" i="35" s="1"/>
  <c r="F52" i="39"/>
  <c r="I52" i="39" s="1"/>
  <c r="F51" i="39"/>
  <c r="I51" i="39" s="1"/>
  <c r="F51" i="50"/>
  <c r="I51" i="50" s="1"/>
  <c r="F51" i="76"/>
  <c r="I51" i="76" s="1"/>
  <c r="F52" i="40"/>
  <c r="I52" i="40" s="1"/>
  <c r="F51" i="38"/>
  <c r="I51" i="38" s="1"/>
  <c r="I53" i="38" s="1"/>
  <c r="F52" i="55"/>
  <c r="I52" i="55" s="1"/>
  <c r="U124" i="34"/>
  <c r="F51" i="28"/>
  <c r="I51" i="28" s="1"/>
  <c r="U124" i="52"/>
  <c r="U44" i="34"/>
  <c r="O105" i="52"/>
  <c r="T105" i="52" s="1"/>
  <c r="F52" i="37"/>
  <c r="I52" i="37" s="1"/>
  <c r="F51" i="77"/>
  <c r="I51" i="77" s="1"/>
  <c r="F52" i="69"/>
  <c r="I52" i="69" s="1"/>
  <c r="F51" i="31"/>
  <c r="I51" i="31" s="1"/>
  <c r="F52" i="34"/>
  <c r="I52" i="34" s="1"/>
  <c r="F51" i="58"/>
  <c r="I51" i="58" s="1"/>
  <c r="F51" i="47"/>
  <c r="I51" i="47" s="1"/>
  <c r="O105" i="34"/>
  <c r="T105" i="34" s="1"/>
  <c r="C105" i="60"/>
  <c r="F51" i="78"/>
  <c r="I51" i="78" s="1"/>
  <c r="F52" i="24"/>
  <c r="I52" i="24" s="1"/>
  <c r="F52" i="51"/>
  <c r="I52" i="51" s="1"/>
  <c r="F52" i="57"/>
  <c r="I52" i="57" s="1"/>
  <c r="I91" i="60"/>
  <c r="I93" i="60"/>
  <c r="I89" i="60"/>
  <c r="O106" i="34"/>
  <c r="T106" i="34" s="1"/>
  <c r="P30" i="34"/>
  <c r="P78" i="34" s="1"/>
  <c r="T79" i="34" s="1"/>
  <c r="T85" i="34" s="1"/>
  <c r="U85" i="34" s="1"/>
  <c r="P30" i="52"/>
  <c r="P69" i="52" s="1"/>
  <c r="T70" i="52" s="1"/>
  <c r="F52" i="36"/>
  <c r="I52" i="36" s="1"/>
  <c r="I53" i="36" s="1"/>
  <c r="F51" i="44"/>
  <c r="I51" i="44" s="1"/>
  <c r="R44" i="34"/>
  <c r="F52" i="68"/>
  <c r="I52" i="68" s="1"/>
  <c r="F52" i="52"/>
  <c r="I52" i="52" s="1"/>
  <c r="F52" i="56"/>
  <c r="I52" i="56" s="1"/>
  <c r="F52" i="27"/>
  <c r="I52" i="27" s="1"/>
  <c r="U44" i="52"/>
  <c r="I46" i="17"/>
  <c r="O106" i="52"/>
  <c r="T106" i="52" s="1"/>
  <c r="I46" i="66"/>
  <c r="F52" i="71"/>
  <c r="I52" i="71" s="1"/>
  <c r="T14" i="52"/>
  <c r="U14" i="52" s="1"/>
  <c r="U30" i="52" s="1"/>
  <c r="I46" i="67"/>
  <c r="F52" i="42"/>
  <c r="I52" i="42" s="1"/>
  <c r="F51" i="21"/>
  <c r="I51" i="21" s="1"/>
  <c r="I46" i="18"/>
  <c r="R44" i="52"/>
  <c r="I46" i="7"/>
  <c r="I46" i="32"/>
  <c r="I46" i="26"/>
  <c r="I46" i="20"/>
  <c r="F51" i="35"/>
  <c r="I51" i="35" s="1"/>
  <c r="I46" i="23"/>
  <c r="I46" i="70"/>
  <c r="F51" i="48"/>
  <c r="I51" i="48" s="1"/>
  <c r="F51" i="22"/>
  <c r="I51" i="22" s="1"/>
  <c r="I46" i="16"/>
  <c r="I46" i="30"/>
  <c r="H94" i="33"/>
  <c r="I94" i="33" s="1"/>
  <c r="H96" i="33"/>
  <c r="I96" i="33" s="1"/>
  <c r="I53" i="43"/>
  <c r="H94" i="43"/>
  <c r="I94" i="43" s="1"/>
  <c r="H96" i="43"/>
  <c r="I96" i="43" s="1"/>
  <c r="H94" i="32"/>
  <c r="I94" i="32" s="1"/>
  <c r="H96" i="32"/>
  <c r="I96" i="32" s="1"/>
  <c r="H73" i="35"/>
  <c r="H73" i="44"/>
  <c r="H73" i="70"/>
  <c r="H73" i="58"/>
  <c r="H73" i="30"/>
  <c r="H73" i="31"/>
  <c r="H73" i="66"/>
  <c r="I53" i="33"/>
  <c r="H73" i="26"/>
  <c r="H73" i="16"/>
  <c r="H73" i="7"/>
  <c r="H73" i="68"/>
  <c r="H73" i="20"/>
  <c r="H73" i="78"/>
  <c r="H73" i="28"/>
  <c r="H73" i="21"/>
  <c r="H73" i="17"/>
  <c r="H73" i="22"/>
  <c r="H73" i="67"/>
  <c r="H73" i="45"/>
  <c r="H73" i="76"/>
  <c r="H73" i="57"/>
  <c r="H73" i="36"/>
  <c r="H73" i="37"/>
  <c r="H73" i="69"/>
  <c r="H73" i="23"/>
  <c r="H73" i="51"/>
  <c r="H73" i="71"/>
  <c r="H73" i="18"/>
  <c r="H73" i="50"/>
  <c r="H73" i="40"/>
  <c r="H73" i="42"/>
  <c r="H73" i="27"/>
  <c r="H73" i="55"/>
  <c r="H73" i="47"/>
  <c r="H73" i="77"/>
  <c r="H73" i="38"/>
  <c r="H73" i="39"/>
  <c r="H73" i="24"/>
  <c r="H73" i="75"/>
  <c r="H73" i="52"/>
  <c r="H73" i="25"/>
  <c r="H73" i="48"/>
  <c r="H73" i="34"/>
  <c r="F51" i="75"/>
  <c r="I51" i="75" s="1"/>
  <c r="F52" i="75"/>
  <c r="I52" i="75" s="1"/>
  <c r="U124" i="50"/>
  <c r="U124" i="35"/>
  <c r="U124" i="42"/>
  <c r="U124" i="68"/>
  <c r="U124" i="55"/>
  <c r="U124" i="20"/>
  <c r="U124" i="44"/>
  <c r="U124" i="75"/>
  <c r="U124" i="25"/>
  <c r="U124" i="30"/>
  <c r="U124" i="16"/>
  <c r="I30" i="60"/>
  <c r="I32" i="60" s="1"/>
  <c r="I47" i="60" s="1"/>
  <c r="U124" i="24"/>
  <c r="T14" i="24"/>
  <c r="U14" i="24" s="1"/>
  <c r="P30" i="24"/>
  <c r="O105" i="26"/>
  <c r="T105" i="26" s="1"/>
  <c r="O106" i="57"/>
  <c r="T106" i="57" s="1"/>
  <c r="O106" i="33"/>
  <c r="T106" i="33" s="1"/>
  <c r="O106" i="25"/>
  <c r="T106" i="25" s="1"/>
  <c r="P30" i="23"/>
  <c r="T14" i="23"/>
  <c r="U14" i="23" s="1"/>
  <c r="U124" i="23"/>
  <c r="U124" i="48"/>
  <c r="U44" i="20"/>
  <c r="R44" i="20"/>
  <c r="P30" i="38"/>
  <c r="T14" i="38"/>
  <c r="U14" i="38" s="1"/>
  <c r="U124" i="38"/>
  <c r="P30" i="66"/>
  <c r="T14" i="66"/>
  <c r="U14" i="66" s="1"/>
  <c r="O105" i="51"/>
  <c r="T105" i="51" s="1"/>
  <c r="P30" i="69"/>
  <c r="T14" i="69"/>
  <c r="U14" i="69" s="1"/>
  <c r="O106" i="21"/>
  <c r="T106" i="21" s="1"/>
  <c r="P30" i="37"/>
  <c r="T14" i="37"/>
  <c r="U14" i="37" s="1"/>
  <c r="O105" i="28"/>
  <c r="T105" i="28" s="1"/>
  <c r="O106" i="56"/>
  <c r="T106" i="56" s="1"/>
  <c r="O106" i="36"/>
  <c r="T106" i="36" s="1"/>
  <c r="O106" i="78"/>
  <c r="T106" i="78" s="1"/>
  <c r="U44" i="26"/>
  <c r="R44" i="26"/>
  <c r="U44" i="33"/>
  <c r="R44" i="33"/>
  <c r="O106" i="18"/>
  <c r="T106" i="18" s="1"/>
  <c r="R44" i="22"/>
  <c r="U44" i="22"/>
  <c r="T14" i="16"/>
  <c r="U14" i="16" s="1"/>
  <c r="P30" i="16"/>
  <c r="O105" i="31"/>
  <c r="T105" i="31" s="1"/>
  <c r="O106" i="27"/>
  <c r="T106" i="27" s="1"/>
  <c r="T14" i="55"/>
  <c r="U14" i="55" s="1"/>
  <c r="P30" i="55"/>
  <c r="O106" i="69"/>
  <c r="T106" i="69" s="1"/>
  <c r="U44" i="43"/>
  <c r="R44" i="43"/>
  <c r="O105" i="40"/>
  <c r="T105" i="40" s="1"/>
  <c r="O105" i="17"/>
  <c r="T105" i="17" s="1"/>
  <c r="T14" i="44"/>
  <c r="U14" i="44" s="1"/>
  <c r="P30" i="44"/>
  <c r="O106" i="37"/>
  <c r="T106" i="37" s="1"/>
  <c r="P30" i="35"/>
  <c r="T14" i="35"/>
  <c r="U14" i="35" s="1"/>
  <c r="O106" i="24"/>
  <c r="T106" i="24" s="1"/>
  <c r="O105" i="32"/>
  <c r="T105" i="32" s="1"/>
  <c r="P30" i="56"/>
  <c r="T14" i="56"/>
  <c r="U14" i="56" s="1"/>
  <c r="U44" i="77"/>
  <c r="R44" i="77"/>
  <c r="O105" i="25"/>
  <c r="T105" i="25" s="1"/>
  <c r="O106" i="23"/>
  <c r="T106" i="23" s="1"/>
  <c r="U124" i="71"/>
  <c r="O105" i="71"/>
  <c r="T105" i="71" s="1"/>
  <c r="O106" i="20"/>
  <c r="T106" i="20" s="1"/>
  <c r="T14" i="30"/>
  <c r="U14" i="30" s="1"/>
  <c r="P30" i="30"/>
  <c r="O106" i="38"/>
  <c r="T106" i="38" s="1"/>
  <c r="U44" i="27"/>
  <c r="R44" i="27"/>
  <c r="P30" i="21"/>
  <c r="T14" i="21"/>
  <c r="U14" i="21" s="1"/>
  <c r="R44" i="45"/>
  <c r="U44" i="45"/>
  <c r="O106" i="17"/>
  <c r="T106" i="17" s="1"/>
  <c r="U124" i="39"/>
  <c r="U44" i="50"/>
  <c r="R44" i="50"/>
  <c r="U44" i="75"/>
  <c r="R44" i="75"/>
  <c r="U124" i="26"/>
  <c r="O105" i="48"/>
  <c r="T105" i="48" s="1"/>
  <c r="R44" i="71"/>
  <c r="U44" i="71"/>
  <c r="O106" i="51"/>
  <c r="T106" i="51" s="1"/>
  <c r="P30" i="67"/>
  <c r="T14" i="67"/>
  <c r="U14" i="67" s="1"/>
  <c r="O105" i="55"/>
  <c r="T105" i="55" s="1"/>
  <c r="T30" i="34"/>
  <c r="U30" i="34"/>
  <c r="O104" i="34"/>
  <c r="T104" i="34" s="1"/>
  <c r="U44" i="68"/>
  <c r="R44" i="68"/>
  <c r="T14" i="47"/>
  <c r="U14" i="47" s="1"/>
  <c r="P30" i="47"/>
  <c r="O105" i="35"/>
  <c r="T105" i="35" s="1"/>
  <c r="O106" i="35"/>
  <c r="T106" i="35" s="1"/>
  <c r="T14" i="76"/>
  <c r="U14" i="76" s="1"/>
  <c r="P30" i="76"/>
  <c r="R44" i="36"/>
  <c r="U44" i="36"/>
  <c r="U44" i="57"/>
  <c r="R44" i="57"/>
  <c r="P30" i="18"/>
  <c r="T14" i="18"/>
  <c r="U14" i="18" s="1"/>
  <c r="O106" i="71"/>
  <c r="T106" i="71" s="1"/>
  <c r="T14" i="20"/>
  <c r="U14" i="20" s="1"/>
  <c r="P30" i="20"/>
  <c r="O105" i="30"/>
  <c r="T105" i="30" s="1"/>
  <c r="O105" i="16"/>
  <c r="T105" i="16" s="1"/>
  <c r="O105" i="66"/>
  <c r="T105" i="66" s="1"/>
  <c r="U124" i="67"/>
  <c r="O106" i="55"/>
  <c r="T106" i="55" s="1"/>
  <c r="O106" i="68"/>
  <c r="T106" i="68" s="1"/>
  <c r="O106" i="42"/>
  <c r="T106" i="42" s="1"/>
  <c r="T14" i="42"/>
  <c r="U14" i="42" s="1"/>
  <c r="P30" i="42"/>
  <c r="O106" i="39"/>
  <c r="T106" i="39" s="1"/>
  <c r="O105" i="47"/>
  <c r="T105" i="47" s="1"/>
  <c r="U124" i="28"/>
  <c r="O105" i="75"/>
  <c r="T105" i="75" s="1"/>
  <c r="I107" i="16"/>
  <c r="P30" i="26"/>
  <c r="T14" i="26"/>
  <c r="U14" i="26" s="1"/>
  <c r="O106" i="7"/>
  <c r="T106" i="7" s="1"/>
  <c r="O105" i="24"/>
  <c r="T105" i="24" s="1"/>
  <c r="U124" i="32"/>
  <c r="O106" i="26"/>
  <c r="T106" i="26" s="1"/>
  <c r="U124" i="57"/>
  <c r="T14" i="33"/>
  <c r="U14" i="33" s="1"/>
  <c r="P30" i="33"/>
  <c r="U44" i="25"/>
  <c r="R44" i="25"/>
  <c r="U44" i="18"/>
  <c r="R44" i="18"/>
  <c r="O105" i="58"/>
  <c r="T105" i="58" s="1"/>
  <c r="U44" i="51"/>
  <c r="R44" i="51"/>
  <c r="P30" i="43"/>
  <c r="T14" i="43"/>
  <c r="U14" i="43" s="1"/>
  <c r="U124" i="43"/>
  <c r="U44" i="39"/>
  <c r="R44" i="39"/>
  <c r="O105" i="37"/>
  <c r="T105" i="37" s="1"/>
  <c r="P30" i="70"/>
  <c r="T14" i="70"/>
  <c r="U14" i="70" s="1"/>
  <c r="O105" i="76"/>
  <c r="T105" i="76" s="1"/>
  <c r="U124" i="7"/>
  <c r="U44" i="78"/>
  <c r="R44" i="78"/>
  <c r="P30" i="77"/>
  <c r="T14" i="77"/>
  <c r="U14" i="77" s="1"/>
  <c r="U124" i="77"/>
  <c r="O105" i="20"/>
  <c r="T105" i="20" s="1"/>
  <c r="U44" i="58"/>
  <c r="R44" i="58"/>
  <c r="U124" i="58"/>
  <c r="T14" i="27"/>
  <c r="U14" i="27" s="1"/>
  <c r="P30" i="27"/>
  <c r="O106" i="67"/>
  <c r="T106" i="67" s="1"/>
  <c r="P30" i="45"/>
  <c r="T14" i="45"/>
  <c r="U14" i="45" s="1"/>
  <c r="U124" i="45"/>
  <c r="P30" i="50"/>
  <c r="T14" i="50"/>
  <c r="U14" i="50" s="1"/>
  <c r="O106" i="28"/>
  <c r="T106" i="28" s="1"/>
  <c r="U44" i="28"/>
  <c r="R44" i="28"/>
  <c r="O106" i="32"/>
  <c r="T106" i="32" s="1"/>
  <c r="O105" i="33"/>
  <c r="T105" i="33" s="1"/>
  <c r="P30" i="48"/>
  <c r="T14" i="48"/>
  <c r="U14" i="48" s="1"/>
  <c r="U44" i="48"/>
  <c r="R44" i="48"/>
  <c r="P30" i="58"/>
  <c r="T14" i="58"/>
  <c r="U14" i="58" s="1"/>
  <c r="P30" i="31"/>
  <c r="T14" i="31"/>
  <c r="U14" i="31" s="1"/>
  <c r="O106" i="31"/>
  <c r="T106" i="31" s="1"/>
  <c r="O105" i="67"/>
  <c r="T105" i="67" s="1"/>
  <c r="O106" i="43"/>
  <c r="T106" i="43" s="1"/>
  <c r="O105" i="21"/>
  <c r="T105" i="21" s="1"/>
  <c r="U124" i="40"/>
  <c r="U124" i="47"/>
  <c r="O105" i="50"/>
  <c r="T105" i="50" s="1"/>
  <c r="O105" i="70"/>
  <c r="T105" i="70" s="1"/>
  <c r="T14" i="7"/>
  <c r="U14" i="7" s="1"/>
  <c r="P30" i="7"/>
  <c r="R44" i="24"/>
  <c r="U44" i="24"/>
  <c r="O105" i="56"/>
  <c r="T105" i="56" s="1"/>
  <c r="T14" i="36"/>
  <c r="U14" i="36" s="1"/>
  <c r="P30" i="36"/>
  <c r="O105" i="78"/>
  <c r="T105" i="78" s="1"/>
  <c r="O105" i="77"/>
  <c r="T105" i="77" s="1"/>
  <c r="O106" i="77"/>
  <c r="T106" i="77" s="1"/>
  <c r="O105" i="57"/>
  <c r="T105" i="57" s="1"/>
  <c r="P30" i="57"/>
  <c r="T14" i="57"/>
  <c r="U14" i="57" s="1"/>
  <c r="R44" i="23"/>
  <c r="U44" i="23"/>
  <c r="O106" i="48"/>
  <c r="T106" i="48" s="1"/>
  <c r="O105" i="22"/>
  <c r="T105" i="22" s="1"/>
  <c r="U124" i="22"/>
  <c r="R44" i="38"/>
  <c r="U44" i="38"/>
  <c r="O105" i="38"/>
  <c r="T105" i="38" s="1"/>
  <c r="O106" i="58"/>
  <c r="T106" i="58" s="1"/>
  <c r="U124" i="66"/>
  <c r="U124" i="31"/>
  <c r="U124" i="51"/>
  <c r="P30" i="51"/>
  <c r="T14" i="51"/>
  <c r="U14" i="51" s="1"/>
  <c r="O105" i="27"/>
  <c r="T105" i="27" s="1"/>
  <c r="U44" i="67"/>
  <c r="R44" i="67"/>
  <c r="R44" i="69"/>
  <c r="U44" i="69"/>
  <c r="O106" i="40"/>
  <c r="T106" i="40" s="1"/>
  <c r="O106" i="45"/>
  <c r="T106" i="45" s="1"/>
  <c r="U44" i="42"/>
  <c r="R44" i="42"/>
  <c r="O105" i="44"/>
  <c r="T105" i="44" s="1"/>
  <c r="O106" i="47"/>
  <c r="T106" i="47" s="1"/>
  <c r="O106" i="50"/>
  <c r="T106" i="50" s="1"/>
  <c r="U124" i="70"/>
  <c r="U44" i="7"/>
  <c r="R44" i="7"/>
  <c r="P30" i="32"/>
  <c r="T14" i="32"/>
  <c r="U14" i="32" s="1"/>
  <c r="O105" i="23"/>
  <c r="T105" i="23" s="1"/>
  <c r="O106" i="30"/>
  <c r="T106" i="30" s="1"/>
  <c r="U44" i="16"/>
  <c r="R44" i="16"/>
  <c r="U44" i="55"/>
  <c r="R44" i="55"/>
  <c r="O105" i="43"/>
  <c r="T105" i="43" s="1"/>
  <c r="T14" i="68"/>
  <c r="U14" i="68" s="1"/>
  <c r="P30" i="68"/>
  <c r="U44" i="40"/>
  <c r="R44" i="40"/>
  <c r="U124" i="17"/>
  <c r="T14" i="39"/>
  <c r="U14" i="39" s="1"/>
  <c r="P30" i="39"/>
  <c r="U44" i="37"/>
  <c r="R44" i="37"/>
  <c r="U44" i="35"/>
  <c r="R44" i="35"/>
  <c r="U124" i="76"/>
  <c r="O105" i="7"/>
  <c r="T105" i="7" s="1"/>
  <c r="U124" i="56"/>
  <c r="P30" i="78"/>
  <c r="T14" i="78"/>
  <c r="U14" i="78" s="1"/>
  <c r="U124" i="33"/>
  <c r="P30" i="25"/>
  <c r="T14" i="25"/>
  <c r="U14" i="25" s="1"/>
  <c r="O105" i="18"/>
  <c r="T105" i="18" s="1"/>
  <c r="O106" i="22"/>
  <c r="T106" i="22" s="1"/>
  <c r="U44" i="30"/>
  <c r="R44" i="30"/>
  <c r="R44" i="66"/>
  <c r="U44" i="66"/>
  <c r="O106" i="66"/>
  <c r="T106" i="66" s="1"/>
  <c r="U44" i="31"/>
  <c r="R44" i="31"/>
  <c r="O105" i="68"/>
  <c r="T105" i="68" s="1"/>
  <c r="U124" i="21"/>
  <c r="R44" i="21"/>
  <c r="U44" i="21"/>
  <c r="T14" i="40"/>
  <c r="U14" i="40" s="1"/>
  <c r="P30" i="40"/>
  <c r="U44" i="17"/>
  <c r="R44" i="17"/>
  <c r="O105" i="42"/>
  <c r="T105" i="42" s="1"/>
  <c r="P30" i="28"/>
  <c r="T14" i="28"/>
  <c r="U14" i="28" s="1"/>
  <c r="T14" i="75"/>
  <c r="U14" i="75" s="1"/>
  <c r="P30" i="75"/>
  <c r="O106" i="70"/>
  <c r="T106" i="70" s="1"/>
  <c r="R44" i="32"/>
  <c r="U44" i="32"/>
  <c r="U44" i="56"/>
  <c r="R44" i="56"/>
  <c r="O105" i="36"/>
  <c r="T105" i="36" s="1"/>
  <c r="U124" i="36"/>
  <c r="U124" i="78"/>
  <c r="U124" i="18"/>
  <c r="T14" i="71"/>
  <c r="U14" i="71" s="1"/>
  <c r="P30" i="71"/>
  <c r="P30" i="22"/>
  <c r="T14" i="22"/>
  <c r="U14" i="22" s="1"/>
  <c r="O106" i="16"/>
  <c r="T106" i="16" s="1"/>
  <c r="U124" i="27"/>
  <c r="O105" i="69"/>
  <c r="T105" i="69" s="1"/>
  <c r="U124" i="69"/>
  <c r="O105" i="45"/>
  <c r="T105" i="45" s="1"/>
  <c r="P30" i="17"/>
  <c r="T14" i="17"/>
  <c r="U14" i="17" s="1"/>
  <c r="O106" i="44"/>
  <c r="T106" i="44" s="1"/>
  <c r="U44" i="44"/>
  <c r="R44" i="44"/>
  <c r="O105" i="39"/>
  <c r="T105" i="39" s="1"/>
  <c r="U44" i="47"/>
  <c r="R44" i="47"/>
  <c r="U124" i="37"/>
  <c r="O106" i="75"/>
  <c r="T106" i="75" s="1"/>
  <c r="U44" i="70"/>
  <c r="R44" i="70"/>
  <c r="O106" i="76"/>
  <c r="T106" i="76" s="1"/>
  <c r="U44" i="76"/>
  <c r="R44" i="76"/>
  <c r="I53" i="71" l="1"/>
  <c r="I53" i="22"/>
  <c r="T88" i="52"/>
  <c r="U88" i="52" s="1"/>
  <c r="T98" i="52"/>
  <c r="U98" i="52" s="1"/>
  <c r="I105" i="60"/>
  <c r="I53" i="76"/>
  <c r="I53" i="77"/>
  <c r="I53" i="52"/>
  <c r="I53" i="45"/>
  <c r="I53" i="78"/>
  <c r="I53" i="48"/>
  <c r="I53" i="44"/>
  <c r="I53" i="68"/>
  <c r="I53" i="50"/>
  <c r="I53" i="24"/>
  <c r="I53" i="58"/>
  <c r="I53" i="27"/>
  <c r="I53" i="47"/>
  <c r="I53" i="69"/>
  <c r="I53" i="42"/>
  <c r="I53" i="25"/>
  <c r="I53" i="51"/>
  <c r="I53" i="37"/>
  <c r="I53" i="39"/>
  <c r="I53" i="35"/>
  <c r="I128" i="43"/>
  <c r="I130" i="43" s="1"/>
  <c r="H135" i="43" s="1"/>
  <c r="I135" i="43" s="1"/>
  <c r="I128" i="33"/>
  <c r="I130" i="33" s="1"/>
  <c r="H135" i="33" s="1"/>
  <c r="I135" i="33" s="1"/>
  <c r="I53" i="21"/>
  <c r="I53" i="57"/>
  <c r="I53" i="56"/>
  <c r="I130" i="56" s="1"/>
  <c r="H135" i="56" s="1"/>
  <c r="I135" i="56" s="1"/>
  <c r="F52" i="67"/>
  <c r="I52" i="67" s="1"/>
  <c r="F52" i="70"/>
  <c r="I52" i="70" s="1"/>
  <c r="F52" i="23"/>
  <c r="I52" i="23" s="1"/>
  <c r="F51" i="66"/>
  <c r="I51" i="66" s="1"/>
  <c r="F51" i="20"/>
  <c r="I51" i="20" s="1"/>
  <c r="I53" i="28"/>
  <c r="F52" i="26"/>
  <c r="I52" i="26" s="1"/>
  <c r="F51" i="17"/>
  <c r="I51" i="17" s="1"/>
  <c r="F52" i="32"/>
  <c r="I52" i="32" s="1"/>
  <c r="I128" i="32"/>
  <c r="I53" i="55"/>
  <c r="F52" i="7"/>
  <c r="I52" i="7" s="1"/>
  <c r="I53" i="34"/>
  <c r="F51" i="30"/>
  <c r="I51" i="30" s="1"/>
  <c r="I53" i="31"/>
  <c r="F52" i="16"/>
  <c r="I52" i="16" s="1"/>
  <c r="F51" i="18"/>
  <c r="I51" i="18" s="1"/>
  <c r="I53" i="40"/>
  <c r="F51" i="67"/>
  <c r="I51" i="67" s="1"/>
  <c r="F51" i="70"/>
  <c r="I51" i="70" s="1"/>
  <c r="F52" i="20"/>
  <c r="I52" i="20" s="1"/>
  <c r="P81" i="34"/>
  <c r="T82" i="34" s="1"/>
  <c r="T90" i="34" s="1"/>
  <c r="U90" i="34" s="1"/>
  <c r="P75" i="34"/>
  <c r="T76" i="34" s="1"/>
  <c r="T92" i="34" s="1"/>
  <c r="U92" i="34" s="1"/>
  <c r="P69" i="34"/>
  <c r="T70" i="34" s="1"/>
  <c r="T30" i="52"/>
  <c r="P72" i="52" s="1"/>
  <c r="O104" i="52"/>
  <c r="F52" i="30"/>
  <c r="I52" i="30" s="1"/>
  <c r="F51" i="7"/>
  <c r="I51" i="7" s="1"/>
  <c r="P75" i="52"/>
  <c r="T76" i="52" s="1"/>
  <c r="T92" i="52" s="1"/>
  <c r="U92" i="52" s="1"/>
  <c r="P81" i="52"/>
  <c r="T82" i="52" s="1"/>
  <c r="T90" i="52" s="1"/>
  <c r="U90" i="52" s="1"/>
  <c r="P78" i="52"/>
  <c r="T79" i="52" s="1"/>
  <c r="T85" i="52" s="1"/>
  <c r="U85" i="52" s="1"/>
  <c r="H95" i="60"/>
  <c r="H97" i="60"/>
  <c r="F52" i="66"/>
  <c r="I52" i="66" s="1"/>
  <c r="F51" i="26"/>
  <c r="I51" i="26" s="1"/>
  <c r="F51" i="32"/>
  <c r="I51" i="32" s="1"/>
  <c r="F51" i="16"/>
  <c r="I51" i="16" s="1"/>
  <c r="F51" i="23"/>
  <c r="I51" i="23" s="1"/>
  <c r="U46" i="52"/>
  <c r="R51" i="52"/>
  <c r="U51" i="52" s="1"/>
  <c r="R52" i="52"/>
  <c r="U52" i="52" s="1"/>
  <c r="U46" i="34"/>
  <c r="R51" i="34"/>
  <c r="U51" i="34" s="1"/>
  <c r="R52" i="34"/>
  <c r="U52" i="34" s="1"/>
  <c r="F52" i="18"/>
  <c r="I52" i="18" s="1"/>
  <c r="F52" i="17"/>
  <c r="I52" i="17" s="1"/>
  <c r="H94" i="36"/>
  <c r="I94" i="36" s="1"/>
  <c r="H96" i="36"/>
  <c r="I96" i="36" s="1"/>
  <c r="H94" i="68"/>
  <c r="I94" i="68" s="1"/>
  <c r="H96" i="68"/>
  <c r="I96" i="68" s="1"/>
  <c r="H94" i="24"/>
  <c r="I94" i="24" s="1"/>
  <c r="H96" i="24"/>
  <c r="I96" i="24" s="1"/>
  <c r="H94" i="42"/>
  <c r="I94" i="42" s="1"/>
  <c r="H96" i="42"/>
  <c r="I96" i="42" s="1"/>
  <c r="H94" i="57"/>
  <c r="I94" i="57" s="1"/>
  <c r="H96" i="57"/>
  <c r="I96" i="57" s="1"/>
  <c r="H94" i="70"/>
  <c r="I94" i="70" s="1"/>
  <c r="H96" i="70"/>
  <c r="I96" i="70" s="1"/>
  <c r="H94" i="39"/>
  <c r="I94" i="39" s="1"/>
  <c r="H96" i="39"/>
  <c r="I96" i="39" s="1"/>
  <c r="H94" i="40"/>
  <c r="I94" i="40" s="1"/>
  <c r="H96" i="40"/>
  <c r="I96" i="40" s="1"/>
  <c r="H94" i="76"/>
  <c r="I94" i="76" s="1"/>
  <c r="H96" i="76"/>
  <c r="I96" i="76" s="1"/>
  <c r="H94" i="44"/>
  <c r="I94" i="44" s="1"/>
  <c r="H96" i="44"/>
  <c r="I96" i="44" s="1"/>
  <c r="H94" i="38"/>
  <c r="I94" i="38" s="1"/>
  <c r="H96" i="38"/>
  <c r="I96" i="38" s="1"/>
  <c r="H94" i="50"/>
  <c r="I94" i="50" s="1"/>
  <c r="H96" i="50"/>
  <c r="I96" i="50" s="1"/>
  <c r="H94" i="45"/>
  <c r="I94" i="45" s="1"/>
  <c r="H96" i="45"/>
  <c r="I96" i="45" s="1"/>
  <c r="H94" i="7"/>
  <c r="I94" i="7" s="1"/>
  <c r="H96" i="7"/>
  <c r="I96" i="7" s="1"/>
  <c r="H94" i="35"/>
  <c r="I94" i="35" s="1"/>
  <c r="H96" i="35"/>
  <c r="I96" i="35" s="1"/>
  <c r="H94" i="77"/>
  <c r="I94" i="77" s="1"/>
  <c r="H96" i="77"/>
  <c r="I96" i="77" s="1"/>
  <c r="H94" i="18"/>
  <c r="I94" i="18" s="1"/>
  <c r="H96" i="18"/>
  <c r="I96" i="18" s="1"/>
  <c r="H94" i="67"/>
  <c r="I94" i="67" s="1"/>
  <c r="H96" i="67"/>
  <c r="I96" i="67" s="1"/>
  <c r="H94" i="16"/>
  <c r="I94" i="16" s="1"/>
  <c r="H96" i="16"/>
  <c r="I96" i="16" s="1"/>
  <c r="H94" i="22"/>
  <c r="I94" i="22" s="1"/>
  <c r="H96" i="22"/>
  <c r="I96" i="22" s="1"/>
  <c r="H94" i="26"/>
  <c r="I94" i="26" s="1"/>
  <c r="H96" i="26"/>
  <c r="I96" i="26" s="1"/>
  <c r="H94" i="17"/>
  <c r="I94" i="17" s="1"/>
  <c r="H96" i="17"/>
  <c r="I96" i="17" s="1"/>
  <c r="H94" i="34"/>
  <c r="I94" i="34" s="1"/>
  <c r="H96" i="34"/>
  <c r="I96" i="34" s="1"/>
  <c r="H94" i="71"/>
  <c r="I94" i="71" s="1"/>
  <c r="H96" i="71"/>
  <c r="I96" i="71" s="1"/>
  <c r="H94" i="21"/>
  <c r="I94" i="21" s="1"/>
  <c r="H96" i="21"/>
  <c r="I96" i="21" s="1"/>
  <c r="H94" i="66"/>
  <c r="I94" i="66" s="1"/>
  <c r="H96" i="66"/>
  <c r="I96" i="66" s="1"/>
  <c r="H94" i="48"/>
  <c r="I94" i="48" s="1"/>
  <c r="H96" i="48"/>
  <c r="I96" i="48" s="1"/>
  <c r="H94" i="51"/>
  <c r="I94" i="51" s="1"/>
  <c r="H96" i="51"/>
  <c r="I96" i="51" s="1"/>
  <c r="H94" i="28"/>
  <c r="I94" i="28" s="1"/>
  <c r="H96" i="28"/>
  <c r="I96" i="28" s="1"/>
  <c r="H94" i="31"/>
  <c r="I94" i="31" s="1"/>
  <c r="H96" i="31"/>
  <c r="I96" i="31" s="1"/>
  <c r="H94" i="25"/>
  <c r="I94" i="25" s="1"/>
  <c r="H96" i="25"/>
  <c r="I96" i="25" s="1"/>
  <c r="H94" i="47"/>
  <c r="I94" i="47" s="1"/>
  <c r="H96" i="47"/>
  <c r="I96" i="47" s="1"/>
  <c r="H94" i="23"/>
  <c r="I94" i="23" s="1"/>
  <c r="H96" i="23"/>
  <c r="I96" i="23" s="1"/>
  <c r="H94" i="78"/>
  <c r="I94" i="78" s="1"/>
  <c r="H96" i="78"/>
  <c r="I96" i="78" s="1"/>
  <c r="H94" i="30"/>
  <c r="I94" i="30" s="1"/>
  <c r="H96" i="30"/>
  <c r="I96" i="30" s="1"/>
  <c r="H94" i="52"/>
  <c r="I94" i="52" s="1"/>
  <c r="H96" i="52"/>
  <c r="I96" i="52" s="1"/>
  <c r="H94" i="55"/>
  <c r="I94" i="55" s="1"/>
  <c r="H96" i="55"/>
  <c r="I96" i="55" s="1"/>
  <c r="H94" i="69"/>
  <c r="I94" i="69" s="1"/>
  <c r="H96" i="69"/>
  <c r="I96" i="69" s="1"/>
  <c r="H94" i="58"/>
  <c r="I94" i="58" s="1"/>
  <c r="H96" i="58"/>
  <c r="I96" i="58" s="1"/>
  <c r="H94" i="75"/>
  <c r="I94" i="75" s="1"/>
  <c r="H96" i="75"/>
  <c r="I96" i="75" s="1"/>
  <c r="H94" i="27"/>
  <c r="I94" i="27" s="1"/>
  <c r="H96" i="27"/>
  <c r="I96" i="27" s="1"/>
  <c r="H94" i="37"/>
  <c r="I94" i="37" s="1"/>
  <c r="H96" i="37"/>
  <c r="I96" i="37" s="1"/>
  <c r="H94" i="20"/>
  <c r="I94" i="20" s="1"/>
  <c r="H96" i="20"/>
  <c r="I96" i="20" s="1"/>
  <c r="P69" i="58"/>
  <c r="T70" i="58" s="1"/>
  <c r="P78" i="58"/>
  <c r="T79" i="58" s="1"/>
  <c r="T85" i="58" s="1"/>
  <c r="U85" i="58" s="1"/>
  <c r="P81" i="58"/>
  <c r="T82" i="58" s="1"/>
  <c r="T90" i="58" s="1"/>
  <c r="U90" i="58" s="1"/>
  <c r="P75" i="58"/>
  <c r="T76" i="58" s="1"/>
  <c r="T92" i="58" s="1"/>
  <c r="U92" i="58" s="1"/>
  <c r="P69" i="50"/>
  <c r="T70" i="50" s="1"/>
  <c r="P81" i="50"/>
  <c r="T82" i="50" s="1"/>
  <c r="T90" i="50" s="1"/>
  <c r="U90" i="50" s="1"/>
  <c r="P78" i="50"/>
  <c r="T79" i="50" s="1"/>
  <c r="T85" i="50" s="1"/>
  <c r="U85" i="50" s="1"/>
  <c r="P75" i="50"/>
  <c r="T76" i="50" s="1"/>
  <c r="T92" i="50" s="1"/>
  <c r="U92" i="50" s="1"/>
  <c r="P69" i="33"/>
  <c r="T70" i="33" s="1"/>
  <c r="P75" i="33"/>
  <c r="T76" i="33" s="1"/>
  <c r="T92" i="33" s="1"/>
  <c r="U92" i="33" s="1"/>
  <c r="P78" i="33"/>
  <c r="T79" i="33" s="1"/>
  <c r="T85" i="33" s="1"/>
  <c r="U85" i="33" s="1"/>
  <c r="P81" i="33"/>
  <c r="T82" i="33" s="1"/>
  <c r="T90" i="33" s="1"/>
  <c r="U90" i="33" s="1"/>
  <c r="P69" i="66"/>
  <c r="T70" i="66" s="1"/>
  <c r="P75" i="66"/>
  <c r="T76" i="66" s="1"/>
  <c r="T92" i="66" s="1"/>
  <c r="U92" i="66" s="1"/>
  <c r="P81" i="66"/>
  <c r="T82" i="66" s="1"/>
  <c r="T90" i="66" s="1"/>
  <c r="U90" i="66" s="1"/>
  <c r="P78" i="66"/>
  <c r="T79" i="66" s="1"/>
  <c r="T85" i="66" s="1"/>
  <c r="U85" i="66" s="1"/>
  <c r="P69" i="67"/>
  <c r="T70" i="67" s="1"/>
  <c r="P75" i="67"/>
  <c r="T76" i="67" s="1"/>
  <c r="T92" i="67" s="1"/>
  <c r="U92" i="67" s="1"/>
  <c r="P81" i="67"/>
  <c r="T82" i="67" s="1"/>
  <c r="T90" i="67" s="1"/>
  <c r="U90" i="67" s="1"/>
  <c r="P78" i="67"/>
  <c r="T79" i="67" s="1"/>
  <c r="T85" i="67" s="1"/>
  <c r="U85" i="67" s="1"/>
  <c r="P69" i="77"/>
  <c r="T70" i="77" s="1"/>
  <c r="P81" i="77"/>
  <c r="T82" i="77" s="1"/>
  <c r="T90" i="77" s="1"/>
  <c r="U90" i="77" s="1"/>
  <c r="P78" i="77"/>
  <c r="T79" i="77" s="1"/>
  <c r="T85" i="77" s="1"/>
  <c r="U85" i="77" s="1"/>
  <c r="P75" i="77"/>
  <c r="T76" i="77" s="1"/>
  <c r="T92" i="77" s="1"/>
  <c r="U92" i="77" s="1"/>
  <c r="P69" i="20"/>
  <c r="T70" i="20" s="1"/>
  <c r="P81" i="20"/>
  <c r="T82" i="20" s="1"/>
  <c r="T90" i="20" s="1"/>
  <c r="U90" i="20" s="1"/>
  <c r="P78" i="20"/>
  <c r="T79" i="20" s="1"/>
  <c r="T85" i="20" s="1"/>
  <c r="U85" i="20" s="1"/>
  <c r="P75" i="20"/>
  <c r="T76" i="20" s="1"/>
  <c r="T92" i="20" s="1"/>
  <c r="U92" i="20" s="1"/>
  <c r="P69" i="21"/>
  <c r="T70" i="21" s="1"/>
  <c r="P81" i="21"/>
  <c r="T82" i="21" s="1"/>
  <c r="T90" i="21" s="1"/>
  <c r="U90" i="21" s="1"/>
  <c r="P75" i="21"/>
  <c r="T76" i="21" s="1"/>
  <c r="T92" i="21" s="1"/>
  <c r="U92" i="21" s="1"/>
  <c r="P78" i="21"/>
  <c r="T79" i="21" s="1"/>
  <c r="T85" i="21" s="1"/>
  <c r="U85" i="21" s="1"/>
  <c r="P69" i="35"/>
  <c r="T70" i="35" s="1"/>
  <c r="P78" i="35"/>
  <c r="T79" i="35" s="1"/>
  <c r="T85" i="35" s="1"/>
  <c r="U85" i="35" s="1"/>
  <c r="P75" i="35"/>
  <c r="T76" i="35" s="1"/>
  <c r="T92" i="35" s="1"/>
  <c r="U92" i="35" s="1"/>
  <c r="P81" i="35"/>
  <c r="T82" i="35" s="1"/>
  <c r="T90" i="35" s="1"/>
  <c r="U90" i="35" s="1"/>
  <c r="P69" i="36"/>
  <c r="T70" i="36" s="1"/>
  <c r="P81" i="36"/>
  <c r="T82" i="36" s="1"/>
  <c r="T90" i="36" s="1"/>
  <c r="U90" i="36" s="1"/>
  <c r="P78" i="36"/>
  <c r="T79" i="36" s="1"/>
  <c r="T85" i="36" s="1"/>
  <c r="U85" i="36" s="1"/>
  <c r="P75" i="36"/>
  <c r="T76" i="36" s="1"/>
  <c r="T92" i="36" s="1"/>
  <c r="U92" i="36" s="1"/>
  <c r="P69" i="43"/>
  <c r="T70" i="43" s="1"/>
  <c r="P81" i="43"/>
  <c r="T82" i="43" s="1"/>
  <c r="T90" i="43" s="1"/>
  <c r="U90" i="43" s="1"/>
  <c r="P78" i="43"/>
  <c r="T79" i="43" s="1"/>
  <c r="T85" i="43" s="1"/>
  <c r="U85" i="43" s="1"/>
  <c r="P75" i="43"/>
  <c r="T76" i="43" s="1"/>
  <c r="T92" i="43" s="1"/>
  <c r="U92" i="43" s="1"/>
  <c r="P69" i="16"/>
  <c r="T70" i="16" s="1"/>
  <c r="P78" i="16"/>
  <c r="T79" i="16" s="1"/>
  <c r="T85" i="16" s="1"/>
  <c r="U85" i="16" s="1"/>
  <c r="P81" i="16"/>
  <c r="T82" i="16" s="1"/>
  <c r="T90" i="16" s="1"/>
  <c r="U90" i="16" s="1"/>
  <c r="P75" i="16"/>
  <c r="T76" i="16" s="1"/>
  <c r="T92" i="16" s="1"/>
  <c r="U92" i="16" s="1"/>
  <c r="P69" i="38"/>
  <c r="T70" i="38" s="1"/>
  <c r="P78" i="38"/>
  <c r="T79" i="38" s="1"/>
  <c r="T85" i="38" s="1"/>
  <c r="U85" i="38" s="1"/>
  <c r="P81" i="38"/>
  <c r="T82" i="38" s="1"/>
  <c r="T90" i="38" s="1"/>
  <c r="U90" i="38" s="1"/>
  <c r="P75" i="38"/>
  <c r="T76" i="38" s="1"/>
  <c r="T92" i="38" s="1"/>
  <c r="U92" i="38" s="1"/>
  <c r="P69" i="24"/>
  <c r="T70" i="24" s="1"/>
  <c r="P78" i="24"/>
  <c r="T79" i="24" s="1"/>
  <c r="T85" i="24" s="1"/>
  <c r="U85" i="24" s="1"/>
  <c r="P81" i="24"/>
  <c r="T82" i="24" s="1"/>
  <c r="T90" i="24" s="1"/>
  <c r="U90" i="24" s="1"/>
  <c r="P75" i="24"/>
  <c r="T76" i="24" s="1"/>
  <c r="T92" i="24" s="1"/>
  <c r="U92" i="24" s="1"/>
  <c r="P69" i="25"/>
  <c r="T70" i="25" s="1"/>
  <c r="P81" i="25"/>
  <c r="T82" i="25" s="1"/>
  <c r="T90" i="25" s="1"/>
  <c r="U90" i="25" s="1"/>
  <c r="P75" i="25"/>
  <c r="T76" i="25" s="1"/>
  <c r="T92" i="25" s="1"/>
  <c r="U92" i="25" s="1"/>
  <c r="P78" i="25"/>
  <c r="T79" i="25" s="1"/>
  <c r="T85" i="25" s="1"/>
  <c r="U85" i="25" s="1"/>
  <c r="P69" i="48"/>
  <c r="T70" i="48" s="1"/>
  <c r="P78" i="48"/>
  <c r="T79" i="48" s="1"/>
  <c r="T85" i="48" s="1"/>
  <c r="U85" i="48" s="1"/>
  <c r="P81" i="48"/>
  <c r="T82" i="48" s="1"/>
  <c r="T90" i="48" s="1"/>
  <c r="U90" i="48" s="1"/>
  <c r="P75" i="48"/>
  <c r="T76" i="48" s="1"/>
  <c r="T92" i="48" s="1"/>
  <c r="U92" i="48" s="1"/>
  <c r="P69" i="42"/>
  <c r="T70" i="42" s="1"/>
  <c r="P75" i="42"/>
  <c r="T76" i="42" s="1"/>
  <c r="T92" i="42" s="1"/>
  <c r="U92" i="42" s="1"/>
  <c r="P78" i="42"/>
  <c r="T79" i="42" s="1"/>
  <c r="T85" i="42" s="1"/>
  <c r="U85" i="42" s="1"/>
  <c r="P81" i="42"/>
  <c r="T82" i="42" s="1"/>
  <c r="T90" i="42" s="1"/>
  <c r="U90" i="42" s="1"/>
  <c r="P69" i="47"/>
  <c r="T70" i="47" s="1"/>
  <c r="P75" i="47"/>
  <c r="T76" i="47" s="1"/>
  <c r="T92" i="47" s="1"/>
  <c r="U92" i="47" s="1"/>
  <c r="P81" i="47"/>
  <c r="T82" i="47" s="1"/>
  <c r="T90" i="47" s="1"/>
  <c r="U90" i="47" s="1"/>
  <c r="P78" i="47"/>
  <c r="T79" i="47" s="1"/>
  <c r="T85" i="47" s="1"/>
  <c r="U85" i="47" s="1"/>
  <c r="P69" i="44"/>
  <c r="T70" i="44" s="1"/>
  <c r="P78" i="44"/>
  <c r="T79" i="44" s="1"/>
  <c r="T85" i="44" s="1"/>
  <c r="U85" i="44" s="1"/>
  <c r="P81" i="44"/>
  <c r="T82" i="44" s="1"/>
  <c r="T90" i="44" s="1"/>
  <c r="U90" i="44" s="1"/>
  <c r="P75" i="44"/>
  <c r="T76" i="44" s="1"/>
  <c r="T92" i="44" s="1"/>
  <c r="U92" i="44" s="1"/>
  <c r="P69" i="45"/>
  <c r="T70" i="45" s="1"/>
  <c r="P75" i="45"/>
  <c r="T76" i="45" s="1"/>
  <c r="T92" i="45" s="1"/>
  <c r="U92" i="45" s="1"/>
  <c r="P81" i="45"/>
  <c r="T82" i="45" s="1"/>
  <c r="T90" i="45" s="1"/>
  <c r="U90" i="45" s="1"/>
  <c r="P78" i="45"/>
  <c r="T79" i="45" s="1"/>
  <c r="T85" i="45" s="1"/>
  <c r="U85" i="45" s="1"/>
  <c r="P69" i="40"/>
  <c r="T70" i="40" s="1"/>
  <c r="P78" i="40"/>
  <c r="T79" i="40" s="1"/>
  <c r="T85" i="40" s="1"/>
  <c r="U85" i="40" s="1"/>
  <c r="P81" i="40"/>
  <c r="T82" i="40" s="1"/>
  <c r="T90" i="40" s="1"/>
  <c r="U90" i="40" s="1"/>
  <c r="P75" i="40"/>
  <c r="T76" i="40" s="1"/>
  <c r="T92" i="40" s="1"/>
  <c r="U92" i="40" s="1"/>
  <c r="P69" i="39"/>
  <c r="T70" i="39" s="1"/>
  <c r="P75" i="39"/>
  <c r="T76" i="39" s="1"/>
  <c r="T92" i="39" s="1"/>
  <c r="U92" i="39" s="1"/>
  <c r="P78" i="39"/>
  <c r="T79" i="39" s="1"/>
  <c r="T85" i="39" s="1"/>
  <c r="U85" i="39" s="1"/>
  <c r="P81" i="39"/>
  <c r="T82" i="39" s="1"/>
  <c r="T90" i="39" s="1"/>
  <c r="U90" i="39" s="1"/>
  <c r="P69" i="27"/>
  <c r="T70" i="27" s="1"/>
  <c r="P78" i="27"/>
  <c r="T79" i="27" s="1"/>
  <c r="T85" i="27" s="1"/>
  <c r="U85" i="27" s="1"/>
  <c r="P81" i="27"/>
  <c r="T82" i="27" s="1"/>
  <c r="T90" i="27" s="1"/>
  <c r="U90" i="27" s="1"/>
  <c r="P75" i="27"/>
  <c r="T76" i="27" s="1"/>
  <c r="T92" i="27" s="1"/>
  <c r="U92" i="27" s="1"/>
  <c r="P69" i="51"/>
  <c r="T70" i="51" s="1"/>
  <c r="P81" i="51"/>
  <c r="T82" i="51" s="1"/>
  <c r="T90" i="51" s="1"/>
  <c r="U90" i="51" s="1"/>
  <c r="P78" i="51"/>
  <c r="T79" i="51" s="1"/>
  <c r="T85" i="51" s="1"/>
  <c r="U85" i="51" s="1"/>
  <c r="P75" i="51"/>
  <c r="T76" i="51" s="1"/>
  <c r="T92" i="51" s="1"/>
  <c r="U92" i="51" s="1"/>
  <c r="P69" i="18"/>
  <c r="T70" i="18" s="1"/>
  <c r="P75" i="18"/>
  <c r="T76" i="18" s="1"/>
  <c r="T92" i="18" s="1"/>
  <c r="U92" i="18" s="1"/>
  <c r="P81" i="18"/>
  <c r="T82" i="18" s="1"/>
  <c r="T90" i="18" s="1"/>
  <c r="U90" i="18" s="1"/>
  <c r="P78" i="18"/>
  <c r="T79" i="18" s="1"/>
  <c r="T85" i="18" s="1"/>
  <c r="U85" i="18" s="1"/>
  <c r="P69" i="37"/>
  <c r="T70" i="37" s="1"/>
  <c r="P78" i="37"/>
  <c r="T79" i="37" s="1"/>
  <c r="T85" i="37" s="1"/>
  <c r="U85" i="37" s="1"/>
  <c r="P81" i="37"/>
  <c r="T82" i="37" s="1"/>
  <c r="T90" i="37" s="1"/>
  <c r="U90" i="37" s="1"/>
  <c r="P75" i="37"/>
  <c r="T76" i="37" s="1"/>
  <c r="T92" i="37" s="1"/>
  <c r="U92" i="37" s="1"/>
  <c r="P69" i="56"/>
  <c r="T70" i="56" s="1"/>
  <c r="P75" i="56"/>
  <c r="T76" i="56" s="1"/>
  <c r="T92" i="56" s="1"/>
  <c r="U92" i="56" s="1"/>
  <c r="P81" i="56"/>
  <c r="T82" i="56" s="1"/>
  <c r="T90" i="56" s="1"/>
  <c r="U90" i="56" s="1"/>
  <c r="P78" i="56"/>
  <c r="T79" i="56" s="1"/>
  <c r="T85" i="56" s="1"/>
  <c r="U85" i="56" s="1"/>
  <c r="P69" i="78"/>
  <c r="T70" i="78" s="1"/>
  <c r="P75" i="78"/>
  <c r="T76" i="78" s="1"/>
  <c r="T92" i="78" s="1"/>
  <c r="U92" i="78" s="1"/>
  <c r="P78" i="78"/>
  <c r="T79" i="78" s="1"/>
  <c r="T85" i="78" s="1"/>
  <c r="U85" i="78" s="1"/>
  <c r="P81" i="78"/>
  <c r="T82" i="78" s="1"/>
  <c r="T90" i="78" s="1"/>
  <c r="U90" i="78" s="1"/>
  <c r="P69" i="22"/>
  <c r="T70" i="22" s="1"/>
  <c r="P78" i="22"/>
  <c r="T79" i="22" s="1"/>
  <c r="T85" i="22" s="1"/>
  <c r="U85" i="22" s="1"/>
  <c r="P81" i="22"/>
  <c r="T82" i="22" s="1"/>
  <c r="T90" i="22" s="1"/>
  <c r="U90" i="22" s="1"/>
  <c r="P75" i="22"/>
  <c r="T76" i="22" s="1"/>
  <c r="T92" i="22" s="1"/>
  <c r="U92" i="22" s="1"/>
  <c r="P78" i="7"/>
  <c r="T79" i="7" s="1"/>
  <c r="T85" i="7" s="1"/>
  <c r="U85" i="7" s="1"/>
  <c r="P81" i="7"/>
  <c r="T82" i="7" s="1"/>
  <c r="T90" i="7" s="1"/>
  <c r="U90" i="7" s="1"/>
  <c r="P69" i="75"/>
  <c r="T70" i="75" s="1"/>
  <c r="P81" i="75"/>
  <c r="T82" i="75" s="1"/>
  <c r="T90" i="75" s="1"/>
  <c r="U90" i="75" s="1"/>
  <c r="P75" i="75"/>
  <c r="T76" i="75" s="1"/>
  <c r="T92" i="75" s="1"/>
  <c r="U92" i="75" s="1"/>
  <c r="P78" i="75"/>
  <c r="T79" i="75" s="1"/>
  <c r="T85" i="75" s="1"/>
  <c r="U85" i="75" s="1"/>
  <c r="P69" i="32"/>
  <c r="T70" i="32" s="1"/>
  <c r="P78" i="32"/>
  <c r="T79" i="32" s="1"/>
  <c r="T85" i="32" s="1"/>
  <c r="U85" i="32" s="1"/>
  <c r="P81" i="32"/>
  <c r="T82" i="32" s="1"/>
  <c r="T90" i="32" s="1"/>
  <c r="U90" i="32" s="1"/>
  <c r="P75" i="32"/>
  <c r="T76" i="32" s="1"/>
  <c r="T92" i="32" s="1"/>
  <c r="U92" i="32" s="1"/>
  <c r="P69" i="70"/>
  <c r="T70" i="70" s="1"/>
  <c r="P81" i="70"/>
  <c r="T82" i="70" s="1"/>
  <c r="T90" i="70" s="1"/>
  <c r="U90" i="70" s="1"/>
  <c r="P78" i="70"/>
  <c r="T79" i="70" s="1"/>
  <c r="T85" i="70" s="1"/>
  <c r="U85" i="70" s="1"/>
  <c r="P75" i="70"/>
  <c r="T76" i="70" s="1"/>
  <c r="T92" i="70" s="1"/>
  <c r="U92" i="70" s="1"/>
  <c r="P69" i="30"/>
  <c r="T70" i="30" s="1"/>
  <c r="P78" i="30"/>
  <c r="T79" i="30" s="1"/>
  <c r="T85" i="30" s="1"/>
  <c r="U85" i="30" s="1"/>
  <c r="P81" i="30"/>
  <c r="T82" i="30" s="1"/>
  <c r="T90" i="30" s="1"/>
  <c r="U90" i="30" s="1"/>
  <c r="P75" i="30"/>
  <c r="T76" i="30" s="1"/>
  <c r="T92" i="30" s="1"/>
  <c r="U92" i="30" s="1"/>
  <c r="P69" i="69"/>
  <c r="T70" i="69" s="1"/>
  <c r="P81" i="69"/>
  <c r="T82" i="69" s="1"/>
  <c r="T90" i="69" s="1"/>
  <c r="U90" i="69" s="1"/>
  <c r="P75" i="69"/>
  <c r="T76" i="69" s="1"/>
  <c r="T92" i="69" s="1"/>
  <c r="U92" i="69" s="1"/>
  <c r="P78" i="69"/>
  <c r="T79" i="69" s="1"/>
  <c r="T85" i="69" s="1"/>
  <c r="U85" i="69" s="1"/>
  <c r="P69" i="23"/>
  <c r="T70" i="23" s="1"/>
  <c r="P81" i="23"/>
  <c r="T82" i="23" s="1"/>
  <c r="T90" i="23" s="1"/>
  <c r="U90" i="23" s="1"/>
  <c r="P78" i="23"/>
  <c r="T79" i="23" s="1"/>
  <c r="T85" i="23" s="1"/>
  <c r="U85" i="23" s="1"/>
  <c r="P75" i="23"/>
  <c r="T76" i="23" s="1"/>
  <c r="T92" i="23" s="1"/>
  <c r="U92" i="23" s="1"/>
  <c r="P69" i="17"/>
  <c r="T70" i="17" s="1"/>
  <c r="P75" i="17"/>
  <c r="T76" i="17" s="1"/>
  <c r="T92" i="17" s="1"/>
  <c r="U92" i="17" s="1"/>
  <c r="P78" i="17"/>
  <c r="T79" i="17" s="1"/>
  <c r="T85" i="17" s="1"/>
  <c r="U85" i="17" s="1"/>
  <c r="P81" i="17"/>
  <c r="T82" i="17" s="1"/>
  <c r="T90" i="17" s="1"/>
  <c r="U90" i="17" s="1"/>
  <c r="P69" i="71"/>
  <c r="T70" i="71" s="1"/>
  <c r="P81" i="71"/>
  <c r="T82" i="71" s="1"/>
  <c r="T90" i="71" s="1"/>
  <c r="U90" i="71" s="1"/>
  <c r="P78" i="71"/>
  <c r="T79" i="71" s="1"/>
  <c r="T85" i="71" s="1"/>
  <c r="U85" i="71" s="1"/>
  <c r="P75" i="71"/>
  <c r="T76" i="71" s="1"/>
  <c r="T92" i="71" s="1"/>
  <c r="U92" i="71" s="1"/>
  <c r="P69" i="57"/>
  <c r="T70" i="57" s="1"/>
  <c r="P81" i="57"/>
  <c r="T82" i="57" s="1"/>
  <c r="T90" i="57" s="1"/>
  <c r="U90" i="57" s="1"/>
  <c r="P75" i="57"/>
  <c r="T76" i="57" s="1"/>
  <c r="T92" i="57" s="1"/>
  <c r="U92" i="57" s="1"/>
  <c r="P78" i="57"/>
  <c r="T79" i="57" s="1"/>
  <c r="T85" i="57" s="1"/>
  <c r="U85" i="57" s="1"/>
  <c r="P69" i="31"/>
  <c r="T70" i="31" s="1"/>
  <c r="P81" i="31"/>
  <c r="T82" i="31" s="1"/>
  <c r="T90" i="31" s="1"/>
  <c r="U90" i="31" s="1"/>
  <c r="P75" i="31"/>
  <c r="T76" i="31" s="1"/>
  <c r="T92" i="31" s="1"/>
  <c r="U92" i="31" s="1"/>
  <c r="P78" i="31"/>
  <c r="T79" i="31" s="1"/>
  <c r="T85" i="31" s="1"/>
  <c r="U85" i="31" s="1"/>
  <c r="P69" i="26"/>
  <c r="T70" i="26" s="1"/>
  <c r="T98" i="26" s="1"/>
  <c r="U98" i="26" s="1"/>
  <c r="P75" i="26"/>
  <c r="T76" i="26" s="1"/>
  <c r="T92" i="26" s="1"/>
  <c r="U92" i="26" s="1"/>
  <c r="P78" i="26"/>
  <c r="T79" i="26" s="1"/>
  <c r="T85" i="26" s="1"/>
  <c r="U85" i="26" s="1"/>
  <c r="P81" i="26"/>
  <c r="T82" i="26" s="1"/>
  <c r="T90" i="26" s="1"/>
  <c r="U90" i="26" s="1"/>
  <c r="R46" i="34"/>
  <c r="P72" i="34"/>
  <c r="P69" i="28"/>
  <c r="T70" i="28" s="1"/>
  <c r="P75" i="28"/>
  <c r="T76" i="28" s="1"/>
  <c r="T92" i="28" s="1"/>
  <c r="U92" i="28" s="1"/>
  <c r="P81" i="28"/>
  <c r="T82" i="28" s="1"/>
  <c r="T90" i="28" s="1"/>
  <c r="U90" i="28" s="1"/>
  <c r="P78" i="28"/>
  <c r="T79" i="28" s="1"/>
  <c r="T85" i="28" s="1"/>
  <c r="U85" i="28" s="1"/>
  <c r="P69" i="68"/>
  <c r="T70" i="68" s="1"/>
  <c r="P78" i="68"/>
  <c r="T79" i="68" s="1"/>
  <c r="T85" i="68" s="1"/>
  <c r="U85" i="68" s="1"/>
  <c r="P81" i="68"/>
  <c r="T82" i="68" s="1"/>
  <c r="T90" i="68" s="1"/>
  <c r="U90" i="68" s="1"/>
  <c r="P75" i="68"/>
  <c r="T76" i="68" s="1"/>
  <c r="T92" i="68" s="1"/>
  <c r="U92" i="68" s="1"/>
  <c r="P69" i="76"/>
  <c r="T70" i="76" s="1"/>
  <c r="P75" i="76"/>
  <c r="T76" i="76" s="1"/>
  <c r="T92" i="76" s="1"/>
  <c r="U92" i="76" s="1"/>
  <c r="P78" i="76"/>
  <c r="T79" i="76" s="1"/>
  <c r="T85" i="76" s="1"/>
  <c r="U85" i="76" s="1"/>
  <c r="P81" i="76"/>
  <c r="T82" i="76" s="1"/>
  <c r="T90" i="76" s="1"/>
  <c r="U90" i="76" s="1"/>
  <c r="P69" i="55"/>
  <c r="T70" i="55" s="1"/>
  <c r="P78" i="55"/>
  <c r="T79" i="55" s="1"/>
  <c r="T85" i="55" s="1"/>
  <c r="U85" i="55" s="1"/>
  <c r="P81" i="55"/>
  <c r="T82" i="55" s="1"/>
  <c r="T90" i="55" s="1"/>
  <c r="U90" i="55" s="1"/>
  <c r="P75" i="55"/>
  <c r="T76" i="55" s="1"/>
  <c r="T92" i="55" s="1"/>
  <c r="U92" i="55" s="1"/>
  <c r="P69" i="7"/>
  <c r="T70" i="7" s="1"/>
  <c r="P75" i="7"/>
  <c r="T76" i="7" s="1"/>
  <c r="T92" i="7" s="1"/>
  <c r="U92" i="7" s="1"/>
  <c r="I53" i="75"/>
  <c r="T30" i="28"/>
  <c r="P72" i="28" s="1"/>
  <c r="U30" i="28"/>
  <c r="O104" i="28"/>
  <c r="T104" i="28" s="1"/>
  <c r="T30" i="43"/>
  <c r="O104" i="43"/>
  <c r="T104" i="43" s="1"/>
  <c r="U30" i="43"/>
  <c r="O104" i="23"/>
  <c r="T104" i="23" s="1"/>
  <c r="T30" i="23"/>
  <c r="U30" i="23"/>
  <c r="T30" i="22"/>
  <c r="O104" i="22"/>
  <c r="T104" i="22" s="1"/>
  <c r="U30" i="22"/>
  <c r="U30" i="25"/>
  <c r="T30" i="25"/>
  <c r="O104" i="25"/>
  <c r="T104" i="25" s="1"/>
  <c r="U30" i="39"/>
  <c r="O104" i="39"/>
  <c r="T104" i="39" s="1"/>
  <c r="T30" i="39"/>
  <c r="O104" i="51"/>
  <c r="T104" i="51" s="1"/>
  <c r="T30" i="51"/>
  <c r="U30" i="51"/>
  <c r="T30" i="44"/>
  <c r="U30" i="44"/>
  <c r="O104" i="44"/>
  <c r="T104" i="44" s="1"/>
  <c r="T30" i="37"/>
  <c r="U30" i="37"/>
  <c r="O104" i="37"/>
  <c r="T104" i="37" s="1"/>
  <c r="O104" i="66"/>
  <c r="T104" i="66" s="1"/>
  <c r="U30" i="66"/>
  <c r="T30" i="66"/>
  <c r="U30" i="32"/>
  <c r="O104" i="32"/>
  <c r="T104" i="32" s="1"/>
  <c r="T30" i="32"/>
  <c r="U30" i="47"/>
  <c r="O104" i="47"/>
  <c r="T104" i="47" s="1"/>
  <c r="T30" i="47"/>
  <c r="T30" i="48"/>
  <c r="U30" i="48"/>
  <c r="O104" i="48"/>
  <c r="T104" i="48" s="1"/>
  <c r="U30" i="70"/>
  <c r="T30" i="70"/>
  <c r="O104" i="70"/>
  <c r="T104" i="70" s="1"/>
  <c r="T30" i="21"/>
  <c r="O104" i="21"/>
  <c r="T104" i="21" s="1"/>
  <c r="U30" i="21"/>
  <c r="U30" i="30"/>
  <c r="O104" i="30"/>
  <c r="T104" i="30" s="1"/>
  <c r="T30" i="30"/>
  <c r="T30" i="24"/>
  <c r="U30" i="24"/>
  <c r="O104" i="24"/>
  <c r="T104" i="24" s="1"/>
  <c r="T30" i="77"/>
  <c r="U30" i="77"/>
  <c r="O104" i="77"/>
  <c r="T104" i="77" s="1"/>
  <c r="U30" i="33"/>
  <c r="O104" i="33"/>
  <c r="T104" i="33" s="1"/>
  <c r="T30" i="33"/>
  <c r="T30" i="55"/>
  <c r="U30" i="55"/>
  <c r="O104" i="55"/>
  <c r="T104" i="55" s="1"/>
  <c r="T30" i="38"/>
  <c r="O104" i="38"/>
  <c r="T104" i="38" s="1"/>
  <c r="U30" i="38"/>
  <c r="T30" i="31"/>
  <c r="U30" i="31"/>
  <c r="O104" i="31"/>
  <c r="T104" i="31" s="1"/>
  <c r="U30" i="26"/>
  <c r="O104" i="26"/>
  <c r="T104" i="26" s="1"/>
  <c r="T30" i="26"/>
  <c r="U30" i="20"/>
  <c r="O104" i="20"/>
  <c r="T104" i="20" s="1"/>
  <c r="T30" i="20"/>
  <c r="U30" i="76"/>
  <c r="O104" i="76"/>
  <c r="T104" i="76" s="1"/>
  <c r="T30" i="76"/>
  <c r="T30" i="35"/>
  <c r="U30" i="35"/>
  <c r="O104" i="35"/>
  <c r="T104" i="35" s="1"/>
  <c r="U30" i="78"/>
  <c r="O104" i="78"/>
  <c r="T104" i="78" s="1"/>
  <c r="T30" i="78"/>
  <c r="U30" i="27"/>
  <c r="O104" i="27"/>
  <c r="T104" i="27" s="1"/>
  <c r="T30" i="27"/>
  <c r="T30" i="67"/>
  <c r="U30" i="67"/>
  <c r="O104" i="67"/>
  <c r="T104" i="67" s="1"/>
  <c r="O104" i="71"/>
  <c r="T104" i="71" s="1"/>
  <c r="U30" i="71"/>
  <c r="T30" i="71"/>
  <c r="U30" i="68"/>
  <c r="O104" i="68"/>
  <c r="T104" i="68" s="1"/>
  <c r="T30" i="68"/>
  <c r="U30" i="7"/>
  <c r="O104" i="7"/>
  <c r="T104" i="7" s="1"/>
  <c r="T30" i="7"/>
  <c r="T30" i="58"/>
  <c r="U30" i="58"/>
  <c r="O104" i="58"/>
  <c r="T104" i="58" s="1"/>
  <c r="T30" i="50"/>
  <c r="U30" i="50"/>
  <c r="O104" i="50"/>
  <c r="T104" i="50" s="1"/>
  <c r="O104" i="17"/>
  <c r="T104" i="17" s="1"/>
  <c r="T30" i="17"/>
  <c r="U30" i="17"/>
  <c r="T30" i="42"/>
  <c r="U30" i="42"/>
  <c r="O104" i="42"/>
  <c r="T104" i="42" s="1"/>
  <c r="U30" i="18"/>
  <c r="O104" i="18"/>
  <c r="T104" i="18" s="1"/>
  <c r="U107" i="18" s="1"/>
  <c r="T30" i="18"/>
  <c r="O104" i="56"/>
  <c r="T104" i="56" s="1"/>
  <c r="T30" i="56"/>
  <c r="U30" i="56"/>
  <c r="O104" i="69"/>
  <c r="T104" i="69" s="1"/>
  <c r="T30" i="69"/>
  <c r="U30" i="69"/>
  <c r="O107" i="34"/>
  <c r="U107" i="34"/>
  <c r="T30" i="40"/>
  <c r="O104" i="40"/>
  <c r="T104" i="40" s="1"/>
  <c r="U30" i="40"/>
  <c r="U30" i="57"/>
  <c r="T30" i="57"/>
  <c r="O104" i="57"/>
  <c r="T104" i="57" s="1"/>
  <c r="T30" i="36"/>
  <c r="O104" i="36"/>
  <c r="T104" i="36" s="1"/>
  <c r="U30" i="36"/>
  <c r="O104" i="75"/>
  <c r="T104" i="75" s="1"/>
  <c r="U30" i="75"/>
  <c r="T30" i="75"/>
  <c r="T30" i="45"/>
  <c r="O104" i="45"/>
  <c r="T104" i="45" s="1"/>
  <c r="U30" i="45"/>
  <c r="U30" i="16"/>
  <c r="O104" i="16"/>
  <c r="T104" i="16" s="1"/>
  <c r="T30" i="16"/>
  <c r="T88" i="76" l="1"/>
  <c r="U88" i="76" s="1"/>
  <c r="T98" i="76"/>
  <c r="U98" i="76" s="1"/>
  <c r="T88" i="22"/>
  <c r="U88" i="22" s="1"/>
  <c r="T98" i="22"/>
  <c r="U98" i="22" s="1"/>
  <c r="T88" i="37"/>
  <c r="U88" i="37" s="1"/>
  <c r="T98" i="37"/>
  <c r="U98" i="37" s="1"/>
  <c r="T88" i="27"/>
  <c r="U88" i="27" s="1"/>
  <c r="T98" i="27"/>
  <c r="U98" i="27" s="1"/>
  <c r="T88" i="45"/>
  <c r="U88" i="45" s="1"/>
  <c r="T98" i="45"/>
  <c r="U98" i="45" s="1"/>
  <c r="T88" i="42"/>
  <c r="U88" i="42" s="1"/>
  <c r="T98" i="42"/>
  <c r="U98" i="42" s="1"/>
  <c r="T88" i="24"/>
  <c r="U88" i="24" s="1"/>
  <c r="T98" i="24"/>
  <c r="U98" i="24" s="1"/>
  <c r="T88" i="43"/>
  <c r="U88" i="43" s="1"/>
  <c r="T98" i="43"/>
  <c r="U98" i="43" s="1"/>
  <c r="T88" i="21"/>
  <c r="U88" i="21" s="1"/>
  <c r="T98" i="21"/>
  <c r="U98" i="21" s="1"/>
  <c r="T88" i="67"/>
  <c r="U88" i="67" s="1"/>
  <c r="T98" i="67"/>
  <c r="U98" i="67" s="1"/>
  <c r="T88" i="50"/>
  <c r="U88" i="50" s="1"/>
  <c r="T98" i="50"/>
  <c r="U98" i="50" s="1"/>
  <c r="T88" i="23"/>
  <c r="U88" i="23" s="1"/>
  <c r="T98" i="23"/>
  <c r="U98" i="23" s="1"/>
  <c r="T88" i="71"/>
  <c r="U88" i="71" s="1"/>
  <c r="T98" i="71"/>
  <c r="U98" i="71" s="1"/>
  <c r="T88" i="69"/>
  <c r="U88" i="69" s="1"/>
  <c r="T98" i="69"/>
  <c r="U98" i="69" s="1"/>
  <c r="T88" i="32"/>
  <c r="U88" i="32" s="1"/>
  <c r="T98" i="32"/>
  <c r="U98" i="32" s="1"/>
  <c r="T88" i="57"/>
  <c r="U88" i="57" s="1"/>
  <c r="T98" i="57"/>
  <c r="U98" i="57" s="1"/>
  <c r="T88" i="7"/>
  <c r="U88" i="7" s="1"/>
  <c r="T98" i="7"/>
  <c r="U98" i="7" s="1"/>
  <c r="T88" i="68"/>
  <c r="U88" i="68" s="1"/>
  <c r="T98" i="68"/>
  <c r="U98" i="68" s="1"/>
  <c r="T88" i="78"/>
  <c r="U88" i="78" s="1"/>
  <c r="T98" i="78"/>
  <c r="U98" i="78" s="1"/>
  <c r="T88" i="18"/>
  <c r="U88" i="18" s="1"/>
  <c r="T98" i="18"/>
  <c r="U98" i="18" s="1"/>
  <c r="T88" i="39"/>
  <c r="U88" i="39" s="1"/>
  <c r="T98" i="39"/>
  <c r="U98" i="39" s="1"/>
  <c r="T88" i="44"/>
  <c r="U88" i="44" s="1"/>
  <c r="T98" i="44"/>
  <c r="U98" i="44" s="1"/>
  <c r="T88" i="48"/>
  <c r="U88" i="48" s="1"/>
  <c r="T98" i="48"/>
  <c r="U98" i="48" s="1"/>
  <c r="T88" i="38"/>
  <c r="U88" i="38" s="1"/>
  <c r="T98" i="38"/>
  <c r="U98" i="38" s="1"/>
  <c r="T88" i="36"/>
  <c r="U88" i="36" s="1"/>
  <c r="T98" i="36"/>
  <c r="U98" i="36" s="1"/>
  <c r="T88" i="20"/>
  <c r="U88" i="20" s="1"/>
  <c r="T98" i="20"/>
  <c r="U98" i="20" s="1"/>
  <c r="T88" i="66"/>
  <c r="U88" i="66" s="1"/>
  <c r="T98" i="66"/>
  <c r="U98" i="66" s="1"/>
  <c r="T88" i="58"/>
  <c r="U88" i="58" s="1"/>
  <c r="T98" i="58"/>
  <c r="U98" i="58" s="1"/>
  <c r="T88" i="34"/>
  <c r="U88" i="34" s="1"/>
  <c r="T98" i="34"/>
  <c r="U98" i="34" s="1"/>
  <c r="T88" i="70"/>
  <c r="U88" i="70" s="1"/>
  <c r="T98" i="70"/>
  <c r="U98" i="70" s="1"/>
  <c r="T88" i="31"/>
  <c r="U88" i="31" s="1"/>
  <c r="T98" i="31"/>
  <c r="U98" i="31" s="1"/>
  <c r="T88" i="30"/>
  <c r="U88" i="30" s="1"/>
  <c r="T98" i="30"/>
  <c r="U98" i="30" s="1"/>
  <c r="T88" i="75"/>
  <c r="U88" i="75" s="1"/>
  <c r="T98" i="75"/>
  <c r="U98" i="75" s="1"/>
  <c r="T88" i="55"/>
  <c r="U88" i="55" s="1"/>
  <c r="T98" i="55"/>
  <c r="U98" i="55" s="1"/>
  <c r="T88" i="28"/>
  <c r="U88" i="28" s="1"/>
  <c r="T98" i="28"/>
  <c r="U98" i="28" s="1"/>
  <c r="T88" i="56"/>
  <c r="U88" i="56" s="1"/>
  <c r="T98" i="56"/>
  <c r="U98" i="56" s="1"/>
  <c r="T88" i="51"/>
  <c r="U88" i="51" s="1"/>
  <c r="T98" i="51"/>
  <c r="U98" i="51" s="1"/>
  <c r="T88" i="40"/>
  <c r="U88" i="40" s="1"/>
  <c r="T98" i="40"/>
  <c r="U98" i="40" s="1"/>
  <c r="T88" i="47"/>
  <c r="U88" i="47" s="1"/>
  <c r="T98" i="47"/>
  <c r="U98" i="47" s="1"/>
  <c r="T88" i="25"/>
  <c r="U88" i="25" s="1"/>
  <c r="T98" i="25"/>
  <c r="U98" i="25" s="1"/>
  <c r="T88" i="16"/>
  <c r="U88" i="16" s="1"/>
  <c r="T98" i="16"/>
  <c r="U98" i="16" s="1"/>
  <c r="T88" i="35"/>
  <c r="U88" i="35" s="1"/>
  <c r="T98" i="35"/>
  <c r="U98" i="35" s="1"/>
  <c r="T88" i="77"/>
  <c r="U88" i="77" s="1"/>
  <c r="T98" i="77"/>
  <c r="U98" i="77" s="1"/>
  <c r="T88" i="33"/>
  <c r="U88" i="33" s="1"/>
  <c r="T98" i="33"/>
  <c r="U98" i="33" s="1"/>
  <c r="T88" i="17"/>
  <c r="U88" i="17" s="1"/>
  <c r="T98" i="17"/>
  <c r="U98" i="17" s="1"/>
  <c r="I128" i="23"/>
  <c r="I128" i="67"/>
  <c r="I128" i="58"/>
  <c r="I130" i="58" s="1"/>
  <c r="H135" i="58" s="1"/>
  <c r="I128" i="50"/>
  <c r="I130" i="50" s="1"/>
  <c r="H135" i="50" s="1"/>
  <c r="I128" i="48"/>
  <c r="I130" i="48" s="1"/>
  <c r="H135" i="48" s="1"/>
  <c r="I128" i="7"/>
  <c r="I128" i="70"/>
  <c r="I128" i="26"/>
  <c r="I128" i="69"/>
  <c r="I128" i="47"/>
  <c r="I130" i="47" s="1"/>
  <c r="H135" i="47" s="1"/>
  <c r="I135" i="47" s="1"/>
  <c r="I128" i="66"/>
  <c r="I128" i="30"/>
  <c r="I128" i="77"/>
  <c r="I130" i="77" s="1"/>
  <c r="H135" i="77" s="1"/>
  <c r="I128" i="34"/>
  <c r="I128" i="27"/>
  <c r="I130" i="27" s="1"/>
  <c r="H135" i="27" s="1"/>
  <c r="I128" i="44"/>
  <c r="I130" i="44" s="1"/>
  <c r="H135" i="44" s="1"/>
  <c r="I128" i="28"/>
  <c r="I53" i="70"/>
  <c r="I53" i="67"/>
  <c r="I128" i="20"/>
  <c r="I128" i="55"/>
  <c r="I130" i="55" s="1"/>
  <c r="H135" i="55" s="1"/>
  <c r="I135" i="55" s="1"/>
  <c r="I128" i="25"/>
  <c r="I128" i="21"/>
  <c r="I128" i="78"/>
  <c r="I53" i="16"/>
  <c r="O107" i="52"/>
  <c r="T104" i="52"/>
  <c r="U107" i="52" s="1"/>
  <c r="I53" i="26"/>
  <c r="I53" i="32"/>
  <c r="I130" i="32" s="1"/>
  <c r="H135" i="32" s="1"/>
  <c r="I135" i="32" s="1"/>
  <c r="I53" i="17"/>
  <c r="I128" i="42"/>
  <c r="I130" i="42" s="1"/>
  <c r="H135" i="42" s="1"/>
  <c r="I128" i="40"/>
  <c r="I53" i="23"/>
  <c r="I53" i="20"/>
  <c r="I53" i="30"/>
  <c r="I128" i="37"/>
  <c r="I130" i="37" s="1"/>
  <c r="H135" i="37" s="1"/>
  <c r="I128" i="52"/>
  <c r="I128" i="31"/>
  <c r="I130" i="31" s="1"/>
  <c r="I128" i="71"/>
  <c r="I130" i="71" s="1"/>
  <c r="I128" i="45"/>
  <c r="I130" i="45" s="1"/>
  <c r="H135" i="45" s="1"/>
  <c r="I135" i="45" s="1"/>
  <c r="I128" i="51"/>
  <c r="I128" i="17"/>
  <c r="I128" i="18"/>
  <c r="I128" i="38"/>
  <c r="I53" i="18"/>
  <c r="I128" i="22"/>
  <c r="I130" i="22" s="1"/>
  <c r="I128" i="35"/>
  <c r="I130" i="35" s="1"/>
  <c r="H135" i="35" s="1"/>
  <c r="I128" i="76"/>
  <c r="I130" i="76" s="1"/>
  <c r="H135" i="76" s="1"/>
  <c r="I128" i="24"/>
  <c r="I130" i="24" s="1"/>
  <c r="I128" i="68"/>
  <c r="I128" i="39"/>
  <c r="I130" i="39" s="1"/>
  <c r="H135" i="39" s="1"/>
  <c r="I128" i="36"/>
  <c r="I130" i="36" s="1"/>
  <c r="I128" i="75"/>
  <c r="I130" i="75" s="1"/>
  <c r="H135" i="75" s="1"/>
  <c r="I128" i="57"/>
  <c r="I130" i="57" s="1"/>
  <c r="H135" i="57" s="1"/>
  <c r="I135" i="57" s="1"/>
  <c r="I53" i="66"/>
  <c r="R46" i="28"/>
  <c r="T73" i="28" s="1"/>
  <c r="T94" i="28" s="1"/>
  <c r="U94" i="28" s="1"/>
  <c r="R46" i="52"/>
  <c r="I53" i="60"/>
  <c r="I53" i="7"/>
  <c r="I95" i="60"/>
  <c r="F53" i="60"/>
  <c r="F54" i="60"/>
  <c r="I54" i="60"/>
  <c r="U46" i="39"/>
  <c r="R51" i="39"/>
  <c r="U51" i="39" s="1"/>
  <c r="R52" i="39"/>
  <c r="U52" i="39" s="1"/>
  <c r="U46" i="56"/>
  <c r="R52" i="56"/>
  <c r="U52" i="56" s="1"/>
  <c r="R51" i="56"/>
  <c r="U51" i="56" s="1"/>
  <c r="U46" i="67"/>
  <c r="R51" i="67"/>
  <c r="U51" i="67" s="1"/>
  <c r="R52" i="67"/>
  <c r="U52" i="67" s="1"/>
  <c r="U46" i="55"/>
  <c r="R51" i="55"/>
  <c r="U51" i="55" s="1"/>
  <c r="R52" i="55"/>
  <c r="U52" i="55" s="1"/>
  <c r="U46" i="68"/>
  <c r="R51" i="68"/>
  <c r="U51" i="68" s="1"/>
  <c r="R52" i="68"/>
  <c r="U52" i="68" s="1"/>
  <c r="U46" i="75"/>
  <c r="R51" i="75"/>
  <c r="U51" i="75" s="1"/>
  <c r="R52" i="75"/>
  <c r="U52" i="75" s="1"/>
  <c r="U46" i="57"/>
  <c r="R52" i="57"/>
  <c r="U52" i="57" s="1"/>
  <c r="R51" i="57"/>
  <c r="U51" i="57" s="1"/>
  <c r="U46" i="50"/>
  <c r="R51" i="50"/>
  <c r="U51" i="50" s="1"/>
  <c r="R52" i="50"/>
  <c r="U52" i="50" s="1"/>
  <c r="U46" i="76"/>
  <c r="R51" i="76"/>
  <c r="U51" i="76" s="1"/>
  <c r="R52" i="76"/>
  <c r="U52" i="76" s="1"/>
  <c r="U46" i="33"/>
  <c r="R51" i="33"/>
  <c r="U51" i="33" s="1"/>
  <c r="R52" i="33"/>
  <c r="U52" i="33" s="1"/>
  <c r="U46" i="24"/>
  <c r="R51" i="24"/>
  <c r="U51" i="24" s="1"/>
  <c r="R52" i="24"/>
  <c r="U52" i="24" s="1"/>
  <c r="U46" i="66"/>
  <c r="R51" i="66"/>
  <c r="U51" i="66" s="1"/>
  <c r="R52" i="66"/>
  <c r="U52" i="66" s="1"/>
  <c r="U46" i="35"/>
  <c r="R51" i="35"/>
  <c r="U51" i="35" s="1"/>
  <c r="R52" i="35"/>
  <c r="U52" i="35" s="1"/>
  <c r="U46" i="40"/>
  <c r="R51" i="40"/>
  <c r="U51" i="40" s="1"/>
  <c r="R52" i="40"/>
  <c r="U52" i="40" s="1"/>
  <c r="U46" i="17"/>
  <c r="R51" i="17"/>
  <c r="U51" i="17" s="1"/>
  <c r="R52" i="17"/>
  <c r="U52" i="17" s="1"/>
  <c r="U46" i="47"/>
  <c r="R51" i="47"/>
  <c r="U51" i="47" s="1"/>
  <c r="R52" i="47"/>
  <c r="U52" i="47" s="1"/>
  <c r="U46" i="23"/>
  <c r="R51" i="23"/>
  <c r="U51" i="23" s="1"/>
  <c r="R52" i="23"/>
  <c r="U52" i="23" s="1"/>
  <c r="U46" i="25"/>
  <c r="R51" i="25"/>
  <c r="U51" i="25" s="1"/>
  <c r="R52" i="25"/>
  <c r="U52" i="25" s="1"/>
  <c r="U46" i="18"/>
  <c r="R51" i="18"/>
  <c r="U51" i="18" s="1"/>
  <c r="R52" i="18"/>
  <c r="U52" i="18" s="1"/>
  <c r="U46" i="45"/>
  <c r="R51" i="45"/>
  <c r="U51" i="45" s="1"/>
  <c r="R52" i="45"/>
  <c r="U52" i="45" s="1"/>
  <c r="U46" i="58"/>
  <c r="R51" i="58"/>
  <c r="U51" i="58" s="1"/>
  <c r="R52" i="58"/>
  <c r="U52" i="58" s="1"/>
  <c r="U46" i="71"/>
  <c r="R51" i="71"/>
  <c r="U51" i="71" s="1"/>
  <c r="R52" i="71"/>
  <c r="U52" i="71" s="1"/>
  <c r="U46" i="27"/>
  <c r="R51" i="27"/>
  <c r="U51" i="27" s="1"/>
  <c r="R52" i="27"/>
  <c r="U52" i="27" s="1"/>
  <c r="U46" i="20"/>
  <c r="R51" i="20"/>
  <c r="U51" i="20" s="1"/>
  <c r="R52" i="20"/>
  <c r="U52" i="20" s="1"/>
  <c r="U46" i="70"/>
  <c r="R51" i="70"/>
  <c r="U51" i="70" s="1"/>
  <c r="R52" i="70"/>
  <c r="U52" i="70" s="1"/>
  <c r="U46" i="37"/>
  <c r="R51" i="37"/>
  <c r="U51" i="37" s="1"/>
  <c r="R52" i="37"/>
  <c r="U52" i="37" s="1"/>
  <c r="U46" i="51"/>
  <c r="R51" i="51"/>
  <c r="U51" i="51" s="1"/>
  <c r="R52" i="51"/>
  <c r="U52" i="51" s="1"/>
  <c r="U46" i="43"/>
  <c r="R52" i="43"/>
  <c r="U52" i="43" s="1"/>
  <c r="R51" i="43"/>
  <c r="U51" i="43" s="1"/>
  <c r="U46" i="78"/>
  <c r="R51" i="78"/>
  <c r="U51" i="78" s="1"/>
  <c r="R52" i="78"/>
  <c r="U52" i="78" s="1"/>
  <c r="U46" i="77"/>
  <c r="R51" i="77"/>
  <c r="U51" i="77" s="1"/>
  <c r="R52" i="77"/>
  <c r="U52" i="77" s="1"/>
  <c r="U46" i="28"/>
  <c r="R52" i="28"/>
  <c r="U52" i="28" s="1"/>
  <c r="R51" i="28"/>
  <c r="U51" i="28" s="1"/>
  <c r="U46" i="32"/>
  <c r="R51" i="32"/>
  <c r="U51" i="32" s="1"/>
  <c r="R52" i="32"/>
  <c r="U52" i="32" s="1"/>
  <c r="U46" i="38"/>
  <c r="R51" i="38"/>
  <c r="U51" i="38" s="1"/>
  <c r="R52" i="38"/>
  <c r="U52" i="38" s="1"/>
  <c r="U46" i="22"/>
  <c r="R51" i="22"/>
  <c r="U51" i="22" s="1"/>
  <c r="R52" i="22"/>
  <c r="U52" i="22" s="1"/>
  <c r="U46" i="21"/>
  <c r="R51" i="21"/>
  <c r="U51" i="21" s="1"/>
  <c r="R52" i="21"/>
  <c r="U52" i="21" s="1"/>
  <c r="U46" i="42"/>
  <c r="R52" i="42"/>
  <c r="U52" i="42" s="1"/>
  <c r="R51" i="42"/>
  <c r="U51" i="42" s="1"/>
  <c r="U46" i="69"/>
  <c r="R51" i="69"/>
  <c r="U51" i="69" s="1"/>
  <c r="R52" i="69"/>
  <c r="U52" i="69" s="1"/>
  <c r="U46" i="26"/>
  <c r="R51" i="26"/>
  <c r="U51" i="26" s="1"/>
  <c r="R52" i="26"/>
  <c r="U52" i="26" s="1"/>
  <c r="U46" i="48"/>
  <c r="R51" i="48"/>
  <c r="U51" i="48" s="1"/>
  <c r="R52" i="48"/>
  <c r="U52" i="48" s="1"/>
  <c r="U46" i="44"/>
  <c r="R51" i="44"/>
  <c r="U51" i="44" s="1"/>
  <c r="R52" i="44"/>
  <c r="U52" i="44" s="1"/>
  <c r="U46" i="16"/>
  <c r="R51" i="16"/>
  <c r="U51" i="16" s="1"/>
  <c r="R52" i="16"/>
  <c r="U52" i="16" s="1"/>
  <c r="U46" i="31"/>
  <c r="R52" i="31"/>
  <c r="U52" i="31" s="1"/>
  <c r="R51" i="31"/>
  <c r="U51" i="31" s="1"/>
  <c r="U46" i="36"/>
  <c r="R51" i="36"/>
  <c r="U51" i="36" s="1"/>
  <c r="R52" i="36"/>
  <c r="U52" i="36" s="1"/>
  <c r="U46" i="30"/>
  <c r="R51" i="30"/>
  <c r="U51" i="30" s="1"/>
  <c r="R52" i="30"/>
  <c r="U52" i="30" s="1"/>
  <c r="U53" i="34"/>
  <c r="U53" i="52"/>
  <c r="U46" i="7"/>
  <c r="R52" i="7"/>
  <c r="U52" i="7" s="1"/>
  <c r="R51" i="7"/>
  <c r="U51" i="7" s="1"/>
  <c r="T88" i="26"/>
  <c r="U88" i="26" s="1"/>
  <c r="R46" i="57"/>
  <c r="P72" i="57"/>
  <c r="R46" i="56"/>
  <c r="P72" i="56"/>
  <c r="R46" i="67"/>
  <c r="P72" i="67"/>
  <c r="R46" i="38"/>
  <c r="P72" i="38"/>
  <c r="R46" i="37"/>
  <c r="P72" i="37"/>
  <c r="R46" i="51"/>
  <c r="P72" i="51"/>
  <c r="R46" i="35"/>
  <c r="P72" i="35"/>
  <c r="R46" i="32"/>
  <c r="P72" i="32"/>
  <c r="R46" i="18"/>
  <c r="P72" i="18"/>
  <c r="R46" i="76"/>
  <c r="P72" i="76"/>
  <c r="R46" i="48"/>
  <c r="P72" i="48"/>
  <c r="R46" i="39"/>
  <c r="P72" i="39"/>
  <c r="R46" i="43"/>
  <c r="P72" i="43"/>
  <c r="R46" i="50"/>
  <c r="P72" i="50"/>
  <c r="R46" i="55"/>
  <c r="P72" i="55"/>
  <c r="R46" i="33"/>
  <c r="P72" i="33"/>
  <c r="R46" i="44"/>
  <c r="P72" i="44"/>
  <c r="R46" i="71"/>
  <c r="P72" i="71"/>
  <c r="R46" i="78"/>
  <c r="P72" i="78"/>
  <c r="R46" i="21"/>
  <c r="P72" i="21"/>
  <c r="R46" i="22"/>
  <c r="P72" i="22"/>
  <c r="R46" i="40"/>
  <c r="P72" i="40"/>
  <c r="R46" i="17"/>
  <c r="P72" i="17"/>
  <c r="R46" i="27"/>
  <c r="P72" i="27"/>
  <c r="R46" i="45"/>
  <c r="P72" i="45"/>
  <c r="R46" i="20"/>
  <c r="P72" i="20"/>
  <c r="R46" i="58"/>
  <c r="P72" i="58"/>
  <c r="R46" i="47"/>
  <c r="P72" i="47"/>
  <c r="R46" i="23"/>
  <c r="P72" i="23"/>
  <c r="R46" i="42"/>
  <c r="P72" i="42"/>
  <c r="R46" i="24"/>
  <c r="P72" i="24"/>
  <c r="R46" i="66"/>
  <c r="P72" i="66"/>
  <c r="T73" i="52"/>
  <c r="T94" i="52" s="1"/>
  <c r="U94" i="52" s="1"/>
  <c r="R46" i="26"/>
  <c r="P72" i="26"/>
  <c r="R46" i="31"/>
  <c r="P72" i="31"/>
  <c r="R46" i="69"/>
  <c r="P72" i="69"/>
  <c r="R46" i="70"/>
  <c r="P72" i="70"/>
  <c r="R46" i="25"/>
  <c r="P72" i="25"/>
  <c r="T73" i="34"/>
  <c r="T94" i="34" s="1"/>
  <c r="U94" i="34" s="1"/>
  <c r="R46" i="36"/>
  <c r="P72" i="36"/>
  <c r="R46" i="68"/>
  <c r="P72" i="68"/>
  <c r="R46" i="16"/>
  <c r="P72" i="16"/>
  <c r="R46" i="75"/>
  <c r="P72" i="75"/>
  <c r="R46" i="77"/>
  <c r="P72" i="77"/>
  <c r="R46" i="30"/>
  <c r="P72" i="30"/>
  <c r="R46" i="7"/>
  <c r="P72" i="7"/>
  <c r="I137" i="43"/>
  <c r="I141" i="43" s="1"/>
  <c r="I145" i="43" s="1"/>
  <c r="I147" i="43"/>
  <c r="U107" i="69"/>
  <c r="O107" i="69"/>
  <c r="U107" i="7"/>
  <c r="O107" i="7"/>
  <c r="U107" i="35"/>
  <c r="O107" i="35"/>
  <c r="O107" i="26"/>
  <c r="U107" i="26"/>
  <c r="U107" i="38"/>
  <c r="O107" i="38"/>
  <c r="O107" i="24"/>
  <c r="U107" i="24"/>
  <c r="O107" i="21"/>
  <c r="U107" i="21"/>
  <c r="O107" i="28"/>
  <c r="U107" i="28"/>
  <c r="U107" i="31"/>
  <c r="O107" i="31"/>
  <c r="U107" i="77"/>
  <c r="O107" i="77"/>
  <c r="U107" i="43"/>
  <c r="O107" i="43"/>
  <c r="O107" i="55"/>
  <c r="U107" i="55"/>
  <c r="U107" i="48"/>
  <c r="O107" i="48"/>
  <c r="U107" i="22"/>
  <c r="O107" i="22"/>
  <c r="U107" i="57"/>
  <c r="O107" i="57"/>
  <c r="O107" i="39"/>
  <c r="U107" i="39"/>
  <c r="O107" i="56"/>
  <c r="U107" i="56"/>
  <c r="O107" i="17"/>
  <c r="U107" i="17"/>
  <c r="U107" i="50"/>
  <c r="O107" i="50"/>
  <c r="U107" i="71"/>
  <c r="O107" i="71"/>
  <c r="U107" i="32"/>
  <c r="O107" i="32"/>
  <c r="U107" i="66"/>
  <c r="O107" i="66"/>
  <c r="U107" i="25"/>
  <c r="O107" i="25"/>
  <c r="U107" i="23"/>
  <c r="O107" i="23"/>
  <c r="O107" i="42"/>
  <c r="U107" i="42"/>
  <c r="O107" i="27"/>
  <c r="U107" i="27"/>
  <c r="O107" i="76"/>
  <c r="U107" i="76"/>
  <c r="O107" i="37"/>
  <c r="U107" i="37"/>
  <c r="U107" i="67"/>
  <c r="O107" i="67"/>
  <c r="U107" i="47"/>
  <c r="O107" i="47"/>
  <c r="O107" i="58"/>
  <c r="U107" i="58"/>
  <c r="O107" i="68"/>
  <c r="U107" i="68"/>
  <c r="O107" i="33"/>
  <c r="U107" i="33"/>
  <c r="O107" i="16"/>
  <c r="U107" i="16"/>
  <c r="U107" i="45"/>
  <c r="O107" i="45"/>
  <c r="I137" i="33"/>
  <c r="I141" i="33" s="1"/>
  <c r="I145" i="33" s="1"/>
  <c r="O107" i="20"/>
  <c r="U107" i="20"/>
  <c r="O107" i="36"/>
  <c r="U107" i="36"/>
  <c r="I147" i="33"/>
  <c r="O107" i="18"/>
  <c r="O107" i="78"/>
  <c r="U107" i="78"/>
  <c r="O107" i="30"/>
  <c r="U107" i="30"/>
  <c r="O107" i="51"/>
  <c r="U107" i="51"/>
  <c r="O107" i="75"/>
  <c r="U107" i="75"/>
  <c r="O107" i="40"/>
  <c r="U107" i="40"/>
  <c r="O107" i="70"/>
  <c r="U107" i="70"/>
  <c r="U107" i="44"/>
  <c r="O107" i="44"/>
  <c r="I130" i="66" l="1"/>
  <c r="H135" i="66" s="1"/>
  <c r="I135" i="66" s="1"/>
  <c r="I130" i="28"/>
  <c r="H135" i="28" s="1"/>
  <c r="T96" i="28"/>
  <c r="U96" i="28" s="1"/>
  <c r="U128" i="28" s="1"/>
  <c r="I147" i="45"/>
  <c r="I135" i="75"/>
  <c r="I147" i="75" s="1"/>
  <c r="I135" i="39"/>
  <c r="I147" i="39" s="1"/>
  <c r="I135" i="42"/>
  <c r="I147" i="42" s="1"/>
  <c r="I135" i="44"/>
  <c r="I135" i="77"/>
  <c r="I137" i="77" s="1"/>
  <c r="I141" i="77" s="1"/>
  <c r="I145" i="77" s="1"/>
  <c r="I135" i="76"/>
  <c r="I147" i="76" s="1"/>
  <c r="I135" i="58"/>
  <c r="I135" i="35"/>
  <c r="I147" i="35" s="1"/>
  <c r="I135" i="48"/>
  <c r="I137" i="48" s="1"/>
  <c r="I141" i="48" s="1"/>
  <c r="I145" i="48" s="1"/>
  <c r="I130" i="51"/>
  <c r="H135" i="51" s="1"/>
  <c r="I135" i="27"/>
  <c r="I147" i="27" s="1"/>
  <c r="I135" i="50"/>
  <c r="I147" i="50" s="1"/>
  <c r="I135" i="37"/>
  <c r="I147" i="37" s="1"/>
  <c r="I130" i="78"/>
  <c r="H135" i="78" s="1"/>
  <c r="I55" i="60"/>
  <c r="I130" i="34"/>
  <c r="H135" i="34" s="1"/>
  <c r="I135" i="34" s="1"/>
  <c r="I130" i="18"/>
  <c r="I130" i="38"/>
  <c r="H135" i="38" s="1"/>
  <c r="U53" i="76"/>
  <c r="U53" i="17"/>
  <c r="U53" i="66"/>
  <c r="U53" i="43"/>
  <c r="I130" i="69"/>
  <c r="H135" i="69" s="1"/>
  <c r="U53" i="58"/>
  <c r="I130" i="7"/>
  <c r="I97" i="60"/>
  <c r="I130" i="52"/>
  <c r="H135" i="52" s="1"/>
  <c r="I135" i="52" s="1"/>
  <c r="U53" i="51"/>
  <c r="U53" i="27"/>
  <c r="U53" i="22"/>
  <c r="U53" i="37"/>
  <c r="U53" i="30"/>
  <c r="U53" i="38"/>
  <c r="U53" i="42"/>
  <c r="U53" i="40"/>
  <c r="U53" i="33"/>
  <c r="U53" i="75"/>
  <c r="U53" i="7"/>
  <c r="U53" i="23"/>
  <c r="U53" i="67"/>
  <c r="U53" i="20"/>
  <c r="U53" i="45"/>
  <c r="U53" i="56"/>
  <c r="U53" i="36"/>
  <c r="U53" i="31"/>
  <c r="U53" i="44"/>
  <c r="U53" i="69"/>
  <c r="U53" i="28"/>
  <c r="I130" i="20"/>
  <c r="U53" i="55"/>
  <c r="I130" i="70"/>
  <c r="H135" i="70" s="1"/>
  <c r="U53" i="39"/>
  <c r="I130" i="67"/>
  <c r="H135" i="67" s="1"/>
  <c r="U53" i="70"/>
  <c r="U53" i="71"/>
  <c r="U53" i="18"/>
  <c r="U53" i="24"/>
  <c r="U53" i="50"/>
  <c r="U53" i="68"/>
  <c r="U53" i="48"/>
  <c r="I130" i="17"/>
  <c r="U53" i="57"/>
  <c r="U53" i="16"/>
  <c r="U53" i="77"/>
  <c r="U53" i="47"/>
  <c r="U53" i="35"/>
  <c r="I130" i="68"/>
  <c r="H135" i="68" s="1"/>
  <c r="I130" i="23"/>
  <c r="I130" i="30"/>
  <c r="H135" i="30" s="1"/>
  <c r="U53" i="26"/>
  <c r="U53" i="21"/>
  <c r="U53" i="25"/>
  <c r="I130" i="40"/>
  <c r="H135" i="40" s="1"/>
  <c r="I135" i="40" s="1"/>
  <c r="U53" i="32"/>
  <c r="I130" i="21"/>
  <c r="H135" i="21" s="1"/>
  <c r="I135" i="21" s="1"/>
  <c r="I130" i="26"/>
  <c r="U53" i="78"/>
  <c r="I130" i="25"/>
  <c r="H135" i="25" s="1"/>
  <c r="I135" i="25" s="1"/>
  <c r="T73" i="30"/>
  <c r="T94" i="30" s="1"/>
  <c r="U94" i="30" s="1"/>
  <c r="T73" i="66"/>
  <c r="T94" i="66" s="1"/>
  <c r="U94" i="66" s="1"/>
  <c r="T73" i="58"/>
  <c r="T94" i="58" s="1"/>
  <c r="U94" i="58" s="1"/>
  <c r="T73" i="22"/>
  <c r="T94" i="22" s="1"/>
  <c r="U94" i="22" s="1"/>
  <c r="T73" i="55"/>
  <c r="T73" i="18"/>
  <c r="T73" i="69"/>
  <c r="T73" i="77"/>
  <c r="T73" i="24"/>
  <c r="T73" i="20"/>
  <c r="T73" i="21"/>
  <c r="T73" i="50"/>
  <c r="T73" i="75"/>
  <c r="T73" i="31"/>
  <c r="T73" i="16"/>
  <c r="T94" i="16" s="1"/>
  <c r="U94" i="16" s="1"/>
  <c r="T73" i="23"/>
  <c r="T94" i="23" s="1"/>
  <c r="U94" i="23" s="1"/>
  <c r="T73" i="27"/>
  <c r="T94" i="27" s="1"/>
  <c r="U94" i="27" s="1"/>
  <c r="T73" i="71"/>
  <c r="T94" i="71" s="1"/>
  <c r="U94" i="71" s="1"/>
  <c r="T73" i="39"/>
  <c r="T94" i="39" s="1"/>
  <c r="U94" i="39" s="1"/>
  <c r="T73" i="51"/>
  <c r="T94" i="51" s="1"/>
  <c r="U94" i="51" s="1"/>
  <c r="T73" i="68"/>
  <c r="T94" i="68" s="1"/>
  <c r="U94" i="68" s="1"/>
  <c r="T73" i="17"/>
  <c r="T94" i="17" s="1"/>
  <c r="U94" i="17" s="1"/>
  <c r="T73" i="44"/>
  <c r="T94" i="44" s="1"/>
  <c r="U94" i="44" s="1"/>
  <c r="T73" i="48"/>
  <c r="T94" i="48" s="1"/>
  <c r="U94" i="48" s="1"/>
  <c r="T73" i="37"/>
  <c r="T94" i="37" s="1"/>
  <c r="U94" i="37" s="1"/>
  <c r="T73" i="26"/>
  <c r="T94" i="26" s="1"/>
  <c r="U94" i="26" s="1"/>
  <c r="T73" i="36"/>
  <c r="T94" i="36" s="1"/>
  <c r="U94" i="36" s="1"/>
  <c r="T96" i="52"/>
  <c r="U96" i="52" s="1"/>
  <c r="T73" i="47"/>
  <c r="T94" i="47" s="1"/>
  <c r="U94" i="47" s="1"/>
  <c r="T73" i="40"/>
  <c r="T94" i="40" s="1"/>
  <c r="U94" i="40" s="1"/>
  <c r="T73" i="33"/>
  <c r="T94" i="33" s="1"/>
  <c r="U94" i="33" s="1"/>
  <c r="T73" i="76"/>
  <c r="T94" i="76" s="1"/>
  <c r="U94" i="76" s="1"/>
  <c r="T73" i="38"/>
  <c r="T94" i="38" s="1"/>
  <c r="U94" i="38" s="1"/>
  <c r="T96" i="34"/>
  <c r="U96" i="34" s="1"/>
  <c r="T73" i="67"/>
  <c r="T94" i="67" s="1"/>
  <c r="U94" i="67" s="1"/>
  <c r="T73" i="25"/>
  <c r="T94" i="25" s="1"/>
  <c r="U94" i="25" s="1"/>
  <c r="T73" i="32"/>
  <c r="T94" i="32" s="1"/>
  <c r="U94" i="32" s="1"/>
  <c r="T73" i="56"/>
  <c r="T94" i="56" s="1"/>
  <c r="U94" i="56" s="1"/>
  <c r="T73" i="70"/>
  <c r="T94" i="70" s="1"/>
  <c r="U94" i="70" s="1"/>
  <c r="T73" i="42"/>
  <c r="T94" i="42" s="1"/>
  <c r="U94" i="42" s="1"/>
  <c r="T73" i="45"/>
  <c r="T94" i="45" s="1"/>
  <c r="U94" i="45" s="1"/>
  <c r="T73" i="78"/>
  <c r="T94" i="78" s="1"/>
  <c r="U94" i="78" s="1"/>
  <c r="T73" i="43"/>
  <c r="T94" i="43" s="1"/>
  <c r="U94" i="43" s="1"/>
  <c r="T73" i="35"/>
  <c r="T94" i="35" s="1"/>
  <c r="U94" i="35" s="1"/>
  <c r="T73" i="57"/>
  <c r="T94" i="57" s="1"/>
  <c r="U94" i="57" s="1"/>
  <c r="T73" i="7"/>
  <c r="T94" i="7" s="1"/>
  <c r="U94" i="7" s="1"/>
  <c r="I137" i="57"/>
  <c r="I141" i="57" s="1"/>
  <c r="I145" i="57" s="1"/>
  <c r="I147" i="57"/>
  <c r="E242" i="64"/>
  <c r="G242" i="64" s="1"/>
  <c r="E151" i="64"/>
  <c r="G151" i="64" s="1"/>
  <c r="I137" i="47"/>
  <c r="I141" i="47" s="1"/>
  <c r="I145" i="47" s="1"/>
  <c r="I147" i="47"/>
  <c r="I137" i="55"/>
  <c r="I141" i="55" s="1"/>
  <c r="I145" i="55" s="1"/>
  <c r="I137" i="56"/>
  <c r="I141" i="56" s="1"/>
  <c r="I145" i="56" s="1"/>
  <c r="I147" i="56"/>
  <c r="I147" i="55"/>
  <c r="I137" i="32"/>
  <c r="I141" i="32" s="1"/>
  <c r="I145" i="32" s="1"/>
  <c r="I147" i="32"/>
  <c r="I135" i="67" l="1"/>
  <c r="I147" i="67" s="1"/>
  <c r="I147" i="66"/>
  <c r="I135" i="28"/>
  <c r="I147" i="28" s="1"/>
  <c r="I137" i="76"/>
  <c r="I141" i="76" s="1"/>
  <c r="I145" i="76" s="1"/>
  <c r="I137" i="75"/>
  <c r="I141" i="75" s="1"/>
  <c r="I145" i="75" s="1"/>
  <c r="I137" i="27"/>
  <c r="I141" i="27" s="1"/>
  <c r="I145" i="27" s="1"/>
  <c r="I137" i="42"/>
  <c r="I141" i="42" s="1"/>
  <c r="I145" i="42" s="1"/>
  <c r="I137" i="39"/>
  <c r="I141" i="39" s="1"/>
  <c r="I145" i="39" s="1"/>
  <c r="I137" i="37"/>
  <c r="I141" i="37" s="1"/>
  <c r="I145" i="37" s="1"/>
  <c r="I137" i="50"/>
  <c r="I141" i="50" s="1"/>
  <c r="I145" i="50" s="1"/>
  <c r="I147" i="77"/>
  <c r="I137" i="44"/>
  <c r="I141" i="44" s="1"/>
  <c r="I145" i="44" s="1"/>
  <c r="U130" i="28"/>
  <c r="I133" i="28" s="1"/>
  <c r="I147" i="44"/>
  <c r="I137" i="45"/>
  <c r="I141" i="45" s="1"/>
  <c r="I145" i="45" s="1"/>
  <c r="I137" i="35"/>
  <c r="I141" i="35" s="1"/>
  <c r="I145" i="35" s="1"/>
  <c r="I137" i="58"/>
  <c r="I141" i="58" s="1"/>
  <c r="I145" i="58" s="1"/>
  <c r="I147" i="48"/>
  <c r="E422" i="64"/>
  <c r="G422" i="64" s="1"/>
  <c r="I135" i="69"/>
  <c r="I135" i="30"/>
  <c r="I137" i="30" s="1"/>
  <c r="I141" i="30" s="1"/>
  <c r="I145" i="30" s="1"/>
  <c r="I135" i="38"/>
  <c r="I135" i="70"/>
  <c r="I147" i="70" s="1"/>
  <c r="I147" i="58"/>
  <c r="I135" i="68"/>
  <c r="I147" i="68" s="1"/>
  <c r="I137" i="66"/>
  <c r="I141" i="66" s="1"/>
  <c r="I145" i="66" s="1"/>
  <c r="I135" i="78"/>
  <c r="I147" i="78" s="1"/>
  <c r="I135" i="51"/>
  <c r="U128" i="34"/>
  <c r="U130" i="34" s="1"/>
  <c r="I133" i="34" s="1"/>
  <c r="U128" i="52"/>
  <c r="U130" i="52" s="1"/>
  <c r="I133" i="52" s="1"/>
  <c r="E277" i="64"/>
  <c r="G277" i="64" s="1"/>
  <c r="I147" i="34"/>
  <c r="I147" i="52"/>
  <c r="I137" i="52"/>
  <c r="I141" i="52" s="1"/>
  <c r="T96" i="30"/>
  <c r="T96" i="58"/>
  <c r="T96" i="66"/>
  <c r="U96" i="66" s="1"/>
  <c r="T96" i="22"/>
  <c r="U96" i="22" s="1"/>
  <c r="I147" i="21"/>
  <c r="I147" i="40"/>
  <c r="I137" i="40"/>
  <c r="I141" i="40" s="1"/>
  <c r="I145" i="40" s="1"/>
  <c r="I147" i="25"/>
  <c r="T94" i="69"/>
  <c r="U94" i="69" s="1"/>
  <c r="T96" i="69"/>
  <c r="U96" i="69" s="1"/>
  <c r="T94" i="18"/>
  <c r="U94" i="18" s="1"/>
  <c r="T96" i="18"/>
  <c r="U96" i="18" s="1"/>
  <c r="T94" i="55"/>
  <c r="U94" i="55" s="1"/>
  <c r="T96" i="55"/>
  <c r="U96" i="55" s="1"/>
  <c r="T94" i="31"/>
  <c r="T96" i="31"/>
  <c r="U96" i="31" s="1"/>
  <c r="T94" i="75"/>
  <c r="U94" i="75" s="1"/>
  <c r="T96" i="75"/>
  <c r="U96" i="75" s="1"/>
  <c r="T94" i="50"/>
  <c r="U94" i="50" s="1"/>
  <c r="T96" i="50"/>
  <c r="U96" i="50" s="1"/>
  <c r="T94" i="21"/>
  <c r="U94" i="21" s="1"/>
  <c r="T96" i="21"/>
  <c r="U96" i="21" s="1"/>
  <c r="T94" i="20"/>
  <c r="U94" i="20" s="1"/>
  <c r="T96" i="20"/>
  <c r="U96" i="20" s="1"/>
  <c r="T94" i="24"/>
  <c r="U94" i="24" s="1"/>
  <c r="T96" i="24"/>
  <c r="U96" i="24" s="1"/>
  <c r="T94" i="77"/>
  <c r="T96" i="77"/>
  <c r="U96" i="77" s="1"/>
  <c r="T96" i="45"/>
  <c r="U96" i="45" s="1"/>
  <c r="T96" i="76"/>
  <c r="U96" i="76" s="1"/>
  <c r="T96" i="44"/>
  <c r="T96" i="42"/>
  <c r="T96" i="33"/>
  <c r="T96" i="17"/>
  <c r="U96" i="17" s="1"/>
  <c r="T96" i="70"/>
  <c r="U96" i="70" s="1"/>
  <c r="T96" i="40"/>
  <c r="U96" i="40" s="1"/>
  <c r="T96" i="56"/>
  <c r="U96" i="56" s="1"/>
  <c r="T96" i="47"/>
  <c r="U96" i="47" s="1"/>
  <c r="T96" i="68"/>
  <c r="U96" i="68" s="1"/>
  <c r="T96" i="32"/>
  <c r="U96" i="32" s="1"/>
  <c r="T96" i="25"/>
  <c r="T96" i="51"/>
  <c r="T96" i="67"/>
  <c r="T96" i="39"/>
  <c r="U96" i="39" s="1"/>
  <c r="T96" i="71"/>
  <c r="T96" i="57"/>
  <c r="U96" i="57" s="1"/>
  <c r="T96" i="36"/>
  <c r="U96" i="36" s="1"/>
  <c r="T96" i="27"/>
  <c r="T96" i="35"/>
  <c r="U96" i="35" s="1"/>
  <c r="T96" i="26"/>
  <c r="U96" i="26" s="1"/>
  <c r="T96" i="23"/>
  <c r="U96" i="23" s="1"/>
  <c r="T96" i="43"/>
  <c r="U96" i="43" s="1"/>
  <c r="T96" i="37"/>
  <c r="U96" i="37" s="1"/>
  <c r="T96" i="16"/>
  <c r="T96" i="78"/>
  <c r="U96" i="78" s="1"/>
  <c r="T96" i="38"/>
  <c r="T96" i="48"/>
  <c r="T96" i="7"/>
  <c r="E351" i="64"/>
  <c r="G351" i="64" s="1"/>
  <c r="E333" i="64"/>
  <c r="G333" i="64" s="1"/>
  <c r="E268" i="64"/>
  <c r="G268" i="64" s="1"/>
  <c r="E141" i="64"/>
  <c r="G141" i="64" s="1"/>
  <c r="E344" i="64"/>
  <c r="G344" i="64" s="1"/>
  <c r="I137" i="67" l="1"/>
  <c r="U128" i="18"/>
  <c r="E252" i="64"/>
  <c r="G252" i="64" s="1"/>
  <c r="E114" i="64"/>
  <c r="G114" i="64" s="1"/>
  <c r="I137" i="28"/>
  <c r="I141" i="28" s="1"/>
  <c r="I145" i="28" s="1"/>
  <c r="E360" i="64"/>
  <c r="G360" i="64" s="1"/>
  <c r="E168" i="64"/>
  <c r="G168" i="64" s="1"/>
  <c r="E260" i="64"/>
  <c r="G260" i="64" s="1"/>
  <c r="E287" i="64"/>
  <c r="G287" i="64" s="1"/>
  <c r="E232" i="64"/>
  <c r="G232" i="64" s="1"/>
  <c r="E194" i="64"/>
  <c r="G194" i="64" s="1"/>
  <c r="E313" i="64"/>
  <c r="G313" i="64" s="1"/>
  <c r="I141" i="67"/>
  <c r="I145" i="67" s="1"/>
  <c r="E323" i="64"/>
  <c r="G323" i="64" s="1"/>
  <c r="E213" i="64"/>
  <c r="G213" i="64" s="1"/>
  <c r="I145" i="52"/>
  <c r="U96" i="30"/>
  <c r="U128" i="30" s="1"/>
  <c r="U130" i="30" s="1"/>
  <c r="I133" i="30" s="1"/>
  <c r="U94" i="77"/>
  <c r="U128" i="77" s="1"/>
  <c r="U130" i="77" s="1"/>
  <c r="I133" i="77" s="1"/>
  <c r="U94" i="31"/>
  <c r="U128" i="31" s="1"/>
  <c r="U130" i="31" s="1"/>
  <c r="I133" i="31" s="1"/>
  <c r="H135" i="31" s="1"/>
  <c r="U96" i="27"/>
  <c r="U128" i="27" s="1"/>
  <c r="U130" i="27" s="1"/>
  <c r="I133" i="27" s="1"/>
  <c r="U96" i="7"/>
  <c r="U128" i="7" s="1"/>
  <c r="U130" i="7" s="1"/>
  <c r="I133" i="7" s="1"/>
  <c r="U96" i="48"/>
  <c r="U128" i="48" s="1"/>
  <c r="U130" i="48" s="1"/>
  <c r="I133" i="48" s="1"/>
  <c r="U96" i="71"/>
  <c r="U128" i="71" s="1"/>
  <c r="U130" i="71" s="1"/>
  <c r="I133" i="71" s="1"/>
  <c r="H135" i="71" s="1"/>
  <c r="I147" i="38"/>
  <c r="U96" i="38"/>
  <c r="U128" i="38" s="1"/>
  <c r="U130" i="38" s="1"/>
  <c r="I133" i="38" s="1"/>
  <c r="U96" i="33"/>
  <c r="U128" i="33" s="1"/>
  <c r="U130" i="33" s="1"/>
  <c r="I133" i="33" s="1"/>
  <c r="U96" i="67"/>
  <c r="U128" i="67" s="1"/>
  <c r="U130" i="67" s="1"/>
  <c r="I133" i="67" s="1"/>
  <c r="U96" i="42"/>
  <c r="U128" i="42" s="1"/>
  <c r="U130" i="42" s="1"/>
  <c r="I133" i="42" s="1"/>
  <c r="U96" i="16"/>
  <c r="U128" i="16" s="1"/>
  <c r="U130" i="16" s="1"/>
  <c r="I133" i="16" s="1"/>
  <c r="U96" i="51"/>
  <c r="U128" i="51" s="1"/>
  <c r="U130" i="51" s="1"/>
  <c r="I133" i="51" s="1"/>
  <c r="U96" i="44"/>
  <c r="U128" i="44" s="1"/>
  <c r="U130" i="44" s="1"/>
  <c r="I133" i="44" s="1"/>
  <c r="U96" i="58"/>
  <c r="U128" i="58" s="1"/>
  <c r="U130" i="58" s="1"/>
  <c r="I133" i="58" s="1"/>
  <c r="I147" i="69"/>
  <c r="U96" i="25"/>
  <c r="U128" i="25" s="1"/>
  <c r="U130" i="25" s="1"/>
  <c r="I133" i="25" s="1"/>
  <c r="I137" i="69"/>
  <c r="I141" i="69" s="1"/>
  <c r="I145" i="69" s="1"/>
  <c r="I137" i="38"/>
  <c r="I141" i="38" s="1"/>
  <c r="I145" i="38" s="1"/>
  <c r="I137" i="68"/>
  <c r="I141" i="68" s="1"/>
  <c r="I145" i="68" s="1"/>
  <c r="I147" i="30"/>
  <c r="I137" i="70"/>
  <c r="I141" i="70" s="1"/>
  <c r="I145" i="70" s="1"/>
  <c r="E441" i="64"/>
  <c r="G441" i="64" s="1"/>
  <c r="I137" i="51"/>
  <c r="I141" i="51" s="1"/>
  <c r="I145" i="51" s="1"/>
  <c r="I147" i="51"/>
  <c r="I137" i="78"/>
  <c r="I141" i="78" s="1"/>
  <c r="I145" i="78" s="1"/>
  <c r="E369" i="64"/>
  <c r="G369" i="64" s="1"/>
  <c r="U128" i="24"/>
  <c r="U130" i="24" s="1"/>
  <c r="I133" i="24" s="1"/>
  <c r="H135" i="24" s="1"/>
  <c r="U128" i="55"/>
  <c r="U130" i="55" s="1"/>
  <c r="I133" i="55" s="1"/>
  <c r="U128" i="21"/>
  <c r="U130" i="21" s="1"/>
  <c r="I133" i="21" s="1"/>
  <c r="U128" i="75"/>
  <c r="U130" i="75" s="1"/>
  <c r="I133" i="75" s="1"/>
  <c r="U128" i="43"/>
  <c r="U130" i="43" s="1"/>
  <c r="I133" i="43" s="1"/>
  <c r="U128" i="68"/>
  <c r="U130" i="68" s="1"/>
  <c r="I133" i="68" s="1"/>
  <c r="U128" i="76"/>
  <c r="U130" i="76" s="1"/>
  <c r="I133" i="76" s="1"/>
  <c r="U128" i="22"/>
  <c r="U128" i="47"/>
  <c r="U130" i="47" s="1"/>
  <c r="I133" i="47" s="1"/>
  <c r="U128" i="35"/>
  <c r="U130" i="35" s="1"/>
  <c r="I133" i="35" s="1"/>
  <c r="U128" i="20"/>
  <c r="U128" i="23"/>
  <c r="U128" i="45"/>
  <c r="U130" i="45" s="1"/>
  <c r="I133" i="45" s="1"/>
  <c r="U128" i="56"/>
  <c r="U130" i="56" s="1"/>
  <c r="I133" i="56" s="1"/>
  <c r="U128" i="36"/>
  <c r="U128" i="66"/>
  <c r="U130" i="66" s="1"/>
  <c r="I133" i="66" s="1"/>
  <c r="U128" i="69"/>
  <c r="U130" i="69" s="1"/>
  <c r="I133" i="69" s="1"/>
  <c r="U128" i="70"/>
  <c r="U130" i="70" s="1"/>
  <c r="I133" i="70" s="1"/>
  <c r="U128" i="39"/>
  <c r="U130" i="39" s="1"/>
  <c r="I133" i="39" s="1"/>
  <c r="U128" i="57"/>
  <c r="U130" i="57" s="1"/>
  <c r="I133" i="57" s="1"/>
  <c r="U128" i="37"/>
  <c r="U130" i="37" s="1"/>
  <c r="I133" i="37" s="1"/>
  <c r="U128" i="40"/>
  <c r="U130" i="40" s="1"/>
  <c r="I133" i="40" s="1"/>
  <c r="U128" i="17"/>
  <c r="U128" i="32"/>
  <c r="U130" i="32" s="1"/>
  <c r="I133" i="32" s="1"/>
  <c r="U128" i="50"/>
  <c r="U130" i="50" s="1"/>
  <c r="I133" i="50" s="1"/>
  <c r="U128" i="78"/>
  <c r="U130" i="78" s="1"/>
  <c r="I133" i="78" s="1"/>
  <c r="U128" i="26"/>
  <c r="U130" i="26" s="1"/>
  <c r="I133" i="26" s="1"/>
  <c r="H135" i="26" s="1"/>
  <c r="I137" i="34"/>
  <c r="I141" i="34" s="1"/>
  <c r="I145" i="34" s="1"/>
  <c r="E223" i="64"/>
  <c r="G223" i="64" s="1"/>
  <c r="I137" i="21"/>
  <c r="I141" i="21" s="1"/>
  <c r="I145" i="21" s="1"/>
  <c r="I137" i="25"/>
  <c r="I141" i="25" s="1"/>
  <c r="I145" i="25" s="1"/>
  <c r="E304" i="64" l="1"/>
  <c r="G304" i="64" s="1"/>
  <c r="E376" i="64"/>
  <c r="G376" i="64" s="1"/>
  <c r="E414" i="64"/>
  <c r="G414" i="64" s="1"/>
  <c r="E202" i="64"/>
  <c r="G202" i="64" s="1"/>
  <c r="E385" i="64"/>
  <c r="G385" i="64" s="1"/>
  <c r="E432" i="64"/>
  <c r="G432" i="64" s="1"/>
  <c r="E123" i="64"/>
  <c r="G123" i="64" s="1"/>
  <c r="E395" i="64"/>
  <c r="G395" i="64" s="1"/>
  <c r="I135" i="24"/>
  <c r="E295" i="64"/>
  <c r="G295" i="64" s="1"/>
  <c r="I135" i="31"/>
  <c r="I137" i="31" s="1"/>
  <c r="I141" i="31" s="1"/>
  <c r="I145" i="31" s="1"/>
  <c r="I135" i="26"/>
  <c r="I137" i="26" s="1"/>
  <c r="I141" i="26" s="1"/>
  <c r="I145" i="26" s="1"/>
  <c r="I135" i="71"/>
  <c r="I147" i="71" s="1"/>
  <c r="U130" i="20"/>
  <c r="I133" i="20" s="1"/>
  <c r="H135" i="20" s="1"/>
  <c r="I135" i="20" s="1"/>
  <c r="H135" i="36"/>
  <c r="U130" i="36"/>
  <c r="I133" i="36" s="1"/>
  <c r="U130" i="17"/>
  <c r="I133" i="17" s="1"/>
  <c r="H135" i="17" s="1"/>
  <c r="U130" i="22"/>
  <c r="I133" i="22" s="1"/>
  <c r="H135" i="22" s="1"/>
  <c r="I135" i="22" s="1"/>
  <c r="U130" i="23"/>
  <c r="I133" i="23" s="1"/>
  <c r="H135" i="23" s="1"/>
  <c r="I135" i="23" s="1"/>
  <c r="U130" i="18"/>
  <c r="I133" i="18" s="1"/>
  <c r="E160" i="64"/>
  <c r="G160" i="64" s="1"/>
  <c r="E80" i="64"/>
  <c r="G80" i="64" s="1"/>
  <c r="E70" i="64"/>
  <c r="G70" i="64" s="1"/>
  <c r="E132" i="64" l="1"/>
  <c r="G132" i="64" s="1"/>
  <c r="I147" i="31"/>
  <c r="I137" i="24"/>
  <c r="I141" i="24" s="1"/>
  <c r="I145" i="24" s="1"/>
  <c r="I147" i="24"/>
  <c r="I137" i="71"/>
  <c r="I141" i="71" s="1"/>
  <c r="I145" i="71" s="1"/>
  <c r="I147" i="26"/>
  <c r="E107" i="64"/>
  <c r="G107" i="64" s="1"/>
  <c r="I135" i="17"/>
  <c r="I135" i="36"/>
  <c r="I147" i="23"/>
  <c r="I137" i="22"/>
  <c r="I141" i="22" s="1"/>
  <c r="I145" i="22" s="1"/>
  <c r="I147" i="20"/>
  <c r="H135" i="18"/>
  <c r="I135" i="18" s="1"/>
  <c r="I147" i="22"/>
  <c r="E99" i="64" l="1"/>
  <c r="G99" i="64" s="1"/>
  <c r="E405" i="64"/>
  <c r="G405" i="64" s="1"/>
  <c r="E90" i="64"/>
  <c r="G90" i="64" s="1"/>
  <c r="I137" i="36"/>
  <c r="I141" i="36" s="1"/>
  <c r="I145" i="36" s="1"/>
  <c r="I147" i="36"/>
  <c r="I147" i="17"/>
  <c r="I137" i="17"/>
  <c r="I147" i="18"/>
  <c r="I137" i="20"/>
  <c r="I141" i="20" s="1"/>
  <c r="I145" i="20" s="1"/>
  <c r="I137" i="23"/>
  <c r="I141" i="23" s="1"/>
  <c r="I145" i="23" s="1"/>
  <c r="H135" i="7"/>
  <c r="I135" i="7" s="1"/>
  <c r="I137" i="7" l="1"/>
  <c r="E183" i="64"/>
  <c r="G183" i="64" s="1"/>
  <c r="E175" i="64"/>
  <c r="G175" i="64" s="1"/>
  <c r="E62" i="64"/>
  <c r="G62" i="64" s="1"/>
  <c r="I137" i="18"/>
  <c r="I141" i="18" s="1"/>
  <c r="I145" i="18" s="1"/>
  <c r="E43" i="64" l="1"/>
  <c r="G43" i="64" s="1"/>
  <c r="I141" i="7"/>
  <c r="E50" i="64"/>
  <c r="I147" i="7"/>
  <c r="G50" i="64" l="1"/>
  <c r="I145" i="7"/>
  <c r="E5" i="64" l="1"/>
  <c r="G5" i="64" l="1"/>
  <c r="I121" i="16"/>
  <c r="I122" i="16"/>
  <c r="I123" i="16"/>
  <c r="I124" i="16" l="1"/>
  <c r="I128" i="16" l="1"/>
  <c r="I126" i="60" s="1"/>
  <c r="I130" i="16" l="1"/>
  <c r="H135" i="16"/>
  <c r="I135" i="16" s="1"/>
  <c r="I133" i="60" s="1"/>
  <c r="I131" i="60" l="1"/>
  <c r="I128" i="60"/>
  <c r="H133" i="60" s="1"/>
  <c r="I147" i="16" l="1"/>
  <c r="I137" i="16"/>
  <c r="I135" i="60" s="1"/>
  <c r="I141" i="16" l="1"/>
  <c r="I139" i="60" s="1"/>
  <c r="I145" i="16" l="1"/>
  <c r="I143" i="60" l="1"/>
  <c r="E458" i="64" s="1"/>
  <c r="E27" i="64"/>
  <c r="G27" i="64" l="1"/>
  <c r="G451" i="64" s="1"/>
  <c r="E451" i="64"/>
  <c r="G458" i="64"/>
  <c r="G480" i="64" s="1"/>
  <c r="E480" i="64"/>
  <c r="G452" i="64" l="1"/>
</calcChain>
</file>

<file path=xl/sharedStrings.xml><?xml version="1.0" encoding="utf-8"?>
<sst xmlns="http://schemas.openxmlformats.org/spreadsheetml/2006/main" count="17666" uniqueCount="503">
  <si>
    <t xml:space="preserve">School District: </t>
  </si>
  <si>
    <t>Program</t>
  </si>
  <si>
    <t>FTE</t>
  </si>
  <si>
    <t>(b)</t>
  </si>
  <si>
    <t>(c)</t>
  </si>
  <si>
    <t>Totals</t>
  </si>
  <si>
    <t>x</t>
  </si>
  <si>
    <t>NOTES:</t>
  </si>
  <si>
    <t>Total</t>
  </si>
  <si>
    <t>Palm Beach</t>
  </si>
  <si>
    <t>Base Student Allocation</t>
  </si>
  <si>
    <t>Revenues flow to districts from state sources and from county tax collectors on various distribution schedules.</t>
  </si>
  <si>
    <t>=</t>
  </si>
  <si>
    <t>4-8</t>
  </si>
  <si>
    <t>9-12</t>
  </si>
  <si>
    <t>(Insert district number in cell A1, enter, then strike F9. Your district data then pulls from Calculation Detail Sheets)</t>
  </si>
  <si>
    <t>Total Class Size Reduction Funds</t>
  </si>
  <si>
    <t>PK - 3</t>
  </si>
  <si>
    <t xml:space="preserve"> Revenue Estimate Worksheet for___________Charter School </t>
  </si>
  <si>
    <t>Number of FTE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</si>
  <si>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</si>
  <si>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</si>
  <si>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</si>
  <si>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</si>
  <si>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</si>
  <si>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</si>
  <si>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</si>
  <si>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</si>
  <si>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</si>
  <si>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</si>
  <si>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</si>
  <si>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</si>
  <si>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</si>
  <si>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</si>
  <si>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</si>
  <si>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</si>
  <si>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</si>
  <si>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</si>
  <si>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</si>
  <si>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</si>
  <si>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</si>
  <si>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</si>
  <si>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</si>
  <si>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</si>
  <si>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</si>
  <si>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</si>
  <si>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</si>
  <si>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</si>
  <si>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</si>
  <si>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</si>
  <si>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</si>
  <si>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</si>
  <si>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</si>
  <si>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</si>
  <si>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</si>
  <si>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</si>
  <si>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</si>
  <si>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</si>
  <si>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</si>
  <si>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</si>
  <si>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</si>
  <si>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</si>
  <si>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</si>
  <si>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</si>
  <si>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Enter All Adjusted ESE Riders</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</si>
  <si>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</si>
  <si>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</si>
  <si>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</si>
  <si>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</si>
  <si>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</si>
  <si>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</si>
  <si>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</si>
  <si>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</si>
  <si>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</si>
  <si>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</si>
  <si>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</si>
  <si>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</si>
  <si>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</si>
  <si>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</si>
  <si>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</si>
  <si>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</si>
  <si>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</si>
  <si>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</si>
  <si>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</si>
  <si>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</si>
  <si>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</si>
  <si>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</si>
  <si>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</si>
  <si>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</si>
  <si>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</si>
  <si>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</si>
  <si>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</si>
  <si>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</si>
  <si>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</si>
  <si>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</si>
  <si>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</si>
  <si>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</si>
  <si>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</si>
  <si>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</si>
  <si>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 xml:space="preserve">        .748 Mills (UFTE share)</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</si>
  <si>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</si>
  <si>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</si>
  <si>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</si>
  <si>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</si>
  <si>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</si>
  <si>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</si>
  <si>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</si>
  <si>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t>Average</t>
  </si>
  <si>
    <t>Impact Aide</t>
  </si>
  <si>
    <t>Exempt Property</t>
  </si>
  <si>
    <t>Revenue Estimate Worksheet: South Tech Charter Academy - 1571</t>
  </si>
  <si>
    <t>Revenue Estimate Worksheet: Ed Venture Charter School - 2521</t>
  </si>
  <si>
    <t>Revenue Estimate Worksheet: Potentials Charter School - 2531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</si>
  <si>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</si>
  <si>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</si>
  <si>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</si>
  <si>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</si>
  <si>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</si>
  <si>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</si>
  <si>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</si>
  <si>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</si>
  <si>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</si>
  <si>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</si>
  <si>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</si>
  <si>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</si>
  <si>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</si>
  <si>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</si>
  <si>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</si>
  <si>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</si>
  <si>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</si>
  <si>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</si>
  <si>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</si>
  <si>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</si>
  <si>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</si>
  <si>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</si>
  <si>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</si>
  <si>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</si>
  <si>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</si>
  <si>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</si>
  <si>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</si>
  <si>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</si>
  <si>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</si>
  <si>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</si>
  <si>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</si>
  <si>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</si>
  <si>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</si>
  <si>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</si>
  <si>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</si>
  <si>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</si>
  <si>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</si>
  <si>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</si>
  <si>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</si>
  <si>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</si>
  <si>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</si>
  <si>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</si>
  <si>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</si>
  <si>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</si>
  <si>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School #</t>
  </si>
  <si>
    <t>Description</t>
  </si>
  <si>
    <t>1461</t>
  </si>
  <si>
    <t>1571</t>
  </si>
  <si>
    <t>2521</t>
  </si>
  <si>
    <t>2531</t>
  </si>
  <si>
    <t>2791</t>
  </si>
  <si>
    <t>2801</t>
  </si>
  <si>
    <t>2911</t>
  </si>
  <si>
    <t>2941</t>
  </si>
  <si>
    <t>3083</t>
  </si>
  <si>
    <t>3345</t>
  </si>
  <si>
    <t>3381</t>
  </si>
  <si>
    <t>3382</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</si>
  <si>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</si>
  <si>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</si>
  <si>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</si>
  <si>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</si>
  <si>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</si>
  <si>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</si>
  <si>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</si>
  <si>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</si>
  <si>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</si>
  <si>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</si>
  <si>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</si>
  <si>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</si>
  <si>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</si>
  <si>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</si>
  <si>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</si>
  <si>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</si>
  <si>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</si>
  <si>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</si>
  <si>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</si>
  <si>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Believers Academy</t>
  </si>
  <si>
    <t>Inlet Grove Community High School</t>
  </si>
  <si>
    <t>Ben Gamla Charter School</t>
  </si>
  <si>
    <t>South Tech Charter Academy</t>
  </si>
  <si>
    <t>Ed Venture</t>
  </si>
  <si>
    <t>Potentials Charter School</t>
  </si>
  <si>
    <t>Everglades Preparatory Academy</t>
  </si>
  <si>
    <t>Western Academy Charter School</t>
  </si>
  <si>
    <t>Palm Beach School for Autism</t>
  </si>
  <si>
    <t>4020</t>
  </si>
  <si>
    <t>4061</t>
  </si>
  <si>
    <t>Imagine Schools - Chancellor Campus</t>
  </si>
  <si>
    <t>Gardens School of Technology Arts</t>
  </si>
  <si>
    <t xml:space="preserve">Glades Academy </t>
  </si>
  <si>
    <t>G-Star School of the Arts for Motion Pictures and Television</t>
  </si>
  <si>
    <t>Seagull Academy for Independent Living</t>
  </si>
  <si>
    <t>Montessori Academy of Early Enrichment</t>
  </si>
  <si>
    <t>Quantum High School</t>
  </si>
  <si>
    <t>Somerset Academy Boca</t>
  </si>
  <si>
    <t>Worthington High School</t>
  </si>
  <si>
    <t>3924</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</si>
  <si>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</si>
  <si>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</si>
  <si>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</si>
  <si>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</si>
  <si>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</si>
  <si>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</si>
  <si>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</si>
  <si>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</si>
  <si>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</si>
  <si>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</si>
  <si>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</si>
  <si>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</si>
  <si>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</si>
  <si>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</si>
  <si>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</si>
  <si>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</si>
  <si>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</si>
  <si>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 xml:space="preserve">G-Star School of the Arts </t>
  </si>
  <si>
    <t>South Tech Preparatory Academy (MS)</t>
  </si>
  <si>
    <t>School Police</t>
  </si>
  <si>
    <t>AT&amp;T</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</si>
  <si>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</si>
  <si>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</si>
  <si>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</si>
  <si>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</si>
  <si>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</si>
  <si>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</si>
  <si>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</si>
  <si>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</si>
  <si>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</si>
  <si>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</si>
  <si>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</si>
  <si>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</si>
  <si>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</si>
  <si>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</si>
  <si>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</si>
  <si>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</si>
  <si>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</si>
  <si>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</si>
  <si>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</si>
  <si>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</si>
  <si>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</si>
  <si>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</si>
  <si>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</si>
  <si>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 xml:space="preserve">Total current month's FTE payment amount per Consolidated tab  </t>
  </si>
  <si>
    <t>The Learning Center at The Els Center of Excellence</t>
  </si>
  <si>
    <t>Revenue Estimate Worksheet: The Learning Center at The Els Center of Excellence - 2791</t>
  </si>
  <si>
    <t>Class Size Cat.</t>
  </si>
  <si>
    <t>Based on the 2015-16 FEFP 4th Calculation</t>
  </si>
  <si>
    <t>(a) Additional FTE includes FTE earned through Advanced Placement, International Baccalaureate, Advanced International Certificate of Education, Industry Certified Career</t>
  </si>
  <si>
    <t>"All Adjusted ESE Riders" should include only ESE Riders.</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</si>
  <si>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</si>
  <si>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</si>
  <si>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</si>
  <si>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</si>
  <si>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</si>
  <si>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</si>
  <si>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</si>
  <si>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</si>
  <si>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</si>
  <si>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</si>
  <si>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</si>
  <si>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</si>
  <si>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</si>
  <si>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</si>
  <si>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</si>
  <si>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</si>
  <si>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</si>
  <si>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PY Final FEFP</t>
  </si>
  <si>
    <t>PY Dig C/R A/R</t>
  </si>
  <si>
    <t>PY Digital C/R</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</si>
  <si>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</si>
  <si>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</si>
  <si>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</si>
  <si>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</si>
  <si>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</si>
  <si>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</si>
  <si>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 xml:space="preserve">(j) Funding based on student eligibility and meals provided, if participating in the National School Lunch Program. </t>
  </si>
  <si>
    <t>PY Class Size Cat.</t>
  </si>
  <si>
    <t>MS Course Recovery</t>
  </si>
  <si>
    <t>Feb 2018</t>
  </si>
  <si>
    <t>K-12 Initiative Grant</t>
  </si>
  <si>
    <t>(e)</t>
  </si>
  <si>
    <t>(i)</t>
  </si>
  <si>
    <t>funding for which charter students may be eligible.  To calculate the administrative fee to be withheld for schools with more than 250 students, divide the school</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</si>
  <si>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</si>
  <si>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</si>
  <si>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2018-19</t>
  </si>
  <si>
    <t>Revenue Estimate Worksheet: Sports Leadership &amp; Management (SLAM) MHS (Boca) - 4103</t>
  </si>
  <si>
    <t>Sports Leadership Arts Management (SLAM) - Boca</t>
  </si>
  <si>
    <t>4103</t>
  </si>
  <si>
    <t>Sports Leadership Arts Management (SLAM) Acdemy MHS (Boca)</t>
  </si>
  <si>
    <t xml:space="preserve"> </t>
  </si>
  <si>
    <t>Oct 2018</t>
  </si>
  <si>
    <t>Please go to the bottom of the page.</t>
  </si>
  <si>
    <t>Sorted by School Number</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</si>
  <si>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</si>
  <si>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</si>
  <si>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</si>
  <si>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</si>
  <si>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t>
  </si>
  <si>
    <t>LAN &amp; Internet</t>
  </si>
  <si>
    <t>4030</t>
  </si>
  <si>
    <t>Disallowed IDEA</t>
  </si>
  <si>
    <t>Palm Beach Preparatory Charter Academy</t>
  </si>
  <si>
    <t>SLAM HS Palm Beach</t>
  </si>
  <si>
    <t>Revenue Estimate Worksheet: Palm Beach Preparatory Charter Academy - 3971</t>
  </si>
  <si>
    <t>FL AG - FY18</t>
  </si>
  <si>
    <t>WPB-</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</si>
  <si>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</si>
  <si>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</si>
  <si>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</si>
  <si>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</si>
  <si>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</si>
  <si>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(k)</t>
  </si>
  <si>
    <t>Somerset Academy Wellington</t>
  </si>
  <si>
    <t>Revenue Estimate Worksheet: Somerset Academy Wellington - 4031</t>
  </si>
  <si>
    <t>PY Safe Schl Alloc</t>
  </si>
  <si>
    <t>WPB-229862</t>
  </si>
  <si>
    <t>WPB-229839</t>
  </si>
  <si>
    <t>SWA Fees</t>
  </si>
  <si>
    <t>FL AG - FY20</t>
  </si>
  <si>
    <t>FY21 TSIA</t>
  </si>
  <si>
    <t>WPB-241201</t>
  </si>
  <si>
    <t>WPB-242343</t>
  </si>
  <si>
    <t>FY21 CSTAG Training</t>
  </si>
  <si>
    <t>TSIA deducted 07/21</t>
  </si>
  <si>
    <t>Unused FY21 TSIA Funds</t>
  </si>
  <si>
    <t>Unused FY21 TSIA add'l adj</t>
  </si>
  <si>
    <t>WPB-245095</t>
  </si>
  <si>
    <t>WPB-248085</t>
  </si>
  <si>
    <t>WPB-248086</t>
  </si>
  <si>
    <t>WPB-248087</t>
  </si>
  <si>
    <t>Ends June 2022</t>
  </si>
  <si>
    <t>Ends May 2022</t>
  </si>
  <si>
    <t>WPB-249234</t>
  </si>
  <si>
    <t>WPB-249895</t>
  </si>
  <si>
    <t>TSIA deducted 02/22</t>
  </si>
  <si>
    <t>Revenue Estimate Worksheet: Somerset Academy Wellington HS - 4131</t>
  </si>
  <si>
    <t>4131</t>
  </si>
  <si>
    <t>Somerset Academy Wellington HS</t>
  </si>
  <si>
    <t>WPB-255421</t>
  </si>
  <si>
    <t>Palm Beach Maritime Academy Secondary</t>
  </si>
  <si>
    <t>Palm Beach Maritime Academy Elementary</t>
  </si>
  <si>
    <t>Oct 2022</t>
  </si>
  <si>
    <t>Feb 2023</t>
  </si>
  <si>
    <t>Revenue Estimate Worksheet: Career Academy of the Palm Beaches - 3345</t>
  </si>
  <si>
    <t>Revenue Estimate Worksheet: Palm Beach Maritime Academy Secondary - 3924</t>
  </si>
  <si>
    <t>Revenue Estimate Worksheet: Palm Beach Maritime Academy Elementary - 2801</t>
  </si>
  <si>
    <t>Career Academy of the Palm Beaches</t>
  </si>
  <si>
    <t>WPB-260215</t>
  </si>
  <si>
    <t>WPB-263848</t>
  </si>
  <si>
    <t>WPB-264048</t>
  </si>
  <si>
    <t>WPB-264049</t>
  </si>
  <si>
    <t>WPB-265762</t>
  </si>
  <si>
    <t xml:space="preserve">Education (CAPE), Early High School Graduation and the small district ESE Supplement, pursuant to s. 1011.62(1)(i-p), F.S. </t>
  </si>
  <si>
    <t>(b) District allocations multiplied by percentage from item 2A.</t>
  </si>
  <si>
    <t>(c) District allocations multiplied by percentage from item 2B.</t>
  </si>
  <si>
    <t>(d) District allocations multiplied by percentage from item 2C.</t>
  </si>
  <si>
    <t>(e) District allocations multiplied by percentage from item 2D.</t>
  </si>
  <si>
    <t>(f) District allocations multiplied by percentage from item 2E.</t>
  </si>
  <si>
    <t xml:space="preserve">reconnended not to be recalculated with fluctuations in student enrollment later in the year. </t>
  </si>
  <si>
    <t>(g) This allocation will be frozen as of the 2023-24 FEFP Conference Calculation and will not be recalculated throughout the year. Charter school allocations are</t>
  </si>
  <si>
    <t>(h) Numbers entered here will be multiplied by the district level transportation funding per rider. "All Adjusted Fundable Riders" should include both basic and ESE Riders.</t>
  </si>
  <si>
    <t xml:space="preserve">All Adjusted Fundable Riders  </t>
  </si>
  <si>
    <t xml:space="preserve">All Adjusted ESE Riders (Member Cat L)  </t>
  </si>
  <si>
    <t xml:space="preserve">(i) The Federally Connected Student Supplement provides additional funding for students on federal lands that receive Section 8003 impact aide pursuant to s. 1011.62(13), F.S. </t>
  </si>
  <si>
    <t xml:space="preserve">allocated by the Legislature for teacher compensation. </t>
  </si>
  <si>
    <t xml:space="preserve">(k) Consistent with s. 1002.33(20)(a)3, F.S., a school's sponsor may not charge or withhold any administrative fee against a charter school for any funds specfically </t>
  </si>
  <si>
    <t>(l) Consistent with s. 1002.33(20)(a), F.S., for charter schools with a population of 75% or more ESE students, the administrative fee shall be calculated based on</t>
  </si>
  <si>
    <t xml:space="preserve">multiplied by the greater of $1,951.26 or the district's prior year ESE Guaranteed funds per-FTE student. </t>
  </si>
  <si>
    <t xml:space="preserve">(m) Consistent with s. 1011.62(8), F.S., the calculation of the ESE Guaranteed Allocation calculation is based on the school's basic ESE FTE, less program 113 gifted FTE, </t>
  </si>
  <si>
    <t xml:space="preserve">population into 250. Multiply that fraction times the funds available, then times 5%.  For charter schools within a charter school system that meets the requirements </t>
  </si>
  <si>
    <t>in s. 1002.33(20)(a)2.a.(II), F.S., do the same calculation based on up to and including 500 students.</t>
  </si>
  <si>
    <t>2023-24</t>
  </si>
  <si>
    <t xml:space="preserve">Small District Factor:   </t>
  </si>
  <si>
    <t>Small District Factor:</t>
  </si>
  <si>
    <t xml:space="preserve">Comparable Wage Factor:   </t>
  </si>
  <si>
    <t xml:space="preserve">Comparable Wage Factor: </t>
  </si>
  <si>
    <t>(WFTE x BSA x CWF x SDF)</t>
  </si>
  <si>
    <t>1B. Classroom Teacher &amp; Other Instructional Personnel Salary Increase</t>
  </si>
  <si>
    <t>Maintenance and Growth Portions of the Salary Increase funds are part of the total Base Funding and are not treated as a separate allocation.</t>
  </si>
  <si>
    <t>Amounts are split out here for informative purposes and for the purposes of providing a total that may be used for calculating the adminstrative fee.</t>
  </si>
  <si>
    <t>Maintenance Portion (4.52% of Base Funding)</t>
  </si>
  <si>
    <t>(g) (k)</t>
  </si>
  <si>
    <t>Growth Portion (1.41% of Base Funding)</t>
  </si>
  <si>
    <t>Total Salary Increase</t>
  </si>
  <si>
    <t xml:space="preserve">          UFTE share.                          CS UFTE: </t>
  </si>
  <si>
    <t xml:space="preserve">          WFTE share.                       CS WFTE: </t>
  </si>
  <si>
    <r>
      <t xml:space="preserve">         </t>
    </r>
    <r>
      <rPr>
        <b/>
        <sz val="11"/>
        <rFont val="Calibri"/>
        <family val="2"/>
        <scheme val="minor"/>
      </rPr>
      <t xml:space="preserve"> UFTE share. </t>
    </r>
    <r>
      <rPr>
        <b/>
        <sz val="12"/>
        <rFont val="Calibri"/>
        <family val="2"/>
        <scheme val="minor"/>
      </rPr>
      <t xml:space="preserve">                           CS UFTE: </t>
    </r>
  </si>
  <si>
    <r>
      <t xml:space="preserve">         </t>
    </r>
    <r>
      <rPr>
        <b/>
        <sz val="11"/>
        <rFont val="Calibri"/>
        <family val="2"/>
        <scheme val="minor"/>
      </rPr>
      <t xml:space="preserve"> school's UFTE share. </t>
    </r>
    <r>
      <rPr>
        <b/>
        <sz val="12"/>
        <rFont val="Calibri"/>
        <family val="2"/>
        <scheme val="minor"/>
      </rPr>
      <t xml:space="preserve">                    CS UFTE: </t>
    </r>
  </si>
  <si>
    <t xml:space="preserve">          school's UFTE share.                  CS UFTE: </t>
  </si>
  <si>
    <t xml:space="preserve">          school's WFTE share.               CS WFTE: </t>
  </si>
  <si>
    <t xml:space="preserve">     /        District's total UFTE:</t>
  </si>
  <si>
    <t xml:space="preserve">     /        District's total WFTE:</t>
  </si>
  <si>
    <t xml:space="preserve"> /  District's total non-scholarship UFTE:</t>
  </si>
  <si>
    <t>/ by district's total non-virtual UFTE:</t>
  </si>
  <si>
    <r>
      <t xml:space="preserve">         </t>
    </r>
    <r>
      <rPr>
        <b/>
        <sz val="11"/>
        <rFont val="Calibri"/>
        <family val="2"/>
        <scheme val="minor"/>
      </rPr>
      <t xml:space="preserve"> school's UFTE share. </t>
    </r>
    <r>
      <rPr>
        <b/>
        <sz val="12"/>
        <rFont val="Calibri"/>
        <family val="2"/>
        <scheme val="minor"/>
      </rPr>
      <t xml:space="preserve">             CS UFTE: </t>
    </r>
  </si>
  <si>
    <t xml:space="preserve">    ÷                    District's total UFTE</t>
  </si>
  <si>
    <t xml:space="preserve">    ÷                    District's total WFTE</t>
  </si>
  <si>
    <t xml:space="preserve">    ÷     District's total non-scholarship UFTE    </t>
  </si>
  <si>
    <t xml:space="preserve">               ÷                  District's total non-virtual UFTE  </t>
  </si>
  <si>
    <t xml:space="preserve">÷   Dististict's total non-scholarship/virtual UFTE  </t>
  </si>
  <si>
    <r>
      <t xml:space="preserve">         </t>
    </r>
    <r>
      <rPr>
        <b/>
        <sz val="11"/>
        <rFont val="Calibri"/>
        <family val="2"/>
        <scheme val="minor"/>
      </rPr>
      <t xml:space="preserve"> obtain school's UFTE share. </t>
    </r>
    <r>
      <rPr>
        <b/>
        <sz val="12"/>
        <rFont val="Calibri"/>
        <family val="2"/>
        <scheme val="minor"/>
      </rPr>
      <t xml:space="preserve">         CS UFTE: </t>
    </r>
  </si>
  <si>
    <t>/ Dist total non-scholarship/virtual UFTE:</t>
  </si>
  <si>
    <t>(f)</t>
  </si>
  <si>
    <t>8.   Discretionary Local Effort (WFTE share)</t>
  </si>
  <si>
    <t>9.   Proration to Funds Available (WFTE share)</t>
  </si>
  <si>
    <t>10.  Class Size Reduction Funds:</t>
  </si>
  <si>
    <r>
      <rPr>
        <b/>
        <sz val="12"/>
        <rFont val="Calibri"/>
        <family val="2"/>
      </rPr>
      <t xml:space="preserve">  X  </t>
    </r>
    <r>
      <rPr>
        <b/>
        <u/>
        <sz val="12"/>
        <rFont val="Calibri"/>
        <family val="2"/>
      </rPr>
      <t>CWF</t>
    </r>
    <r>
      <rPr>
        <b/>
        <sz val="12"/>
        <rFont val="Calibri"/>
        <family val="2"/>
      </rPr>
      <t xml:space="preserve">  X</t>
    </r>
  </si>
  <si>
    <r>
      <t xml:space="preserve">  X  </t>
    </r>
    <r>
      <rPr>
        <b/>
        <u/>
        <sz val="12"/>
        <rFont val="Calibri"/>
        <family val="2"/>
      </rPr>
      <t>CWF</t>
    </r>
    <r>
      <rPr>
        <b/>
        <sz val="12"/>
        <rFont val="Calibri"/>
        <family val="2"/>
      </rPr>
      <t xml:space="preserve">  X</t>
    </r>
  </si>
  <si>
    <r>
      <rPr>
        <b/>
        <sz val="12"/>
        <rFont val="Calibri"/>
        <family val="2"/>
      </rPr>
      <t>X             CWF</t>
    </r>
    <r>
      <rPr>
        <b/>
        <sz val="12"/>
        <rFont val="Calibri"/>
        <family val="2"/>
      </rPr>
      <t xml:space="preserve">            X</t>
    </r>
  </si>
  <si>
    <t>X             CWF            X</t>
  </si>
  <si>
    <t>11.  Student Transportation</t>
  </si>
  <si>
    <t>12.  Federally Connected Student Supplement</t>
  </si>
  <si>
    <t>12.  Federally Connected Student Supplement (i)</t>
  </si>
  <si>
    <t>13.  Food Service Allocation</t>
  </si>
  <si>
    <t>1A.   2023-24 FEFP State and Local Funding</t>
  </si>
  <si>
    <t>14. Total Less Total Salary Increase - Item 1B. (for administrative fee calculation)</t>
  </si>
  <si>
    <t>14A.  Funding for the purpose of calculating the administrative fee for ESE charter schools.</t>
  </si>
  <si>
    <t>Avaya Maintenance</t>
  </si>
  <si>
    <t>WPB-268128</t>
  </si>
  <si>
    <t>WPB-268356</t>
  </si>
  <si>
    <t>PK-3</t>
  </si>
  <si>
    <t>Grade</t>
  </si>
  <si>
    <t>Matrix</t>
  </si>
  <si>
    <t>Guarantee</t>
  </si>
  <si>
    <t>2.   ESE Guaranteed Allocation:</t>
  </si>
  <si>
    <t>Level</t>
  </si>
  <si>
    <t>Per Student</t>
  </si>
  <si>
    <t/>
  </si>
  <si>
    <t>Additional Funding from the ESE Guaranteed Allocation. Enter the FTE from 111,112 and 113 by grade and matrix level.  Students who do not have a matrix level should be considered 251.  This total should equal all FTE from programs 111, 112 and 113 above.</t>
  </si>
  <si>
    <t>Total ESE Guarantee</t>
  </si>
  <si>
    <t>Grade Level</t>
  </si>
  <si>
    <t>3A.   Divide school's Unweighted FTE (UFTE) total computed in Section 1, cell E30 above by the district's total UFTE to obtain school's</t>
  </si>
  <si>
    <t>3B.   Divide school's Weighted FTE (WFTE) total computed in Section 1, cell H30 above by the district's total WFTE to obtain school's</t>
  </si>
  <si>
    <t>3C.   Divide school's Unweighted FTE (UFTE) total computed in Section 1, cell E30 above by the District's total non-scholarship UFTE to obtain school's</t>
  </si>
  <si>
    <t>3D.   Divide school's Unweighted FTE (UFTE) total computed in Section 1, cell E30 above by the District's total non-virtual UFTE to obtain school's</t>
  </si>
  <si>
    <t xml:space="preserve">3E.   Divide school's Unweighted FTE (UFTE) total computed in Section 1, cell E30 above by the district's total non-scholarship/virtual UFTE to obtain </t>
  </si>
  <si>
    <t>4.   Educational Enrichment Share (Non-virtual UFTE share)</t>
  </si>
  <si>
    <t>6.   Safe Schools Allocation (Non-scholarship/virtual UFTE share)</t>
  </si>
  <si>
    <r>
      <t xml:space="preserve">7.   </t>
    </r>
    <r>
      <rPr>
        <b/>
        <sz val="11"/>
        <rFont val="Calibri"/>
        <family val="2"/>
        <scheme val="minor"/>
      </rPr>
      <t>Mental Health Assistance Allocation (Non-scholarship UFTE share)</t>
    </r>
  </si>
  <si>
    <t>3A.   Divide school's Unweighted FTE (UFTE) total computed in Section 1, cell E30 above by the District's total UFTE to obtain</t>
  </si>
  <si>
    <t>3B.   Divide school's Weighted FTE (WFTE) total computed in Section 1, cell H30 above by the District's total WFTE to obtain</t>
  </si>
  <si>
    <t>3C.   Divide school's Unweighted FTE (UFTE) total computed in Section 1, cell E30 above by the District's total non-scholarship UFTE to obtain</t>
  </si>
  <si>
    <t>3D.   Divide school's Unweighted FTE (UFTE) total computed in Section 1, cell E30 above by the District's total non-virtual UFTE to obtain</t>
  </si>
  <si>
    <t>3E.   Divide school's Unweighted FTE (UFTE) total computed in Section 1, cell E30 above by the District's total non-scholarship/virtual UFTE to</t>
  </si>
  <si>
    <t>5.   Discretionary Millage Compression Allocation (UFTE share)</t>
  </si>
  <si>
    <t>Total Less Total Salary Increase - Item 1B. (for administrative fee calculation)</t>
  </si>
  <si>
    <t>Funding for the purpose of calculating the administrative fee for ESE charter schools.</t>
  </si>
  <si>
    <t xml:space="preserve">(a) Additional FTE includes FTE earned through Advanced Placement, International Baccalaureate, Advanced International Certificate of Education, Industry Certified Career Education (CAPE), Early High School Graduation, the small district ESE Supplement and Dual Enrollment pursuant to s. 1011.62(1)(i-p), F.S. </t>
  </si>
  <si>
    <t xml:space="preserve">(g) This allocation will be frozen as of the 2023-24 FEFP Conference Calculation and will not be recalculated throughout the year. Charter school allocations are recommended not to be recalculated with fluctuations in student enrollment later in the year. </t>
  </si>
  <si>
    <t>(h)  Numbers entered here will be multiplied by the district level transportation funding per rider. "All Adjusted Fundable Riders" should include both basic and ESE Riders. "All Adjusted ESE Riders" should include only ESE Riders.</t>
  </si>
  <si>
    <t xml:space="preserve">(k) Consistent with s. 1002.33(20)(a)3, F.S., a school's sponsor may not charge or withhold any administrative fee against a charter school for any funds specfically allocated by the Legislature for teacher compensation. </t>
  </si>
  <si>
    <t xml:space="preserve">(l) Consistent with s. 1002.33(20)(a), F.S., for charter schools with a population of 75% or more ESE students, the administrative fee shall be calculated based on unweighted full-time equivalent students. </t>
  </si>
  <si>
    <t xml:space="preserve">Administrative fees charged by the school district pursuant to s. 1002.33(20)(a), F.S., shall be calculated based upon 5%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5%. For charter schools within a charter school system that meets the requirements in s. 1002.33(20)(a)2.a.(II), F.S., do the same calculation based for up to and including 500 students. </t>
  </si>
  <si>
    <t xml:space="preserve">For high performing charter schools, administrative fees charged by the school district shall be calculated based upon 2%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2%.  </t>
  </si>
  <si>
    <t>FEFP and categorical funding are recalculated during the year to reflect the revised number of full-time equivalent students reported during the survey periods designated by the Commissioner of Education.</t>
  </si>
  <si>
    <t>WPB-271562</t>
  </si>
  <si>
    <t>Sep Teacher Supplies Retract</t>
  </si>
  <si>
    <t>WPB- 274577</t>
  </si>
  <si>
    <t>WPB- 274470</t>
  </si>
  <si>
    <t>Oct 2023</t>
  </si>
  <si>
    <t>Feb 2024</t>
  </si>
  <si>
    <t>10.  Educational Enrollment Stabilization Program (UFTE Share)</t>
  </si>
  <si>
    <t>11.  Class Size Reduction Funds:</t>
  </si>
  <si>
    <t>12.  Student Transportation</t>
  </si>
  <si>
    <t>13.  Federally Connected Student Supplement</t>
  </si>
  <si>
    <t>13.  Federally Connected Student Supplement (i)</t>
  </si>
  <si>
    <t>15.  Funding for the purpose of calculating the administrative fee for ESE charter schools.</t>
  </si>
  <si>
    <t>15. Total Funding for Calculating the Administrative fee of Charters with More Than 75% ESE Students.</t>
  </si>
  <si>
    <t>15  Funding for the purpose of calculating the administrative fee for ESE charter schools.</t>
  </si>
  <si>
    <t>12.  Food Service Allocation</t>
  </si>
  <si>
    <t>Based on the FLDOE 2023-24 FEFP Third Calculation</t>
  </si>
  <si>
    <t>Apr 2024</t>
  </si>
  <si>
    <r>
      <t xml:space="preserve">April </t>
    </r>
    <r>
      <rPr>
        <b/>
        <sz val="10"/>
        <color indexed="12"/>
        <rFont val="Calibri"/>
        <family val="2"/>
      </rPr>
      <t xml:space="preserve">2024 - </t>
    </r>
    <r>
      <rPr>
        <b/>
        <sz val="10"/>
        <rFont val="Calibri"/>
        <family val="2"/>
      </rPr>
      <t xml:space="preserve">FY </t>
    </r>
    <r>
      <rPr>
        <b/>
        <sz val="10"/>
        <color indexed="12"/>
        <rFont val="Calibri"/>
        <family val="2"/>
      </rPr>
      <t xml:space="preserve">2024 </t>
    </r>
    <r>
      <rPr>
        <b/>
        <sz val="10"/>
        <rFont val="Calibri"/>
        <family val="2"/>
      </rPr>
      <t>Charter School FTE Payment</t>
    </r>
  </si>
  <si>
    <t>FTE April  2024</t>
  </si>
  <si>
    <t>Receivable Collection 4102</t>
  </si>
  <si>
    <t>WPB-280088</t>
  </si>
  <si>
    <t>WPB-288008</t>
  </si>
  <si>
    <t>Receiveable Collection</t>
  </si>
  <si>
    <t>Oversight web page.</t>
  </si>
  <si>
    <t>1. The FLDOE released the Feb 2023 FTE Survey 3 report on 03/11/24. FTE counts from this report are used in</t>
  </si>
  <si>
    <t>the April 2024 payment calculations. This report has been uploaded to the District's Charter School Fiscal</t>
  </si>
  <si>
    <t>2. As of 04/05/24, 9:45am, the FLDOE has not released the 2023-24 Foruth Calculation Charter School Revenue</t>
  </si>
  <si>
    <t>Worksheet. The April 2024 payments are based on the 2023-24 Third Calculation.</t>
  </si>
  <si>
    <t>3. The ESE Guaranteed Allocation FTE numbers are not provided by the FLDOE, but by the District's IT</t>
  </si>
  <si>
    <t>4. The Student Transportation FTE numbers are not provided by the FLDOE, but by the District's Transportation</t>
  </si>
  <si>
    <t>Department. Updated information for the Feb 2024 Survey 3 has not yet been received from the IT</t>
  </si>
  <si>
    <t xml:space="preserve">Department. The April 2024 ESE Guaranteed Allocation was calcuated based on the percentage breakout </t>
  </si>
  <si>
    <t xml:space="preserve">from the Oct 2023 Survey 2. </t>
  </si>
  <si>
    <t>&amp; IT Departments. Updated information for the Feb 2024 Survey 3 has not yet been received.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</si>
</sst>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 numFmtId="181" formatCode="_(* #,##0.0000_);_(* \(#,##0.0000\);_(* &quot;-&quot;??_);_(@_)"/>
  </numFmts>
  <fonts count="50" x14ac:knownFonts="1">
    <font>
      <sz val="10"/>
      <name val="Arial"/>
    </font>
    <font>
      <sz val="11"/>
      <color theme="1"/>
      <name val="Calibri"/>
      <family val="2"/>
      <scheme val="minor"/>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b/>
      <sz val="10"/>
      <name val="Calibri"/>
      <family val="2"/>
    </font>
    <font>
      <b/>
      <sz val="8"/>
      <name val="Arial"/>
      <family val="2"/>
    </font>
    <font>
      <b/>
      <sz val="10"/>
      <color indexed="12"/>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b/>
      <u/>
      <sz val="10"/>
      <name val="Calibri"/>
      <family val="2"/>
      <scheme val="minor"/>
    </font>
    <font>
      <sz val="10"/>
      <color rgb="FFFFFF0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
      <b/>
      <sz val="8"/>
      <name val="Calibri"/>
      <family val="2"/>
      <scheme val="minor"/>
    </font>
    <font>
      <b/>
      <sz val="9"/>
      <name val="Calibri"/>
      <family val="2"/>
      <scheme val="minor"/>
    </font>
    <font>
      <sz val="12"/>
      <color rgb="FFFF0000"/>
      <name val="Calibri"/>
      <family val="2"/>
      <scheme val="minor"/>
    </font>
    <font>
      <sz val="12"/>
      <color indexed="8"/>
      <name val="Calibri"/>
      <family val="2"/>
      <scheme val="minor"/>
    </font>
    <font>
      <b/>
      <sz val="12"/>
      <color indexed="8"/>
      <name val="Calibri"/>
      <family val="2"/>
      <scheme val="minor"/>
    </font>
    <font>
      <b/>
      <sz val="8"/>
      <color rgb="FFFF0000"/>
      <name val="Calibri"/>
      <family val="2"/>
      <scheme val="minor"/>
    </font>
    <font>
      <b/>
      <sz val="10"/>
      <name val="Times New Roman"/>
      <family val="1"/>
    </font>
    <font>
      <b/>
      <u/>
      <sz val="10"/>
      <name val="Times New Roman"/>
      <family val="1"/>
    </font>
    <font>
      <b/>
      <i/>
      <sz val="10"/>
      <name val="Times New Roman"/>
      <family val="1"/>
    </font>
  </fonts>
  <fills count="10">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1"/>
        <bgColor indexed="64"/>
      </patternFill>
    </fill>
  </fills>
  <borders count="24">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diagonal/>
    </border>
  </borders>
  <cellStyleXfs count="14">
    <xf numFmtId="0" fontId="0" fillId="0" borderId="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4" fontId="11"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11" fillId="0" borderId="0"/>
    <xf numFmtId="9" fontId="2" fillId="0" borderId="0" applyFont="0" applyFill="0" applyBorder="0" applyAlignment="0" applyProtection="0"/>
    <xf numFmtId="9" fontId="11" fillId="0" borderId="0" applyFont="0" applyFill="0" applyBorder="0" applyAlignment="0" applyProtection="0"/>
    <xf numFmtId="0" fontId="1" fillId="0" borderId="0"/>
    <xf numFmtId="43" fontId="1" fillId="0" borderId="0" applyFont="0" applyFill="0" applyBorder="0" applyAlignment="0" applyProtection="0"/>
  </cellStyleXfs>
  <cellXfs count="648">
    <xf numFmtId="0" fontId="0" fillId="0" borderId="0" xfId="0"/>
    <xf numFmtId="0" fontId="12" fillId="0" borderId="0" xfId="0" quotePrefix="1" applyFont="1" applyAlignment="1">
      <alignment horizontal="left"/>
    </xf>
    <xf numFmtId="0" fontId="12" fillId="0" borderId="0" xfId="0" applyFont="1"/>
    <xf numFmtId="0" fontId="13" fillId="0" borderId="0" xfId="0" applyFont="1"/>
    <xf numFmtId="4" fontId="14" fillId="0" borderId="0" xfId="0" applyNumberFormat="1" applyFont="1"/>
    <xf numFmtId="4" fontId="14" fillId="2" borderId="0" xfId="0" applyNumberFormat="1" applyFont="1" applyFill="1"/>
    <xf numFmtId="4" fontId="14" fillId="2" borderId="0" xfId="0" applyNumberFormat="1" applyFont="1" applyFill="1" applyAlignment="1">
      <alignment horizontal="left"/>
    </xf>
    <xf numFmtId="0" fontId="15" fillId="0" borderId="0" xfId="0" applyFont="1" applyAlignment="1">
      <alignment horizontal="center"/>
    </xf>
    <xf numFmtId="7" fontId="16" fillId="0" borderId="0" xfId="0" applyNumberFormat="1" applyFont="1" applyAlignment="1">
      <alignment horizontal="center"/>
    </xf>
    <xf numFmtId="168" fontId="13" fillId="0" borderId="0" xfId="0" applyNumberFormat="1" applyFont="1" applyAlignment="1">
      <alignment wrapText="1"/>
    </xf>
    <xf numFmtId="4" fontId="13" fillId="0" borderId="0" xfId="0" applyNumberFormat="1" applyFont="1" applyAlignment="1">
      <alignment horizontal="center" wrapText="1"/>
    </xf>
    <xf numFmtId="164" fontId="13" fillId="0" borderId="0" xfId="6" applyFont="1" applyBorder="1" applyAlignment="1">
      <alignment horizontal="center" wrapText="1"/>
    </xf>
    <xf numFmtId="0" fontId="15" fillId="2" borderId="0" xfId="0" applyFont="1" applyFill="1" applyAlignment="1">
      <alignment horizontal="center"/>
    </xf>
    <xf numFmtId="7" fontId="16" fillId="2" borderId="0" xfId="0" applyNumberFormat="1" applyFont="1" applyFill="1" applyAlignment="1">
      <alignment horizontal="center"/>
    </xf>
    <xf numFmtId="168" fontId="13" fillId="2" borderId="0" xfId="0" applyNumberFormat="1" applyFont="1" applyFill="1" applyAlignment="1">
      <alignment wrapText="1"/>
    </xf>
    <xf numFmtId="4" fontId="13" fillId="2" borderId="0" xfId="0" applyNumberFormat="1" applyFont="1" applyFill="1" applyAlignment="1">
      <alignment horizontal="center" wrapText="1"/>
    </xf>
    <xf numFmtId="164" fontId="13" fillId="2" borderId="0" xfId="6" applyFont="1" applyFill="1" applyBorder="1" applyAlignment="1">
      <alignment horizontal="center" wrapText="1"/>
    </xf>
    <xf numFmtId="4" fontId="13" fillId="0" borderId="1" xfId="0" applyNumberFormat="1" applyFont="1" applyBorder="1" applyAlignment="1">
      <alignment horizontal="center" wrapText="1"/>
    </xf>
    <xf numFmtId="4" fontId="13" fillId="2" borderId="1" xfId="0" applyNumberFormat="1" applyFont="1" applyFill="1" applyBorder="1" applyAlignment="1">
      <alignment horizontal="center" wrapText="1"/>
    </xf>
    <xf numFmtId="164" fontId="17" fillId="2" borderId="1" xfId="6" applyFont="1" applyFill="1" applyBorder="1" applyAlignment="1">
      <alignment horizontal="center" wrapText="1"/>
    </xf>
    <xf numFmtId="4" fontId="13" fillId="0" borderId="1" xfId="0" quotePrefix="1" applyNumberFormat="1" applyFont="1" applyBorder="1" applyAlignment="1">
      <alignment horizontal="center"/>
    </xf>
    <xf numFmtId="164" fontId="13" fillId="0" borderId="1" xfId="6" quotePrefix="1" applyFont="1" applyBorder="1" applyAlignment="1">
      <alignment horizontal="center"/>
    </xf>
    <xf numFmtId="4" fontId="13" fillId="2" borderId="1" xfId="0" quotePrefix="1" applyNumberFormat="1" applyFont="1" applyFill="1" applyBorder="1" applyAlignment="1">
      <alignment horizontal="center"/>
    </xf>
    <xf numFmtId="164" fontId="13" fillId="2" borderId="1" xfId="6" quotePrefix="1" applyFont="1" applyFill="1" applyBorder="1" applyAlignment="1">
      <alignment horizontal="center"/>
    </xf>
    <xf numFmtId="170" fontId="13" fillId="0" borderId="0" xfId="6" applyNumberFormat="1" applyFont="1" applyBorder="1" applyAlignment="1">
      <alignment horizontal="center"/>
    </xf>
    <xf numFmtId="170" fontId="13" fillId="2" borderId="0" xfId="6" applyNumberFormat="1" applyFont="1" applyFill="1" applyBorder="1" applyAlignment="1">
      <alignment horizontal="center"/>
    </xf>
    <xf numFmtId="0" fontId="13" fillId="0" borderId="0" xfId="0" applyFont="1" applyAlignment="1">
      <alignment horizontal="right"/>
    </xf>
    <xf numFmtId="2" fontId="13" fillId="0" borderId="0" xfId="0" applyNumberFormat="1" applyFont="1" applyAlignment="1">
      <alignment horizontal="center"/>
    </xf>
    <xf numFmtId="0" fontId="13" fillId="2" borderId="0" xfId="0" applyFont="1" applyFill="1" applyAlignment="1">
      <alignment horizontal="right"/>
    </xf>
    <xf numFmtId="2" fontId="18" fillId="2" borderId="0" xfId="0" applyNumberFormat="1" applyFont="1" applyFill="1" applyAlignment="1">
      <alignment horizontal="center"/>
    </xf>
    <xf numFmtId="2" fontId="13" fillId="2" borderId="0" xfId="0" applyNumberFormat="1" applyFont="1" applyFill="1" applyAlignment="1">
      <alignment horizontal="center"/>
    </xf>
    <xf numFmtId="164" fontId="17" fillId="0" borderId="1" xfId="6" applyFont="1" applyBorder="1" applyAlignment="1">
      <alignment horizontal="center" wrapText="1"/>
    </xf>
    <xf numFmtId="169" fontId="13" fillId="0" borderId="0" xfId="0" applyNumberFormat="1" applyFont="1" applyAlignment="1">
      <alignment horizontal="right"/>
    </xf>
    <xf numFmtId="169" fontId="13" fillId="2" borderId="0" xfId="0" applyNumberFormat="1" applyFont="1" applyFill="1" applyAlignment="1">
      <alignment horizontal="right"/>
    </xf>
    <xf numFmtId="169" fontId="18" fillId="0" borderId="0" xfId="0" applyNumberFormat="1" applyFont="1" applyAlignment="1">
      <alignment horizontal="right"/>
    </xf>
    <xf numFmtId="169" fontId="18" fillId="2" borderId="0" xfId="0" applyNumberFormat="1" applyFont="1" applyFill="1" applyAlignment="1">
      <alignment horizontal="right"/>
    </xf>
    <xf numFmtId="0" fontId="13" fillId="0" borderId="1" xfId="0" applyFont="1" applyBorder="1"/>
    <xf numFmtId="0" fontId="13" fillId="0" borderId="0" xfId="0" applyFont="1" applyAlignment="1">
      <alignment horizontal="center"/>
    </xf>
    <xf numFmtId="0" fontId="13" fillId="2" borderId="0" xfId="0" applyFont="1" applyFill="1" applyAlignment="1">
      <alignment horizontal="center"/>
    </xf>
    <xf numFmtId="0" fontId="13" fillId="0" borderId="0" xfId="0" quotePrefix="1" applyFont="1" applyAlignment="1">
      <alignment horizontal="center"/>
    </xf>
    <xf numFmtId="0" fontId="13" fillId="2" borderId="0" xfId="0" quotePrefix="1" applyFont="1" applyFill="1" applyAlignment="1">
      <alignment horizontal="center"/>
    </xf>
    <xf numFmtId="4" fontId="18" fillId="2" borderId="1" xfId="0" applyNumberFormat="1" applyFont="1" applyFill="1" applyBorder="1" applyAlignment="1">
      <alignment horizontal="center"/>
    </xf>
    <xf numFmtId="0" fontId="15" fillId="0" borderId="0" xfId="0" quotePrefix="1" applyFont="1" applyAlignment="1">
      <alignment horizontal="center"/>
    </xf>
    <xf numFmtId="4" fontId="13" fillId="0" borderId="0" xfId="0" quotePrefix="1" applyNumberFormat="1" applyFont="1" applyAlignment="1">
      <alignment horizontal="center"/>
    </xf>
    <xf numFmtId="4" fontId="13" fillId="2" borderId="0" xfId="0" quotePrefix="1" applyNumberFormat="1" applyFont="1" applyFill="1" applyAlignment="1">
      <alignment horizontal="center"/>
    </xf>
    <xf numFmtId="0" fontId="13" fillId="2" borderId="0" xfId="0" applyFont="1" applyFill="1" applyAlignment="1">
      <alignment horizontal="left"/>
    </xf>
    <xf numFmtId="169" fontId="13" fillId="0" borderId="0" xfId="0" applyNumberFormat="1" applyFont="1" applyAlignment="1">
      <alignment horizontal="center"/>
    </xf>
    <xf numFmtId="169" fontId="13" fillId="2" borderId="0" xfId="0" applyNumberFormat="1" applyFont="1" applyFill="1" applyAlignment="1">
      <alignment horizontal="center"/>
    </xf>
    <xf numFmtId="4" fontId="13" fillId="2" borderId="0" xfId="0" applyNumberFormat="1" applyFont="1" applyFill="1" applyAlignment="1">
      <alignment horizontal="center"/>
    </xf>
    <xf numFmtId="16" fontId="13" fillId="0" borderId="0" xfId="0" quotePrefix="1" applyNumberFormat="1" applyFont="1" applyAlignment="1">
      <alignment horizontal="right"/>
    </xf>
    <xf numFmtId="16" fontId="13" fillId="2" borderId="0" xfId="0" quotePrefix="1" applyNumberFormat="1" applyFont="1" applyFill="1" applyAlignment="1">
      <alignment horizontal="right"/>
    </xf>
    <xf numFmtId="0" fontId="13" fillId="2" borderId="0" xfId="0" applyFont="1" applyFill="1"/>
    <xf numFmtId="0" fontId="13" fillId="0" borderId="0" xfId="0" quotePrefix="1" applyFont="1" applyAlignment="1">
      <alignment horizontal="right"/>
    </xf>
    <xf numFmtId="0" fontId="13" fillId="2" borderId="0" xfId="0" quotePrefix="1" applyFont="1" applyFill="1" applyAlignment="1">
      <alignment horizontal="right"/>
    </xf>
    <xf numFmtId="169" fontId="13" fillId="2" borderId="2" xfId="0" applyNumberFormat="1" applyFont="1" applyFill="1" applyBorder="1" applyAlignment="1">
      <alignment horizontal="center"/>
    </xf>
    <xf numFmtId="165" fontId="13" fillId="0" borderId="0" xfId="4" applyFont="1" applyBorder="1" applyAlignment="1">
      <alignment horizontal="right"/>
    </xf>
    <xf numFmtId="165" fontId="13" fillId="2" borderId="0" xfId="4" applyFont="1" applyFill="1" applyBorder="1" applyAlignment="1">
      <alignment horizontal="right"/>
    </xf>
    <xf numFmtId="169" fontId="13" fillId="2" borderId="3" xfId="0" applyNumberFormat="1" applyFont="1" applyFill="1" applyBorder="1" applyAlignment="1">
      <alignment horizontal="center"/>
    </xf>
    <xf numFmtId="38" fontId="13" fillId="2" borderId="0" xfId="0" quotePrefix="1" applyNumberFormat="1" applyFont="1" applyFill="1"/>
    <xf numFmtId="0" fontId="13" fillId="0" borderId="1" xfId="0" applyFont="1" applyBorder="1" applyAlignment="1">
      <alignment horizontal="center"/>
    </xf>
    <xf numFmtId="0" fontId="13" fillId="2" borderId="1" xfId="0" applyFont="1" applyFill="1" applyBorder="1" applyAlignment="1">
      <alignment horizontal="center"/>
    </xf>
    <xf numFmtId="7" fontId="13" fillId="3" borderId="0" xfId="0" applyNumberFormat="1" applyFont="1" applyFill="1"/>
    <xf numFmtId="7" fontId="13" fillId="2" borderId="0" xfId="0" applyNumberFormat="1" applyFont="1" applyFill="1"/>
    <xf numFmtId="7" fontId="13" fillId="3" borderId="1" xfId="0" applyNumberFormat="1" applyFont="1" applyFill="1" applyBorder="1"/>
    <xf numFmtId="7" fontId="13" fillId="2" borderId="1" xfId="0" applyNumberFormat="1" applyFont="1" applyFill="1" applyBorder="1"/>
    <xf numFmtId="0" fontId="19" fillId="0" borderId="0" xfId="0" applyFont="1"/>
    <xf numFmtId="0" fontId="19" fillId="2" borderId="0" xfId="0" applyFont="1" applyFill="1"/>
    <xf numFmtId="170" fontId="13" fillId="2" borderId="3" xfId="0" applyNumberFormat="1" applyFont="1" applyFill="1" applyBorder="1"/>
    <xf numFmtId="3" fontId="13" fillId="0" borderId="0" xfId="0" quotePrefix="1" applyNumberFormat="1" applyFont="1" applyAlignment="1">
      <alignment horizontal="center"/>
    </xf>
    <xf numFmtId="0" fontId="13" fillId="0" borderId="0" xfId="0" applyFont="1" applyAlignment="1">
      <alignment horizontal="left"/>
    </xf>
    <xf numFmtId="0" fontId="19" fillId="4" borderId="4" xfId="0" applyFont="1" applyFill="1" applyBorder="1" applyAlignment="1">
      <alignment horizontal="center"/>
    </xf>
    <xf numFmtId="0" fontId="17" fillId="2" borderId="0" xfId="0" applyFont="1" applyFill="1"/>
    <xf numFmtId="0" fontId="17" fillId="2" borderId="0" xfId="0" quotePrefix="1" applyFont="1" applyFill="1" applyAlignment="1">
      <alignment horizontal="left"/>
    </xf>
    <xf numFmtId="0" fontId="17" fillId="0" borderId="0" xfId="0" applyFont="1" applyAlignment="1">
      <alignment horizontal="left"/>
    </xf>
    <xf numFmtId="171" fontId="13" fillId="0" borderId="0" xfId="0" applyNumberFormat="1" applyFont="1" applyAlignment="1">
      <alignment horizontal="left"/>
    </xf>
    <xf numFmtId="169" fontId="15" fillId="0" borderId="0" xfId="0" applyNumberFormat="1" applyFont="1"/>
    <xf numFmtId="0" fontId="13" fillId="0" borderId="0" xfId="0" applyFont="1" applyAlignment="1">
      <alignment vertical="center"/>
    </xf>
    <xf numFmtId="170" fontId="13" fillId="0" borderId="0" xfId="0" applyNumberFormat="1" applyFont="1" applyAlignment="1">
      <alignment vertical="center"/>
    </xf>
    <xf numFmtId="171" fontId="13" fillId="0" borderId="0" xfId="0" applyNumberFormat="1" applyFont="1" applyAlignment="1">
      <alignment horizontal="left" vertical="center"/>
    </xf>
    <xf numFmtId="0" fontId="15" fillId="0" borderId="0" xfId="0" applyFont="1" applyAlignment="1">
      <alignment vertical="center"/>
    </xf>
    <xf numFmtId="172" fontId="13" fillId="0" borderId="0" xfId="0" applyNumberFormat="1" applyFont="1"/>
    <xf numFmtId="0" fontId="13" fillId="0" borderId="0" xfId="0" quotePrefix="1" applyFont="1" applyAlignment="1">
      <alignment horizontal="left"/>
    </xf>
    <xf numFmtId="0" fontId="20" fillId="0" borderId="3" xfId="0" applyFont="1" applyBorder="1"/>
    <xf numFmtId="4" fontId="13" fillId="2" borderId="0" xfId="0" applyNumberFormat="1" applyFont="1" applyFill="1" applyAlignment="1">
      <alignment horizontal="left"/>
    </xf>
    <xf numFmtId="0" fontId="15" fillId="0" borderId="0" xfId="0" quotePrefix="1" applyFont="1"/>
    <xf numFmtId="0" fontId="15" fillId="0" borderId="0" xfId="0" quotePrefix="1" applyFont="1" applyAlignment="1">
      <alignment horizontal="right"/>
    </xf>
    <xf numFmtId="49" fontId="15" fillId="0" borderId="0" xfId="0" applyNumberFormat="1" applyFont="1"/>
    <xf numFmtId="49" fontId="15" fillId="0" borderId="0" xfId="0" applyNumberFormat="1" applyFont="1" applyProtection="1">
      <protection locked="0"/>
    </xf>
    <xf numFmtId="7" fontId="19" fillId="0" borderId="0" xfId="0" quotePrefix="1" applyNumberFormat="1" applyFont="1" applyAlignment="1">
      <alignment horizontal="center"/>
    </xf>
    <xf numFmtId="7" fontId="19" fillId="0" borderId="0" xfId="0" applyNumberFormat="1" applyFont="1" applyAlignment="1">
      <alignment horizontal="center"/>
    </xf>
    <xf numFmtId="0" fontId="19" fillId="0" borderId="1" xfId="0" applyFont="1" applyBorder="1" applyAlignment="1">
      <alignment horizontal="center"/>
    </xf>
    <xf numFmtId="0" fontId="20" fillId="0" borderId="1" xfId="0" quotePrefix="1" applyFont="1" applyBorder="1"/>
    <xf numFmtId="0" fontId="13" fillId="0" borderId="1" xfId="0" quotePrefix="1" applyFont="1" applyBorder="1" applyAlignment="1">
      <alignment horizontal="center"/>
    </xf>
    <xf numFmtId="172" fontId="13" fillId="0" borderId="1" xfId="0" applyNumberFormat="1" applyFont="1" applyBorder="1"/>
    <xf numFmtId="43" fontId="13" fillId="0" borderId="1" xfId="1" applyFont="1" applyBorder="1" applyAlignment="1"/>
    <xf numFmtId="167" fontId="13" fillId="2" borderId="1" xfId="0" applyNumberFormat="1" applyFont="1" applyFill="1" applyBorder="1"/>
    <xf numFmtId="170" fontId="13" fillId="2" borderId="1" xfId="6" applyNumberFormat="1" applyFont="1" applyFill="1" applyBorder="1" applyAlignment="1"/>
    <xf numFmtId="43" fontId="13" fillId="0" borderId="5" xfId="1" applyFont="1" applyBorder="1" applyAlignment="1"/>
    <xf numFmtId="170" fontId="13" fillId="2" borderId="5" xfId="6" applyNumberFormat="1" applyFont="1" applyFill="1" applyBorder="1" applyAlignment="1"/>
    <xf numFmtId="172" fontId="13" fillId="0" borderId="5" xfId="0" applyNumberFormat="1" applyFont="1" applyBorder="1"/>
    <xf numFmtId="169" fontId="13" fillId="2" borderId="5" xfId="0" applyNumberFormat="1" applyFont="1" applyFill="1" applyBorder="1"/>
    <xf numFmtId="43" fontId="13" fillId="0" borderId="0" xfId="1" applyFont="1" applyBorder="1" applyAlignment="1"/>
    <xf numFmtId="169" fontId="13" fillId="2" borderId="0" xfId="0" applyNumberFormat="1" applyFont="1" applyFill="1"/>
    <xf numFmtId="170" fontId="13" fillId="2" borderId="0" xfId="6" applyNumberFormat="1" applyFont="1" applyFill="1" applyBorder="1" applyAlignment="1"/>
    <xf numFmtId="169" fontId="13" fillId="0" borderId="0" xfId="0" applyNumberFormat="1" applyFont="1"/>
    <xf numFmtId="2" fontId="19" fillId="0" borderId="1" xfId="0" applyNumberFormat="1" applyFont="1" applyBorder="1"/>
    <xf numFmtId="2" fontId="13" fillId="0" borderId="0" xfId="0" applyNumberFormat="1" applyFont="1"/>
    <xf numFmtId="2" fontId="13" fillId="0" borderId="0" xfId="0" quotePrefix="1" applyNumberFormat="1" applyFont="1" applyAlignment="1">
      <alignment horizontal="right"/>
    </xf>
    <xf numFmtId="170" fontId="13" fillId="2" borderId="3" xfId="6" applyNumberFormat="1" applyFont="1" applyFill="1" applyBorder="1" applyAlignment="1"/>
    <xf numFmtId="2" fontId="13" fillId="0" borderId="0" xfId="0" quotePrefix="1" applyNumberFormat="1" applyFont="1" applyAlignment="1">
      <alignment horizontal="center"/>
    </xf>
    <xf numFmtId="43" fontId="21" fillId="4" borderId="1" xfId="1" applyFont="1" applyFill="1" applyBorder="1" applyAlignment="1"/>
    <xf numFmtId="43" fontId="13" fillId="0" borderId="6" xfId="1" applyFont="1" applyBorder="1" applyAlignment="1"/>
    <xf numFmtId="43" fontId="18" fillId="0" borderId="1" xfId="1" applyFont="1" applyBorder="1" applyAlignment="1">
      <alignment horizontal="center"/>
    </xf>
    <xf numFmtId="4" fontId="22" fillId="0" borderId="0" xfId="0" applyNumberFormat="1" applyFont="1"/>
    <xf numFmtId="166" fontId="18" fillId="0" borderId="0" xfId="0" applyNumberFormat="1" applyFont="1" applyAlignment="1">
      <alignment horizontal="center"/>
    </xf>
    <xf numFmtId="166" fontId="18" fillId="0" borderId="0" xfId="0" applyNumberFormat="1" applyFont="1"/>
    <xf numFmtId="43" fontId="13" fillId="0" borderId="0" xfId="1" applyFont="1" applyFill="1" applyBorder="1" applyAlignment="1"/>
    <xf numFmtId="41" fontId="13" fillId="0" borderId="0" xfId="1" applyNumberFormat="1" applyFont="1" applyFill="1" applyBorder="1" applyAlignment="1"/>
    <xf numFmtId="0" fontId="22" fillId="0" borderId="0" xfId="0" applyFont="1"/>
    <xf numFmtId="0" fontId="22" fillId="0" borderId="0" xfId="0" quotePrefix="1" applyFont="1" applyAlignment="1">
      <alignment horizontal="left"/>
    </xf>
    <xf numFmtId="4" fontId="13" fillId="0" borderId="1" xfId="0" applyNumberFormat="1" applyFont="1" applyBorder="1" applyAlignment="1">
      <alignment horizontal="center"/>
    </xf>
    <xf numFmtId="4" fontId="13" fillId="0" borderId="0" xfId="0" applyNumberFormat="1" applyFont="1"/>
    <xf numFmtId="165" fontId="13" fillId="0" borderId="0" xfId="4" quotePrefix="1" applyFont="1" applyBorder="1" applyAlignment="1">
      <alignment horizontal="right"/>
    </xf>
    <xf numFmtId="165" fontId="13" fillId="0" borderId="0" xfId="4" applyFont="1" applyBorder="1" applyAlignment="1"/>
    <xf numFmtId="165" fontId="13" fillId="0" borderId="7" xfId="4" quotePrefix="1" applyFont="1" applyBorder="1" applyAlignment="1">
      <alignment horizontal="right"/>
    </xf>
    <xf numFmtId="4" fontId="13" fillId="2" borderId="0" xfId="0" quotePrefix="1" applyNumberFormat="1" applyFont="1" applyFill="1" applyAlignment="1">
      <alignment horizontal="left"/>
    </xf>
    <xf numFmtId="4" fontId="13" fillId="0" borderId="0" xfId="0" applyNumberFormat="1" applyFont="1" applyAlignment="1">
      <alignment horizontal="center"/>
    </xf>
    <xf numFmtId="0" fontId="19" fillId="0" borderId="0" xfId="0" applyFont="1" applyAlignment="1">
      <alignment horizontal="right"/>
    </xf>
    <xf numFmtId="4" fontId="13" fillId="0" borderId="0" xfId="0" applyNumberFormat="1" applyFont="1" applyAlignment="1">
      <alignment horizontal="left"/>
    </xf>
    <xf numFmtId="38" fontId="13" fillId="0" borderId="0" xfId="0" quotePrefix="1" applyNumberFormat="1" applyFont="1"/>
    <xf numFmtId="0" fontId="19" fillId="2" borderId="0" xfId="0" applyFont="1" applyFill="1" applyAlignment="1">
      <alignment horizontal="right"/>
    </xf>
    <xf numFmtId="0" fontId="19" fillId="2" borderId="0" xfId="0" applyFont="1" applyFill="1" applyAlignment="1">
      <alignment horizontal="center"/>
    </xf>
    <xf numFmtId="170" fontId="13" fillId="2" borderId="8" xfId="0" applyNumberFormat="1" applyFont="1" applyFill="1" applyBorder="1"/>
    <xf numFmtId="43" fontId="13" fillId="0" borderId="8" xfId="1" applyFont="1" applyBorder="1" applyAlignment="1"/>
    <xf numFmtId="170" fontId="13" fillId="0" borderId="0" xfId="0" applyNumberFormat="1" applyFont="1"/>
    <xf numFmtId="0" fontId="15" fillId="0" borderId="0" xfId="0" applyFont="1"/>
    <xf numFmtId="43" fontId="13" fillId="4" borderId="1" xfId="1" applyFont="1" applyFill="1" applyBorder="1" applyAlignment="1"/>
    <xf numFmtId="7" fontId="13" fillId="0" borderId="0" xfId="0" applyNumberFormat="1" applyFont="1" applyAlignment="1">
      <alignment horizontal="center"/>
    </xf>
    <xf numFmtId="170" fontId="13" fillId="2" borderId="0" xfId="0" applyNumberFormat="1" applyFont="1" applyFill="1"/>
    <xf numFmtId="0" fontId="24" fillId="0" borderId="0" xfId="0" applyFont="1"/>
    <xf numFmtId="0" fontId="21" fillId="0" borderId="0" xfId="0" applyFont="1" applyAlignment="1">
      <alignment horizontal="center"/>
    </xf>
    <xf numFmtId="43" fontId="21" fillId="4" borderId="6" xfId="1" applyFont="1" applyFill="1" applyBorder="1" applyAlignment="1"/>
    <xf numFmtId="43" fontId="13" fillId="4" borderId="6" xfId="1" applyFont="1" applyFill="1" applyBorder="1" applyAlignment="1"/>
    <xf numFmtId="43" fontId="21" fillId="4" borderId="0" xfId="1" applyFont="1" applyFill="1" applyBorder="1" applyAlignment="1"/>
    <xf numFmtId="43" fontId="13" fillId="4" borderId="0" xfId="1" applyFont="1" applyFill="1" applyBorder="1" applyAlignment="1"/>
    <xf numFmtId="172" fontId="13" fillId="0" borderId="6" xfId="0" applyNumberFormat="1" applyFont="1" applyBorder="1"/>
    <xf numFmtId="0" fontId="13" fillId="0" borderId="0" xfId="0" applyFont="1" applyAlignment="1">
      <alignment horizontal="left" indent="1"/>
    </xf>
    <xf numFmtId="43" fontId="25" fillId="4" borderId="6" xfId="1" applyFont="1" applyFill="1" applyBorder="1" applyAlignment="1"/>
    <xf numFmtId="4" fontId="19" fillId="0" borderId="6" xfId="0" applyNumberFormat="1" applyFont="1" applyBorder="1"/>
    <xf numFmtId="43" fontId="25" fillId="4" borderId="1" xfId="1" applyFont="1" applyFill="1" applyBorder="1" applyAlignment="1"/>
    <xf numFmtId="43" fontId="25" fillId="4" borderId="0" xfId="1" applyFont="1" applyFill="1" applyBorder="1" applyAlignment="1"/>
    <xf numFmtId="4" fontId="19" fillId="0" borderId="0" xfId="0" applyNumberFormat="1" applyFont="1"/>
    <xf numFmtId="173" fontId="13" fillId="0" borderId="9" xfId="1" applyNumberFormat="1" applyFont="1" applyBorder="1" applyAlignment="1"/>
    <xf numFmtId="41" fontId="13" fillId="0" borderId="0" xfId="1" applyNumberFormat="1" applyFont="1" applyBorder="1" applyAlignment="1"/>
    <xf numFmtId="43" fontId="13" fillId="0" borderId="1" xfId="1" applyFont="1" applyFill="1" applyBorder="1" applyAlignment="1"/>
    <xf numFmtId="43" fontId="13" fillId="5" borderId="8" xfId="1" applyFont="1" applyFill="1" applyBorder="1" applyAlignment="1"/>
    <xf numFmtId="0" fontId="13" fillId="0" borderId="0" xfId="0" applyFont="1" applyAlignment="1">
      <alignment horizontal="left" indent="2"/>
    </xf>
    <xf numFmtId="0" fontId="13" fillId="0" borderId="0" xfId="7" applyFont="1"/>
    <xf numFmtId="0" fontId="26" fillId="0" borderId="0" xfId="9" applyFont="1"/>
    <xf numFmtId="0" fontId="21" fillId="0" borderId="10" xfId="9" applyFont="1" applyBorder="1" applyAlignment="1">
      <alignment horizontal="right"/>
    </xf>
    <xf numFmtId="0" fontId="19" fillId="0" borderId="11" xfId="9" applyFont="1" applyBorder="1"/>
    <xf numFmtId="0" fontId="13" fillId="0" borderId="0" xfId="9" applyFont="1"/>
    <xf numFmtId="0" fontId="27" fillId="0" borderId="0" xfId="9" applyFont="1"/>
    <xf numFmtId="0" fontId="19" fillId="0" borderId="1" xfId="9" applyFont="1" applyBorder="1" applyAlignment="1">
      <alignment horizontal="center"/>
    </xf>
    <xf numFmtId="0" fontId="27" fillId="0" borderId="10" xfId="9" applyFont="1" applyBorder="1"/>
    <xf numFmtId="0" fontId="27" fillId="0" borderId="11" xfId="9" applyFont="1" applyBorder="1" applyAlignment="1">
      <alignment horizontal="center"/>
    </xf>
    <xf numFmtId="44" fontId="26" fillId="0" borderId="0" xfId="9" applyNumberFormat="1" applyFont="1"/>
    <xf numFmtId="0" fontId="27" fillId="0" borderId="0" xfId="9" applyFont="1" applyAlignment="1">
      <alignment horizontal="right"/>
    </xf>
    <xf numFmtId="43" fontId="19" fillId="0" borderId="1" xfId="3" applyFont="1" applyBorder="1"/>
    <xf numFmtId="9" fontId="15" fillId="0" borderId="1" xfId="11" applyFont="1" applyBorder="1"/>
    <xf numFmtId="43" fontId="15" fillId="0" borderId="1" xfId="3" applyFont="1" applyBorder="1"/>
    <xf numFmtId="49" fontId="12" fillId="0" borderId="0" xfId="9" quotePrefix="1" applyNumberFormat="1" applyFont="1" applyAlignment="1">
      <alignment horizontal="left"/>
    </xf>
    <xf numFmtId="0" fontId="13" fillId="0" borderId="0" xfId="7" quotePrefix="1" applyFont="1" applyAlignment="1">
      <alignment horizontal="left"/>
    </xf>
    <xf numFmtId="0" fontId="27" fillId="0" borderId="0" xfId="9" quotePrefix="1" applyFont="1" applyAlignment="1">
      <alignment horizontal="left"/>
    </xf>
    <xf numFmtId="43" fontId="27" fillId="0" borderId="5" xfId="1" applyFont="1" applyBorder="1"/>
    <xf numFmtId="43" fontId="13" fillId="0" borderId="0" xfId="1" quotePrefix="1" applyFont="1" applyBorder="1" applyAlignment="1"/>
    <xf numFmtId="43" fontId="27" fillId="0" borderId="0" xfId="1" applyFont="1" applyBorder="1"/>
    <xf numFmtId="41" fontId="27" fillId="0" borderId="5" xfId="1" applyNumberFormat="1" applyFont="1" applyBorder="1"/>
    <xf numFmtId="41" fontId="27" fillId="0" borderId="0" xfId="1" applyNumberFormat="1" applyFont="1" applyBorder="1"/>
    <xf numFmtId="41" fontId="27" fillId="0" borderId="1" xfId="1" applyNumberFormat="1" applyFont="1" applyBorder="1"/>
    <xf numFmtId="0" fontId="21" fillId="0" borderId="5" xfId="9" applyFont="1" applyBorder="1" applyAlignment="1">
      <alignment horizontal="right"/>
    </xf>
    <xf numFmtId="0" fontId="27" fillId="0" borderId="5" xfId="9" applyFont="1" applyBorder="1"/>
    <xf numFmtId="43" fontId="19" fillId="0" borderId="0" xfId="3" applyFont="1" applyBorder="1"/>
    <xf numFmtId="43" fontId="26" fillId="0" borderId="0" xfId="1" applyFont="1"/>
    <xf numFmtId="0" fontId="27" fillId="0" borderId="0" xfId="9" quotePrefix="1" applyFont="1" applyAlignment="1">
      <alignment horizontal="left" indent="1"/>
    </xf>
    <xf numFmtId="0" fontId="26" fillId="0" borderId="0" xfId="9" quotePrefix="1" applyFont="1" applyAlignment="1">
      <alignment horizontal="left"/>
    </xf>
    <xf numFmtId="43" fontId="26" fillId="0" borderId="0" xfId="1" applyFont="1" applyBorder="1"/>
    <xf numFmtId="43" fontId="13" fillId="0" borderId="6" xfId="1" applyFont="1" applyFill="1" applyBorder="1" applyAlignment="1"/>
    <xf numFmtId="0" fontId="16" fillId="0" borderId="0" xfId="0" applyFont="1"/>
    <xf numFmtId="0" fontId="16" fillId="0" borderId="0" xfId="0" applyFont="1" applyAlignment="1">
      <alignment horizontal="left"/>
    </xf>
    <xf numFmtId="1" fontId="17" fillId="0" borderId="0" xfId="0" quotePrefix="1" applyNumberFormat="1" applyFont="1" applyAlignment="1">
      <alignment horizontal="left"/>
    </xf>
    <xf numFmtId="1" fontId="16" fillId="0" borderId="0" xfId="0" applyNumberFormat="1" applyFont="1" applyAlignment="1">
      <alignment horizontal="center"/>
    </xf>
    <xf numFmtId="0" fontId="16" fillId="0" borderId="0" xfId="0" applyFont="1" applyAlignment="1">
      <alignment horizontal="center"/>
    </xf>
    <xf numFmtId="1" fontId="17" fillId="0" borderId="4" xfId="0" applyNumberFormat="1" applyFont="1" applyBorder="1" applyAlignment="1">
      <alignment horizontal="center"/>
    </xf>
    <xf numFmtId="0" fontId="17" fillId="0" borderId="10" xfId="0" applyFont="1" applyBorder="1" applyAlignment="1">
      <alignment horizontal="center"/>
    </xf>
    <xf numFmtId="0" fontId="17" fillId="0" borderId="0" xfId="0" applyFont="1" applyAlignment="1">
      <alignment horizontal="center"/>
    </xf>
    <xf numFmtId="1" fontId="16" fillId="0" borderId="0" xfId="7" applyNumberFormat="1" applyFont="1" applyAlignment="1">
      <alignment horizontal="center"/>
    </xf>
    <xf numFmtId="0" fontId="16" fillId="0" borderId="0" xfId="0" quotePrefix="1" applyFont="1"/>
    <xf numFmtId="43" fontId="16" fillId="0" borderId="0" xfId="7" applyNumberFormat="1" applyFont="1"/>
    <xf numFmtId="0" fontId="17" fillId="4" borderId="0" xfId="0" applyFont="1" applyFill="1" applyAlignment="1">
      <alignment horizontal="center"/>
    </xf>
    <xf numFmtId="1" fontId="16" fillId="4" borderId="0" xfId="7" applyNumberFormat="1" applyFont="1" applyFill="1" applyAlignment="1">
      <alignment horizontal="center"/>
    </xf>
    <xf numFmtId="43" fontId="16" fillId="4" borderId="0" xfId="7" applyNumberFormat="1" applyFont="1" applyFill="1"/>
    <xf numFmtId="43" fontId="16" fillId="0" borderId="0" xfId="0" applyNumberFormat="1" applyFont="1"/>
    <xf numFmtId="43" fontId="16" fillId="0" borderId="9" xfId="0" applyNumberFormat="1" applyFont="1" applyBorder="1"/>
    <xf numFmtId="49" fontId="17" fillId="0" borderId="0" xfId="2" quotePrefix="1" applyNumberFormat="1" applyFont="1" applyAlignment="1">
      <alignment horizontal="left"/>
    </xf>
    <xf numFmtId="0" fontId="17" fillId="0" borderId="0" xfId="7" applyFont="1"/>
    <xf numFmtId="49" fontId="17" fillId="0" borderId="0" xfId="7" applyNumberFormat="1" applyFont="1" applyAlignment="1">
      <alignment horizontal="left"/>
    </xf>
    <xf numFmtId="49" fontId="17" fillId="0" borderId="0" xfId="2" applyNumberFormat="1" applyFont="1" applyAlignment="1">
      <alignment horizontal="left"/>
    </xf>
    <xf numFmtId="49" fontId="17" fillId="0" borderId="4" xfId="7" quotePrefix="1" applyNumberFormat="1" applyFont="1" applyBorder="1" applyAlignment="1">
      <alignment horizontal="center"/>
    </xf>
    <xf numFmtId="0" fontId="17" fillId="0" borderId="4" xfId="7" quotePrefix="1" applyFont="1" applyBorder="1" applyAlignment="1">
      <alignment horizontal="center"/>
    </xf>
    <xf numFmtId="49" fontId="28" fillId="0" borderId="0" xfId="7" quotePrefix="1" applyNumberFormat="1" applyFont="1" applyAlignment="1">
      <alignment horizontal="center" vertical="center"/>
    </xf>
    <xf numFmtId="177" fontId="28" fillId="0" borderId="0" xfId="7" quotePrefix="1" applyNumberFormat="1" applyFont="1" applyAlignment="1">
      <alignment horizontal="left"/>
    </xf>
    <xf numFmtId="177" fontId="28" fillId="0" borderId="0" xfId="7" applyNumberFormat="1" applyFont="1"/>
    <xf numFmtId="0" fontId="16" fillId="0" borderId="0" xfId="7" applyFont="1"/>
    <xf numFmtId="49" fontId="28" fillId="0" borderId="0" xfId="7" applyNumberFormat="1" applyFont="1" applyAlignment="1">
      <alignment horizontal="center" vertical="center"/>
    </xf>
    <xf numFmtId="0" fontId="16" fillId="0" borderId="0" xfId="7" quotePrefix="1" applyFont="1" applyAlignment="1">
      <alignment horizontal="left"/>
    </xf>
    <xf numFmtId="176" fontId="16" fillId="0" borderId="0" xfId="0" applyNumberFormat="1" applyFont="1"/>
    <xf numFmtId="1" fontId="17" fillId="0" borderId="0" xfId="0" quotePrefix="1" applyNumberFormat="1" applyFont="1"/>
    <xf numFmtId="1" fontId="16" fillId="0" borderId="0" xfId="0" applyNumberFormat="1" applyFont="1"/>
    <xf numFmtId="1" fontId="16" fillId="0" borderId="0" xfId="7" applyNumberFormat="1" applyFont="1"/>
    <xf numFmtId="1" fontId="16" fillId="4" borderId="0" xfId="7" applyNumberFormat="1" applyFont="1" applyFill="1"/>
    <xf numFmtId="1" fontId="17" fillId="0" borderId="10" xfId="0" applyNumberFormat="1" applyFont="1" applyBorder="1" applyAlignment="1">
      <alignment horizontal="center"/>
    </xf>
    <xf numFmtId="7" fontId="15" fillId="0" borderId="0" xfId="0" applyNumberFormat="1" applyFont="1" applyAlignment="1">
      <alignment horizontal="left"/>
    </xf>
    <xf numFmtId="169" fontId="15" fillId="0" borderId="0" xfId="0" applyNumberFormat="1" applyFont="1" applyAlignment="1">
      <alignment horizontal="center"/>
    </xf>
    <xf numFmtId="7" fontId="13" fillId="0" borderId="0" xfId="0" applyNumberFormat="1" applyFont="1"/>
    <xf numFmtId="7" fontId="13" fillId="0" borderId="1" xfId="0" applyNumberFormat="1" applyFont="1" applyBorder="1"/>
    <xf numFmtId="4" fontId="13" fillId="0" borderId="2" xfId="0" applyNumberFormat="1" applyFont="1" applyBorder="1"/>
    <xf numFmtId="4" fontId="14" fillId="0" borderId="2" xfId="0" applyNumberFormat="1" applyFont="1" applyBorder="1" applyAlignment="1">
      <alignment horizontal="left"/>
    </xf>
    <xf numFmtId="4" fontId="14" fillId="0" borderId="2" xfId="0" applyNumberFormat="1" applyFont="1" applyBorder="1"/>
    <xf numFmtId="1" fontId="16" fillId="4" borderId="0" xfId="7" applyNumberFormat="1" applyFont="1" applyFill="1" applyAlignment="1">
      <alignment horizontal="left" indent="1"/>
    </xf>
    <xf numFmtId="0" fontId="17" fillId="0" borderId="0" xfId="0" quotePrefix="1" applyFont="1" applyAlignment="1">
      <alignment horizontal="center"/>
    </xf>
    <xf numFmtId="1" fontId="16" fillId="0" borderId="0" xfId="7" applyNumberFormat="1" applyFont="1" applyAlignment="1">
      <alignment horizontal="left" indent="1"/>
    </xf>
    <xf numFmtId="0" fontId="16" fillId="0" borderId="0" xfId="0" quotePrefix="1" applyFont="1" applyAlignment="1">
      <alignment horizontal="left" indent="1"/>
    </xf>
    <xf numFmtId="0" fontId="16" fillId="4" borderId="0" xfId="0" quotePrefix="1" applyFont="1" applyFill="1" applyAlignment="1">
      <alignment horizontal="left" indent="1"/>
    </xf>
    <xf numFmtId="0" fontId="17" fillId="0" borderId="4" xfId="0" applyFont="1" applyBorder="1" applyAlignment="1">
      <alignment horizontal="center"/>
    </xf>
    <xf numFmtId="4" fontId="14" fillId="0" borderId="0" xfId="0" applyNumberFormat="1" applyFont="1" applyAlignment="1">
      <alignment horizontal="left"/>
    </xf>
    <xf numFmtId="4" fontId="13" fillId="0" borderId="2" xfId="0" applyNumberFormat="1" applyFont="1" applyBorder="1" applyAlignment="1">
      <alignment horizontal="left"/>
    </xf>
    <xf numFmtId="43" fontId="13" fillId="0" borderId="0" xfId="0" applyNumberFormat="1" applyFont="1"/>
    <xf numFmtId="1" fontId="29" fillId="0" borderId="0" xfId="0" quotePrefix="1" applyNumberFormat="1" applyFont="1" applyAlignment="1">
      <alignment horizontal="left"/>
    </xf>
    <xf numFmtId="43" fontId="16" fillId="0" borderId="0" xfId="1" applyFont="1"/>
    <xf numFmtId="43" fontId="17" fillId="0" borderId="0" xfId="1" quotePrefix="1" applyFont="1" applyFill="1" applyBorder="1" applyAlignment="1">
      <alignment horizontal="center"/>
    </xf>
    <xf numFmtId="43" fontId="16" fillId="0" borderId="0" xfId="1" applyFont="1" applyFill="1" applyBorder="1" applyAlignment="1"/>
    <xf numFmtId="0" fontId="16" fillId="0" borderId="0" xfId="0" quotePrefix="1" applyFont="1" applyAlignment="1">
      <alignment horizontal="left"/>
    </xf>
    <xf numFmtId="0" fontId="16" fillId="0" borderId="0" xfId="0" quotePrefix="1" applyFont="1" applyAlignment="1">
      <alignment horizontal="center"/>
    </xf>
    <xf numFmtId="0" fontId="17" fillId="0" borderId="0" xfId="0" quotePrefix="1" applyFont="1" applyAlignment="1">
      <alignment vertical="center"/>
    </xf>
    <xf numFmtId="41" fontId="21" fillId="0" borderId="0" xfId="1" applyNumberFormat="1" applyFont="1" applyFill="1" applyBorder="1"/>
    <xf numFmtId="43" fontId="21" fillId="0" borderId="1" xfId="1" quotePrefix="1" applyFont="1" applyBorder="1" applyAlignment="1"/>
    <xf numFmtId="43" fontId="25" fillId="0" borderId="0" xfId="9" applyNumberFormat="1" applyFont="1"/>
    <xf numFmtId="43" fontId="25" fillId="0" borderId="1" xfId="9" applyNumberFormat="1" applyFont="1" applyBorder="1"/>
    <xf numFmtId="0" fontId="15" fillId="0" borderId="0" xfId="0" quotePrefix="1" applyFont="1" applyAlignment="1">
      <alignment horizontal="left"/>
    </xf>
    <xf numFmtId="43" fontId="21" fillId="0" borderId="1" xfId="1" applyFont="1" applyBorder="1"/>
    <xf numFmtId="16" fontId="13" fillId="0" borderId="0" xfId="0" applyNumberFormat="1" applyFont="1"/>
    <xf numFmtId="0" fontId="17" fillId="0" borderId="0" xfId="0" applyFont="1"/>
    <xf numFmtId="0" fontId="17" fillId="0" borderId="0" xfId="0" quotePrefix="1" applyFont="1" applyAlignment="1">
      <alignment horizontal="left" indent="4"/>
    </xf>
    <xf numFmtId="0" fontId="21" fillId="0" borderId="0" xfId="0" quotePrefix="1" applyFont="1" applyAlignment="1">
      <alignment horizontal="left"/>
    </xf>
    <xf numFmtId="0" fontId="21" fillId="0" borderId="0" xfId="0" applyFont="1"/>
    <xf numFmtId="0" fontId="21" fillId="0" borderId="0" xfId="0" quotePrefix="1" applyFont="1" applyAlignment="1">
      <alignment horizontal="left" indent="4"/>
    </xf>
    <xf numFmtId="0" fontId="13" fillId="4" borderId="4" xfId="0" applyFont="1" applyFill="1" applyBorder="1" applyAlignment="1">
      <alignment horizontal="left"/>
    </xf>
    <xf numFmtId="0" fontId="13" fillId="4" borderId="4" xfId="0" applyFont="1" applyFill="1" applyBorder="1" applyAlignment="1">
      <alignment horizontal="center"/>
    </xf>
    <xf numFmtId="0" fontId="27" fillId="0" borderId="0" xfId="9" quotePrefix="1" applyFont="1" applyAlignment="1">
      <alignment horizontal="right"/>
    </xf>
    <xf numFmtId="43" fontId="30" fillId="0" borderId="0" xfId="1" applyFont="1"/>
    <xf numFmtId="0" fontId="30" fillId="0" borderId="0" xfId="0" applyFont="1"/>
    <xf numFmtId="1" fontId="16" fillId="0" borderId="0" xfId="7" quotePrefix="1" applyNumberFormat="1" applyFont="1" applyAlignment="1">
      <alignment horizontal="left"/>
    </xf>
    <xf numFmtId="1" fontId="16" fillId="4" borderId="0" xfId="7" quotePrefix="1" applyNumberFormat="1" applyFont="1" applyFill="1" applyAlignment="1">
      <alignment horizontal="left"/>
    </xf>
    <xf numFmtId="1" fontId="16" fillId="0" borderId="0" xfId="2" applyNumberFormat="1" applyFont="1" applyFill="1" applyBorder="1" applyAlignment="1">
      <alignment horizontal="center"/>
    </xf>
    <xf numFmtId="1" fontId="16" fillId="0" borderId="0" xfId="2" applyNumberFormat="1" applyFont="1" applyFill="1" applyBorder="1" applyAlignment="1"/>
    <xf numFmtId="1" fontId="16" fillId="0" borderId="0" xfId="2" quotePrefix="1" applyNumberFormat="1" applyFont="1" applyFill="1" applyBorder="1" applyAlignment="1">
      <alignment horizontal="left"/>
    </xf>
    <xf numFmtId="43" fontId="13" fillId="0" borderId="0" xfId="1" applyFont="1" applyBorder="1" applyAlignment="1">
      <alignment horizontal="center"/>
    </xf>
    <xf numFmtId="43" fontId="21" fillId="0" borderId="0" xfId="1" applyFont="1" applyBorder="1"/>
    <xf numFmtId="43" fontId="13" fillId="5" borderId="9" xfId="1" applyFont="1" applyFill="1" applyBorder="1" applyAlignment="1"/>
    <xf numFmtId="0" fontId="16" fillId="0" borderId="0" xfId="0" quotePrefix="1" applyFont="1" applyAlignment="1">
      <alignment horizontal="right"/>
    </xf>
    <xf numFmtId="43" fontId="17" fillId="0" borderId="4" xfId="1" quotePrefix="1" applyFont="1" applyFill="1" applyBorder="1" applyAlignment="1">
      <alignment horizontal="center"/>
    </xf>
    <xf numFmtId="43" fontId="21" fillId="0" borderId="1" xfId="1" applyFont="1" applyBorder="1" applyAlignment="1"/>
    <xf numFmtId="37" fontId="21" fillId="0" borderId="1" xfId="1" applyNumberFormat="1" applyFont="1" applyBorder="1" applyAlignment="1"/>
    <xf numFmtId="37" fontId="21" fillId="0" borderId="1" xfId="1" applyNumberFormat="1" applyFont="1" applyBorder="1" applyAlignment="1">
      <alignment horizontal="center"/>
    </xf>
    <xf numFmtId="43" fontId="21" fillId="0" borderId="1" xfId="1" applyFont="1" applyBorder="1" applyAlignment="1">
      <alignment horizontal="center"/>
    </xf>
    <xf numFmtId="37" fontId="21" fillId="0" borderId="0" xfId="1" applyNumberFormat="1" applyFont="1"/>
    <xf numFmtId="41" fontId="21" fillId="0" borderId="0" xfId="1" applyNumberFormat="1" applyFont="1" applyFill="1" applyBorder="1" applyAlignment="1"/>
    <xf numFmtId="49" fontId="16" fillId="0" borderId="0" xfId="0" quotePrefix="1" applyNumberFormat="1" applyFont="1" applyAlignment="1">
      <alignment horizontal="left" indent="1"/>
    </xf>
    <xf numFmtId="49" fontId="16" fillId="4" borderId="0" xfId="0" quotePrefix="1" applyNumberFormat="1" applyFont="1" applyFill="1"/>
    <xf numFmtId="49" fontId="16" fillId="4" borderId="0" xfId="0" quotePrefix="1" applyNumberFormat="1" applyFont="1" applyFill="1" applyAlignment="1">
      <alignment horizontal="left" indent="1"/>
    </xf>
    <xf numFmtId="49" fontId="16" fillId="4" borderId="0" xfId="7" applyNumberFormat="1" applyFont="1" applyFill="1" applyAlignment="1">
      <alignment horizontal="left" indent="1"/>
    </xf>
    <xf numFmtId="49" fontId="16" fillId="0" borderId="0" xfId="0" applyNumberFormat="1" applyFont="1"/>
    <xf numFmtId="0" fontId="13" fillId="0" borderId="0" xfId="0" quotePrefix="1" applyFont="1" applyAlignment="1">
      <alignment horizontal="left" indent="1"/>
    </xf>
    <xf numFmtId="49" fontId="21" fillId="0" borderId="0" xfId="7" applyNumberFormat="1" applyFont="1"/>
    <xf numFmtId="0" fontId="16" fillId="0" borderId="0" xfId="0" applyFont="1" applyAlignment="1">
      <alignment horizontal="right"/>
    </xf>
    <xf numFmtId="0" fontId="17" fillId="0" borderId="0" xfId="0" quotePrefix="1" applyFont="1" applyAlignment="1">
      <alignment horizontal="left" vertical="top"/>
    </xf>
    <xf numFmtId="0" fontId="12" fillId="0" borderId="0" xfId="0" quotePrefix="1" applyFont="1"/>
    <xf numFmtId="169" fontId="15" fillId="6" borderId="0" xfId="0" applyNumberFormat="1" applyFont="1" applyFill="1" applyAlignment="1">
      <alignment horizontal="center"/>
    </xf>
    <xf numFmtId="4" fontId="21" fillId="6" borderId="1" xfId="0" applyNumberFormat="1" applyFont="1" applyFill="1" applyBorder="1" applyAlignment="1">
      <alignment horizontal="center"/>
    </xf>
    <xf numFmtId="43" fontId="21" fillId="6" borderId="1" xfId="1" applyFont="1" applyFill="1" applyBorder="1" applyAlignment="1"/>
    <xf numFmtId="41" fontId="21" fillId="6" borderId="0" xfId="1" applyNumberFormat="1" applyFont="1" applyFill="1" applyBorder="1" applyAlignment="1"/>
    <xf numFmtId="175" fontId="21" fillId="6" borderId="0" xfId="0" applyNumberFormat="1" applyFont="1" applyFill="1"/>
    <xf numFmtId="38" fontId="21" fillId="6" borderId="0" xfId="0" quotePrefix="1" applyNumberFormat="1" applyFont="1" applyFill="1"/>
    <xf numFmtId="0" fontId="31" fillId="0" borderId="0" xfId="0" applyFont="1"/>
    <xf numFmtId="0" fontId="21" fillId="3" borderId="0" xfId="0" quotePrefix="1" applyFont="1" applyFill="1" applyAlignment="1">
      <alignment horizontal="left"/>
    </xf>
    <xf numFmtId="0" fontId="21" fillId="3" borderId="0" xfId="0" applyFont="1" applyFill="1"/>
    <xf numFmtId="16" fontId="16" fillId="0" borderId="0" xfId="0" applyNumberFormat="1" applyFont="1"/>
    <xf numFmtId="43" fontId="30" fillId="0" borderId="0" xfId="1" applyFont="1" applyFill="1"/>
    <xf numFmtId="43" fontId="16" fillId="0" borderId="0" xfId="1" applyFont="1" applyFill="1"/>
    <xf numFmtId="7" fontId="15" fillId="6" borderId="0" xfId="0" applyNumberFormat="1" applyFont="1" applyFill="1" applyAlignment="1">
      <alignment horizontal="left"/>
    </xf>
    <xf numFmtId="4" fontId="13" fillId="6" borderId="1" xfId="0" applyNumberFormat="1" applyFont="1" applyFill="1" applyBorder="1" applyAlignment="1">
      <alignment horizontal="center"/>
    </xf>
    <xf numFmtId="43" fontId="13" fillId="6" borderId="1" xfId="1" applyFont="1" applyFill="1" applyBorder="1" applyAlignment="1"/>
    <xf numFmtId="41" fontId="13" fillId="6" borderId="0" xfId="1" applyNumberFormat="1" applyFont="1" applyFill="1" applyBorder="1" applyAlignment="1"/>
    <xf numFmtId="4" fontId="13" fillId="6" borderId="0" xfId="0" applyNumberFormat="1" applyFont="1" applyFill="1" applyAlignment="1">
      <alignment horizontal="center"/>
    </xf>
    <xf numFmtId="38" fontId="13" fillId="6" borderId="0" xfId="0" quotePrefix="1" applyNumberFormat="1" applyFont="1" applyFill="1"/>
    <xf numFmtId="164" fontId="13" fillId="0" borderId="0" xfId="6" quotePrefix="1" applyFont="1" applyBorder="1" applyAlignment="1">
      <alignment horizontal="center" wrapText="1"/>
    </xf>
    <xf numFmtId="3" fontId="13" fillId="2" borderId="0" xfId="0" quotePrefix="1" applyNumberFormat="1" applyFont="1" applyFill="1"/>
    <xf numFmtId="0" fontId="9" fillId="0" borderId="0" xfId="0" quotePrefix="1" applyFont="1" applyAlignment="1">
      <alignment horizontal="left"/>
    </xf>
    <xf numFmtId="0" fontId="32" fillId="0" borderId="0" xfId="0" applyFont="1"/>
    <xf numFmtId="0" fontId="13" fillId="7" borderId="0" xfId="0" applyFont="1" applyFill="1"/>
    <xf numFmtId="0" fontId="13" fillId="7" borderId="0" xfId="0" applyFont="1" applyFill="1" applyAlignment="1">
      <alignment horizontal="left"/>
    </xf>
    <xf numFmtId="0" fontId="19" fillId="7" borderId="0" xfId="0" applyFont="1" applyFill="1"/>
    <xf numFmtId="43" fontId="13" fillId="7" borderId="0" xfId="1" applyFont="1" applyFill="1" applyBorder="1" applyAlignment="1"/>
    <xf numFmtId="49" fontId="16" fillId="0" borderId="0" xfId="7" applyNumberFormat="1" applyFont="1"/>
    <xf numFmtId="49" fontId="16" fillId="4" borderId="0" xfId="7" quotePrefix="1" applyNumberFormat="1" applyFont="1" applyFill="1" applyAlignment="1">
      <alignment horizontal="left" indent="1"/>
    </xf>
    <xf numFmtId="9" fontId="14" fillId="0" borderId="0" xfId="11" quotePrefix="1" applyFont="1" applyAlignment="1">
      <alignment horizontal="left"/>
    </xf>
    <xf numFmtId="0" fontId="32" fillId="0" borderId="3" xfId="0" quotePrefix="1" applyFont="1" applyBorder="1" applyAlignment="1">
      <alignment horizontal="center"/>
    </xf>
    <xf numFmtId="0" fontId="33" fillId="0" borderId="0" xfId="0" quotePrefix="1" applyFont="1" applyAlignment="1">
      <alignment horizontal="left"/>
    </xf>
    <xf numFmtId="16" fontId="30" fillId="0" borderId="0" xfId="0" applyNumberFormat="1" applyFont="1"/>
    <xf numFmtId="0" fontId="9" fillId="0" borderId="0" xfId="0" quotePrefix="1" applyFont="1" applyAlignment="1">
      <alignment horizontal="left" indent="1"/>
    </xf>
    <xf numFmtId="0" fontId="17" fillId="0" borderId="0" xfId="0" quotePrefix="1" applyFont="1" applyAlignment="1" applyProtection="1">
      <alignment horizontal="left"/>
      <protection locked="0"/>
    </xf>
    <xf numFmtId="170" fontId="13" fillId="0" borderId="0" xfId="6" quotePrefix="1" applyNumberFormat="1" applyFont="1" applyBorder="1" applyAlignment="1">
      <alignment horizontal="center"/>
    </xf>
    <xf numFmtId="0" fontId="33" fillId="0" borderId="0" xfId="0" quotePrefix="1" applyFont="1" applyAlignment="1">
      <alignment horizontal="left" indent="2"/>
    </xf>
    <xf numFmtId="16" fontId="13" fillId="0" borderId="0" xfId="0" applyNumberFormat="1" applyFont="1" applyAlignment="1">
      <alignment vertical="center"/>
    </xf>
    <xf numFmtId="0" fontId="19" fillId="0" borderId="1" xfId="0" quotePrefix="1" applyFont="1" applyBorder="1" applyAlignment="1">
      <alignment horizontal="center"/>
    </xf>
    <xf numFmtId="164" fontId="21" fillId="0" borderId="0" xfId="6" quotePrefix="1" applyFont="1" applyBorder="1" applyAlignment="1">
      <alignment horizontal="center" wrapText="1"/>
    </xf>
    <xf numFmtId="14" fontId="19" fillId="0" borderId="1" xfId="0" quotePrefix="1" applyNumberFormat="1" applyFont="1" applyBorder="1" applyAlignment="1">
      <alignment horizontal="center"/>
    </xf>
    <xf numFmtId="43" fontId="30" fillId="4" borderId="0" xfId="1" applyFont="1" applyFill="1" applyBorder="1" applyAlignment="1"/>
    <xf numFmtId="43" fontId="30" fillId="0" borderId="0" xfId="1" applyFont="1" applyFill="1" applyBorder="1" applyAlignment="1"/>
    <xf numFmtId="43" fontId="30" fillId="0" borderId="0" xfId="1" applyFont="1" applyFill="1" applyAlignment="1"/>
    <xf numFmtId="43" fontId="30" fillId="0" borderId="0" xfId="1" applyFont="1" applyFill="1" applyBorder="1"/>
    <xf numFmtId="0" fontId="16" fillId="4" borderId="0" xfId="0" applyFont="1" applyFill="1" applyAlignment="1">
      <alignment horizontal="center"/>
    </xf>
    <xf numFmtId="0" fontId="16" fillId="0" borderId="0" xfId="0" quotePrefix="1" applyFont="1" applyAlignment="1">
      <alignment horizontal="left" vertical="top"/>
    </xf>
    <xf numFmtId="17" fontId="19" fillId="0" borderId="0" xfId="0" quotePrefix="1" applyNumberFormat="1" applyFont="1" applyAlignment="1">
      <alignment horizontal="center"/>
    </xf>
    <xf numFmtId="7" fontId="16" fillId="0" borderId="0" xfId="0" quotePrefix="1" applyNumberFormat="1" applyFont="1" applyAlignment="1">
      <alignment horizontal="center"/>
    </xf>
    <xf numFmtId="0" fontId="9" fillId="2" borderId="12" xfId="0" quotePrefix="1" applyFont="1" applyFill="1" applyBorder="1" applyAlignment="1">
      <alignment horizontal="left"/>
    </xf>
    <xf numFmtId="0" fontId="33" fillId="2" borderId="12" xfId="0" quotePrefix="1" applyFont="1" applyFill="1" applyBorder="1" applyAlignment="1">
      <alignment horizontal="left" indent="1"/>
    </xf>
    <xf numFmtId="0" fontId="9" fillId="2" borderId="12" xfId="0" quotePrefix="1" applyFont="1" applyFill="1" applyBorder="1" applyAlignment="1">
      <alignment horizontal="left" indent="1"/>
    </xf>
    <xf numFmtId="0" fontId="33" fillId="2" borderId="12" xfId="0" quotePrefix="1" applyFont="1" applyFill="1" applyBorder="1" applyAlignment="1">
      <alignment horizontal="left" indent="2"/>
    </xf>
    <xf numFmtId="0" fontId="33" fillId="2" borderId="12" xfId="0" quotePrefix="1" applyFont="1" applyFill="1" applyBorder="1" applyAlignment="1">
      <alignment horizontal="left"/>
    </xf>
    <xf numFmtId="0" fontId="9" fillId="2" borderId="13" xfId="0" quotePrefix="1" applyFont="1" applyFill="1" applyBorder="1" applyAlignment="1">
      <alignment horizontal="left"/>
    </xf>
    <xf numFmtId="0" fontId="16" fillId="0" borderId="0" xfId="0" quotePrefix="1" applyFont="1" applyAlignment="1">
      <alignment horizontal="left" vertical="center" indent="1"/>
    </xf>
    <xf numFmtId="49" fontId="16" fillId="0" borderId="0" xfId="7" quotePrefix="1" applyNumberFormat="1" applyFont="1" applyAlignment="1">
      <alignment horizontal="left" indent="1"/>
    </xf>
    <xf numFmtId="0" fontId="31" fillId="0" borderId="0" xfId="0" applyFont="1" applyAlignment="1">
      <alignment horizontal="left"/>
    </xf>
    <xf numFmtId="0" fontId="17" fillId="0" borderId="0" xfId="0" applyFont="1" applyAlignment="1">
      <alignment vertical="center" wrapText="1"/>
    </xf>
    <xf numFmtId="0" fontId="17" fillId="0" borderId="0" xfId="0" quotePrefix="1" applyFont="1" applyAlignment="1" applyProtection="1">
      <alignment horizontal="left" vertical="center"/>
      <protection locked="0"/>
    </xf>
    <xf numFmtId="0" fontId="17" fillId="0" borderId="0" xfId="0" applyFont="1" applyAlignment="1" applyProtection="1">
      <alignment vertical="center"/>
      <protection locked="0"/>
    </xf>
    <xf numFmtId="0" fontId="17" fillId="0" borderId="0" xfId="0" applyFont="1" applyAlignment="1">
      <alignment vertical="center"/>
    </xf>
    <xf numFmtId="0" fontId="17" fillId="0" borderId="0" xfId="0" quotePrefix="1" applyFont="1" applyAlignment="1">
      <alignment horizontal="left" vertical="center"/>
    </xf>
    <xf numFmtId="0" fontId="31" fillId="0" borderId="0" xfId="0" quotePrefix="1" applyFont="1" applyAlignment="1">
      <alignment horizontal="left" vertical="center"/>
    </xf>
    <xf numFmtId="0" fontId="31" fillId="0" borderId="0" xfId="0" applyFont="1" applyAlignment="1">
      <alignment vertical="center"/>
    </xf>
    <xf numFmtId="0" fontId="17" fillId="0" borderId="0" xfId="0" quotePrefix="1" applyFont="1" applyAlignment="1" applyProtection="1">
      <alignment horizontal="left" vertical="center" indent="2"/>
      <protection locked="0"/>
    </xf>
    <xf numFmtId="0" fontId="17" fillId="0" borderId="0" xfId="0" applyFont="1" applyAlignment="1">
      <alignment horizontal="left" vertical="center" indent="2"/>
    </xf>
    <xf numFmtId="0" fontId="17" fillId="0" borderId="0" xfId="0" quotePrefix="1" applyFont="1" applyAlignment="1">
      <alignment horizontal="left" vertical="center" indent="2"/>
    </xf>
    <xf numFmtId="0" fontId="31" fillId="0" borderId="0" xfId="0" quotePrefix="1" applyFont="1" applyAlignment="1">
      <alignment horizontal="left" vertical="center" indent="1"/>
    </xf>
    <xf numFmtId="0" fontId="34" fillId="0" borderId="0" xfId="0" applyFont="1"/>
    <xf numFmtId="0" fontId="34" fillId="0" borderId="0" xfId="0" applyFont="1" applyAlignment="1">
      <alignment vertical="center"/>
    </xf>
    <xf numFmtId="0" fontId="31" fillId="0" borderId="0" xfId="0" applyFont="1" applyAlignment="1">
      <alignment horizontal="left" vertical="center"/>
    </xf>
    <xf numFmtId="0" fontId="34" fillId="0" borderId="0" xfId="0" quotePrefix="1" applyFont="1" applyAlignment="1" applyProtection="1">
      <alignment horizontal="left" vertical="center"/>
      <protection locked="0"/>
    </xf>
    <xf numFmtId="0" fontId="34" fillId="0" borderId="0" xfId="0" quotePrefix="1" applyFont="1" applyAlignment="1" applyProtection="1">
      <alignment horizontal="left"/>
      <protection locked="0"/>
    </xf>
    <xf numFmtId="0" fontId="31" fillId="0" borderId="0" xfId="0" quotePrefix="1" applyFont="1" applyAlignment="1" applyProtection="1">
      <alignment horizontal="left"/>
      <protection locked="0"/>
    </xf>
    <xf numFmtId="0" fontId="31" fillId="0" borderId="0" xfId="0" quotePrefix="1" applyFont="1" applyAlignment="1" applyProtection="1">
      <alignment horizontal="left" indent="1"/>
      <protection locked="0"/>
    </xf>
    <xf numFmtId="0" fontId="31" fillId="0" borderId="0" xfId="0" quotePrefix="1" applyFont="1" applyAlignment="1" applyProtection="1">
      <alignment horizontal="left" vertical="center"/>
      <protection locked="0"/>
    </xf>
    <xf numFmtId="0" fontId="31" fillId="0" borderId="0" xfId="0" quotePrefix="1" applyFont="1" applyAlignment="1" applyProtection="1">
      <alignment horizontal="left" vertical="center" indent="1"/>
      <protection locked="0"/>
    </xf>
    <xf numFmtId="1" fontId="16" fillId="0" borderId="0" xfId="7" quotePrefix="1" applyNumberFormat="1" applyFont="1" applyAlignment="1">
      <alignment horizontal="right"/>
    </xf>
    <xf numFmtId="43" fontId="16" fillId="0" borderId="0" xfId="7" applyNumberFormat="1" applyFont="1" applyAlignment="1">
      <alignment vertical="center"/>
    </xf>
    <xf numFmtId="164" fontId="13" fillId="2" borderId="0" xfId="6" quotePrefix="1" applyFont="1" applyFill="1" applyBorder="1" applyAlignment="1">
      <alignment horizontal="center" wrapText="1"/>
    </xf>
    <xf numFmtId="164" fontId="13" fillId="0" borderId="0" xfId="6" quotePrefix="1" applyFont="1" applyBorder="1" applyAlignment="1">
      <alignment horizontal="center"/>
    </xf>
    <xf numFmtId="16" fontId="17" fillId="0" borderId="0" xfId="0" applyNumberFormat="1" applyFont="1" applyAlignment="1">
      <alignment horizontal="left"/>
    </xf>
    <xf numFmtId="49" fontId="17" fillId="2" borderId="7" xfId="0" quotePrefix="1" applyNumberFormat="1" applyFont="1" applyFill="1" applyBorder="1" applyAlignment="1">
      <alignment horizontal="left"/>
    </xf>
    <xf numFmtId="49" fontId="32" fillId="2" borderId="0" xfId="0" quotePrefix="1" applyNumberFormat="1" applyFont="1" applyFill="1" applyAlignment="1">
      <alignment horizontal="center"/>
    </xf>
    <xf numFmtId="49" fontId="17" fillId="2" borderId="2" xfId="0" applyNumberFormat="1" applyFont="1" applyFill="1" applyBorder="1"/>
    <xf numFmtId="0" fontId="16" fillId="0" borderId="0" xfId="0" quotePrefix="1" applyFont="1" applyAlignment="1">
      <alignment vertical="center"/>
    </xf>
    <xf numFmtId="0" fontId="16" fillId="4" borderId="0" xfId="0" quotePrefix="1" applyFont="1" applyFill="1" applyAlignment="1">
      <alignment horizontal="left" vertical="center" indent="1"/>
    </xf>
    <xf numFmtId="0" fontId="35" fillId="2" borderId="12" xfId="0" applyFont="1" applyFill="1" applyBorder="1"/>
    <xf numFmtId="1" fontId="16" fillId="4" borderId="0" xfId="7" applyNumberFormat="1" applyFont="1" applyFill="1" applyAlignment="1">
      <alignment horizontal="right" indent="1"/>
    </xf>
    <xf numFmtId="1" fontId="16" fillId="0" borderId="0" xfId="7" quotePrefix="1" applyNumberFormat="1" applyFont="1" applyAlignment="1">
      <alignment horizontal="right" indent="1"/>
    </xf>
    <xf numFmtId="0" fontId="9" fillId="0" borderId="16" xfId="0" quotePrefix="1" applyFont="1" applyBorder="1" applyAlignment="1">
      <alignment horizontal="left" indent="1"/>
    </xf>
    <xf numFmtId="0" fontId="21" fillId="4" borderId="4" xfId="0" applyFont="1" applyFill="1" applyBorder="1" applyAlignment="1">
      <alignment horizontal="center"/>
    </xf>
    <xf numFmtId="1" fontId="16" fillId="4" borderId="0" xfId="2" applyNumberFormat="1" applyFont="1" applyFill="1" applyBorder="1" applyAlignment="1">
      <alignment horizontal="center"/>
    </xf>
    <xf numFmtId="1" fontId="16" fillId="4" borderId="0" xfId="2" quotePrefix="1" applyNumberFormat="1" applyFont="1" applyFill="1" applyBorder="1" applyAlignment="1">
      <alignment horizontal="left"/>
    </xf>
    <xf numFmtId="49" fontId="17" fillId="2" borderId="17" xfId="0" quotePrefix="1" applyNumberFormat="1" applyFont="1" applyFill="1" applyBorder="1" applyAlignment="1">
      <alignment horizontal="left" indent="1"/>
    </xf>
    <xf numFmtId="0" fontId="17" fillId="2" borderId="7" xfId="0" quotePrefix="1" applyFont="1" applyFill="1" applyBorder="1" applyAlignment="1">
      <alignment horizontal="left" indent="1"/>
    </xf>
    <xf numFmtId="0" fontId="13" fillId="2" borderId="0" xfId="0" quotePrefix="1" applyFont="1" applyFill="1" applyAlignment="1">
      <alignment horizontal="left"/>
    </xf>
    <xf numFmtId="0" fontId="15" fillId="2" borderId="0" xfId="0" applyFont="1" applyFill="1" applyAlignment="1">
      <alignment horizontal="left"/>
    </xf>
    <xf numFmtId="0" fontId="17" fillId="0" borderId="0" xfId="0" quotePrefix="1" applyFont="1" applyAlignment="1" applyProtection="1">
      <alignment horizontal="left" indent="2"/>
      <protection locked="0"/>
    </xf>
    <xf numFmtId="0" fontId="17" fillId="0" borderId="0" xfId="0" applyFont="1" applyProtection="1">
      <protection locked="0"/>
    </xf>
    <xf numFmtId="0" fontId="15" fillId="2" borderId="0" xfId="0" quotePrefix="1" applyFont="1" applyFill="1" applyAlignment="1">
      <alignment horizontal="left"/>
    </xf>
    <xf numFmtId="164" fontId="36" fillId="0" borderId="1" xfId="6" quotePrefix="1" applyFont="1" applyBorder="1" applyAlignment="1">
      <alignment horizontal="center"/>
    </xf>
    <xf numFmtId="0" fontId="41" fillId="0" borderId="0" xfId="0" applyFont="1" applyAlignment="1">
      <alignment horizontal="left" indent="2"/>
    </xf>
    <xf numFmtId="0" fontId="41" fillId="0" borderId="0" xfId="0" quotePrefix="1" applyFont="1" applyAlignment="1">
      <alignment horizontal="left" vertical="center" indent="2"/>
    </xf>
    <xf numFmtId="0" fontId="13" fillId="0" borderId="0" xfId="0" applyFont="1" applyAlignment="1">
      <alignment horizontal="left" vertical="center" indent="2"/>
    </xf>
    <xf numFmtId="169" fontId="18" fillId="0" borderId="0" xfId="0" applyNumberFormat="1" applyFont="1" applyAlignment="1">
      <alignment horizontal="left" vertical="center" indent="2"/>
    </xf>
    <xf numFmtId="2" fontId="13" fillId="0" borderId="0" xfId="0" applyNumberFormat="1" applyFont="1" applyAlignment="1">
      <alignment horizontal="left" vertical="center" indent="2"/>
    </xf>
    <xf numFmtId="43" fontId="13" fillId="0" borderId="0" xfId="1" applyFont="1" applyBorder="1" applyAlignment="1">
      <alignment horizontal="left" vertical="center" indent="2"/>
    </xf>
    <xf numFmtId="0" fontId="13" fillId="2" borderId="0" xfId="0" applyFont="1" applyFill="1" applyAlignment="1">
      <alignment horizontal="left" vertical="center" indent="2"/>
    </xf>
    <xf numFmtId="169" fontId="18" fillId="2" borderId="0" xfId="0" applyNumberFormat="1" applyFont="1" applyFill="1" applyAlignment="1">
      <alignment horizontal="left" vertical="center" indent="2"/>
    </xf>
    <xf numFmtId="2" fontId="13" fillId="2" borderId="0" xfId="0" applyNumberFormat="1" applyFont="1" applyFill="1" applyAlignment="1">
      <alignment horizontal="left" vertical="center" indent="2"/>
    </xf>
    <xf numFmtId="0" fontId="41" fillId="0" borderId="0" xfId="0" applyFont="1" applyAlignment="1">
      <alignment horizontal="left" vertical="top" indent="2"/>
    </xf>
    <xf numFmtId="0" fontId="13" fillId="0" borderId="0" xfId="0" quotePrefix="1" applyFont="1"/>
    <xf numFmtId="44" fontId="13" fillId="0" borderId="0" xfId="1" applyNumberFormat="1" applyFont="1" applyAlignment="1">
      <alignment horizontal="right"/>
    </xf>
    <xf numFmtId="10" fontId="13" fillId="0" borderId="0" xfId="10" applyNumberFormat="1" applyFont="1" applyAlignment="1">
      <alignment horizontal="center"/>
    </xf>
    <xf numFmtId="43" fontId="13" fillId="2" borderId="0" xfId="1" applyFont="1" applyFill="1" applyBorder="1" applyAlignment="1"/>
    <xf numFmtId="0" fontId="41" fillId="2" borderId="0" xfId="0" quotePrefix="1" applyFont="1" applyFill="1" applyAlignment="1">
      <alignment horizontal="left" vertical="center" indent="2"/>
    </xf>
    <xf numFmtId="43" fontId="13" fillId="2" borderId="0" xfId="1" applyFont="1" applyFill="1" applyBorder="1" applyAlignment="1">
      <alignment horizontal="left" vertical="center" indent="2"/>
    </xf>
    <xf numFmtId="0" fontId="41" fillId="2" borderId="0" xfId="0" quotePrefix="1" applyFont="1" applyFill="1" applyAlignment="1">
      <alignment horizontal="left" vertical="top" indent="2"/>
    </xf>
    <xf numFmtId="0" fontId="41" fillId="2" borderId="0" xfId="0" applyFont="1" applyFill="1" applyAlignment="1">
      <alignment horizontal="left" indent="2"/>
    </xf>
    <xf numFmtId="0" fontId="13" fillId="2" borderId="0" xfId="0" quotePrefix="1" applyFont="1" applyFill="1"/>
    <xf numFmtId="44" fontId="13" fillId="2" borderId="0" xfId="1" applyNumberFormat="1" applyFont="1" applyFill="1" applyAlignment="1">
      <alignment horizontal="right"/>
    </xf>
    <xf numFmtId="2" fontId="13" fillId="2" borderId="0" xfId="0" quotePrefix="1" applyNumberFormat="1" applyFont="1" applyFill="1" applyAlignment="1">
      <alignment horizontal="center"/>
    </xf>
    <xf numFmtId="10" fontId="13" fillId="2" borderId="0" xfId="10" applyNumberFormat="1" applyFont="1" applyFill="1" applyAlignment="1">
      <alignment horizontal="center"/>
    </xf>
    <xf numFmtId="43" fontId="13" fillId="2" borderId="5" xfId="1" applyFont="1" applyFill="1" applyBorder="1" applyAlignment="1"/>
    <xf numFmtId="0" fontId="41" fillId="2" borderId="0" xfId="0" applyFont="1" applyFill="1" applyAlignment="1">
      <alignment horizontal="left" vertical="top" indent="2"/>
    </xf>
    <xf numFmtId="181" fontId="18" fillId="0" borderId="1" xfId="1" applyNumberFormat="1" applyFont="1" applyBorder="1" applyAlignment="1">
      <alignment horizontal="center"/>
    </xf>
    <xf numFmtId="0" fontId="36" fillId="0" borderId="0" xfId="0" applyFont="1"/>
    <xf numFmtId="0" fontId="36" fillId="2" borderId="0" xfId="0" applyFont="1" applyFill="1"/>
    <xf numFmtId="0" fontId="36" fillId="2" borderId="0" xfId="0" quotePrefix="1" applyFont="1" applyFill="1" applyAlignment="1">
      <alignment horizontal="left"/>
    </xf>
    <xf numFmtId="0" fontId="36" fillId="0" borderId="0" xfId="0" quotePrefix="1" applyFont="1" applyAlignment="1">
      <alignment horizontal="left"/>
    </xf>
    <xf numFmtId="43" fontId="13" fillId="0" borderId="0" xfId="1" applyFont="1"/>
    <xf numFmtId="41" fontId="13" fillId="2" borderId="1" xfId="0" applyNumberFormat="1" applyFont="1" applyFill="1" applyBorder="1"/>
    <xf numFmtId="41" fontId="13" fillId="2" borderId="0" xfId="0" applyNumberFormat="1" applyFont="1" applyFill="1"/>
    <xf numFmtId="166" fontId="13" fillId="2" borderId="0" xfId="0" applyNumberFormat="1" applyFont="1" applyFill="1" applyAlignment="1">
      <alignment horizontal="center"/>
    </xf>
    <xf numFmtId="166" fontId="13" fillId="0" borderId="0" xfId="0" applyNumberFormat="1" applyFont="1" applyAlignment="1">
      <alignment horizontal="center"/>
    </xf>
    <xf numFmtId="0" fontId="4" fillId="0" borderId="0" xfId="0" quotePrefix="1" applyFont="1" applyAlignment="1">
      <alignment horizontal="left"/>
    </xf>
    <xf numFmtId="43" fontId="15" fillId="0" borderId="0" xfId="1" applyFont="1" applyFill="1" applyBorder="1" applyAlignment="1"/>
    <xf numFmtId="0" fontId="15" fillId="0" borderId="0" xfId="0" applyFont="1" applyAlignment="1">
      <alignment horizontal="right"/>
    </xf>
    <xf numFmtId="7" fontId="43" fillId="0" borderId="0" xfId="0" quotePrefix="1" applyNumberFormat="1" applyFont="1" applyAlignment="1">
      <alignment horizontal="center"/>
    </xf>
    <xf numFmtId="17" fontId="43" fillId="0" borderId="0" xfId="0" quotePrefix="1" applyNumberFormat="1" applyFont="1" applyAlignment="1">
      <alignment horizontal="center"/>
    </xf>
    <xf numFmtId="7" fontId="43" fillId="0" borderId="0" xfId="0" applyNumberFormat="1" applyFont="1" applyAlignment="1">
      <alignment horizontal="center"/>
    </xf>
    <xf numFmtId="2" fontId="15" fillId="0" borderId="0" xfId="0" quotePrefix="1" applyNumberFormat="1" applyFont="1" applyAlignment="1">
      <alignment horizontal="center"/>
    </xf>
    <xf numFmtId="0" fontId="44" fillId="0" borderId="0" xfId="0" quotePrefix="1" applyFont="1" applyAlignment="1">
      <alignment horizontal="center"/>
    </xf>
    <xf numFmtId="0" fontId="13" fillId="0" borderId="0" xfId="0" quotePrefix="1" applyFont="1" applyAlignment="1">
      <alignment horizontal="left" wrapText="1"/>
    </xf>
    <xf numFmtId="2" fontId="38" fillId="0" borderId="0" xfId="0" applyNumberFormat="1" applyFont="1" applyAlignment="1">
      <alignment horizontal="left" indent="3"/>
    </xf>
    <xf numFmtId="2" fontId="23" fillId="2" borderId="0" xfId="0" applyNumberFormat="1" applyFont="1" applyFill="1" applyAlignment="1">
      <alignment horizontal="left"/>
    </xf>
    <xf numFmtId="0" fontId="13" fillId="2" borderId="0" xfId="0" quotePrefix="1" applyFont="1" applyFill="1" applyAlignment="1">
      <alignment horizontal="left" wrapText="1"/>
    </xf>
    <xf numFmtId="7" fontId="19" fillId="0" borderId="1" xfId="0" quotePrefix="1" applyNumberFormat="1" applyFont="1" applyBorder="1" applyAlignment="1">
      <alignment horizontal="center"/>
    </xf>
    <xf numFmtId="43" fontId="30" fillId="0" borderId="0" xfId="7" applyNumberFormat="1" applyFont="1"/>
    <xf numFmtId="49" fontId="16" fillId="0" borderId="0" xfId="0" quotePrefix="1" applyNumberFormat="1" applyFont="1" applyFill="1" applyAlignment="1">
      <alignment horizontal="left" indent="1"/>
    </xf>
    <xf numFmtId="0" fontId="17" fillId="2" borderId="7" xfId="0" quotePrefix="1" applyFont="1" applyFill="1" applyBorder="1" applyAlignment="1">
      <alignment horizontal="left"/>
    </xf>
    <xf numFmtId="0" fontId="13" fillId="0" borderId="1" xfId="0" quotePrefix="1" applyFont="1" applyBorder="1" applyAlignment="1">
      <alignment horizontal="center"/>
    </xf>
    <xf numFmtId="0" fontId="13" fillId="0" borderId="0" xfId="0" applyFont="1" applyAlignment="1">
      <alignment horizontal="left"/>
    </xf>
    <xf numFmtId="0" fontId="13" fillId="0" borderId="1" xfId="0" applyFont="1" applyBorder="1" applyAlignment="1">
      <alignment horizontal="center"/>
    </xf>
    <xf numFmtId="0" fontId="13" fillId="0" borderId="0" xfId="0" quotePrefix="1" applyFont="1" applyAlignment="1">
      <alignment horizontal="left"/>
    </xf>
    <xf numFmtId="0" fontId="13" fillId="0" borderId="0" xfId="0" applyFont="1" applyAlignment="1">
      <alignment horizontal="center"/>
    </xf>
    <xf numFmtId="0" fontId="13" fillId="0" borderId="0" xfId="0" quotePrefix="1" applyFont="1" applyAlignment="1">
      <alignment horizontal="center"/>
    </xf>
    <xf numFmtId="0" fontId="13" fillId="0" borderId="0" xfId="0" applyFont="1" applyAlignment="1">
      <alignment horizontal="right"/>
    </xf>
    <xf numFmtId="0" fontId="13" fillId="2" borderId="0" xfId="0" applyFont="1" applyFill="1" applyAlignment="1">
      <alignment horizontal="left"/>
    </xf>
    <xf numFmtId="166" fontId="18" fillId="2" borderId="0" xfId="0" applyNumberFormat="1" applyFont="1" applyFill="1" applyAlignment="1">
      <alignment horizontal="left"/>
    </xf>
    <xf numFmtId="0" fontId="13" fillId="2" borderId="0" xfId="0" applyFont="1" applyFill="1" applyAlignment="1">
      <alignment horizontal="right"/>
    </xf>
    <xf numFmtId="0" fontId="13" fillId="2" borderId="0" xfId="0" applyFont="1" applyFill="1" applyAlignment="1">
      <alignment horizontal="center"/>
    </xf>
    <xf numFmtId="0" fontId="13" fillId="2" borderId="1" xfId="0" quotePrefix="1" applyFont="1" applyFill="1" applyBorder="1" applyAlignment="1">
      <alignment horizontal="center"/>
    </xf>
    <xf numFmtId="0" fontId="13" fillId="0" borderId="0" xfId="0" quotePrefix="1" applyFont="1" applyAlignment="1">
      <alignment horizontal="left"/>
    </xf>
    <xf numFmtId="0" fontId="13" fillId="2" borderId="0" xfId="0" applyFont="1" applyFill="1" applyAlignment="1">
      <alignment horizontal="left"/>
    </xf>
    <xf numFmtId="0" fontId="13" fillId="2" borderId="0" xfId="0" quotePrefix="1" applyFont="1" applyFill="1" applyAlignment="1">
      <alignment horizontal="left"/>
    </xf>
    <xf numFmtId="0" fontId="45" fillId="0" borderId="0" xfId="0" quotePrefix="1" applyFont="1" applyAlignment="1">
      <alignment horizontal="center"/>
    </xf>
    <xf numFmtId="0" fontId="45" fillId="0" borderId="1" xfId="0" quotePrefix="1" applyFont="1" applyBorder="1" applyAlignment="1">
      <alignment horizontal="center"/>
    </xf>
    <xf numFmtId="7" fontId="13" fillId="0" borderId="0" xfId="0" quotePrefix="1" applyNumberFormat="1" applyFont="1" applyAlignment="1">
      <alignment horizontal="center"/>
    </xf>
    <xf numFmtId="170" fontId="45" fillId="6" borderId="0" xfId="6" applyNumberFormat="1" applyFont="1" applyFill="1" applyBorder="1" applyAlignment="1"/>
    <xf numFmtId="0" fontId="15" fillId="0" borderId="0" xfId="0" applyFont="1" applyFill="1" applyBorder="1"/>
    <xf numFmtId="0" fontId="13" fillId="2" borderId="1" xfId="0" applyFont="1" applyFill="1" applyBorder="1"/>
    <xf numFmtId="170" fontId="45" fillId="2" borderId="1" xfId="6" applyNumberFormat="1" applyFont="1" applyFill="1" applyBorder="1" applyAlignment="1"/>
    <xf numFmtId="0" fontId="16" fillId="2" borderId="0" xfId="0" quotePrefix="1" applyFont="1" applyFill="1" applyAlignment="1">
      <alignment horizontal="left"/>
    </xf>
    <xf numFmtId="0" fontId="15" fillId="2" borderId="0" xfId="0" quotePrefix="1" applyFont="1" applyFill="1" applyAlignment="1">
      <alignment horizontal="center"/>
    </xf>
    <xf numFmtId="166" fontId="18" fillId="2" borderId="0" xfId="0" applyNumberFormat="1" applyFont="1" applyFill="1" applyAlignment="1">
      <alignment horizontal="center"/>
    </xf>
    <xf numFmtId="7" fontId="15" fillId="2" borderId="0" xfId="0" quotePrefix="1" applyNumberFormat="1" applyFont="1" applyFill="1" applyBorder="1" applyAlignment="1">
      <alignment horizontal="center"/>
    </xf>
    <xf numFmtId="17" fontId="15" fillId="2" borderId="0" xfId="0" quotePrefix="1" applyNumberFormat="1" applyFont="1" applyFill="1" applyBorder="1" applyAlignment="1">
      <alignment horizontal="center"/>
    </xf>
    <xf numFmtId="7" fontId="15" fillId="2" borderId="0" xfId="0" applyNumberFormat="1" applyFont="1" applyFill="1" applyBorder="1" applyAlignment="1">
      <alignment horizontal="center"/>
    </xf>
    <xf numFmtId="0" fontId="15" fillId="2" borderId="0" xfId="0" quotePrefix="1" applyFont="1" applyFill="1" applyBorder="1" applyAlignment="1">
      <alignment horizontal="center"/>
    </xf>
    <xf numFmtId="169" fontId="13" fillId="2" borderId="0" xfId="0" quotePrefix="1" applyNumberFormat="1" applyFont="1" applyFill="1" applyBorder="1" applyAlignment="1">
      <alignment horizontal="center"/>
    </xf>
    <xf numFmtId="2" fontId="13" fillId="2" borderId="0" xfId="0" quotePrefix="1" applyNumberFormat="1" applyFont="1" applyFill="1" applyBorder="1" applyAlignment="1">
      <alignment horizontal="center"/>
    </xf>
    <xf numFmtId="0" fontId="45" fillId="2" borderId="1" xfId="0" quotePrefix="1" applyFont="1" applyFill="1" applyBorder="1" applyAlignment="1">
      <alignment horizontal="center"/>
    </xf>
    <xf numFmtId="44" fontId="13" fillId="2" borderId="8" xfId="0" applyNumberFormat="1" applyFont="1" applyFill="1" applyBorder="1"/>
    <xf numFmtId="164" fontId="13" fillId="2" borderId="5" xfId="6" applyNumberFormat="1" applyFont="1" applyFill="1" applyBorder="1" applyAlignment="1"/>
    <xf numFmtId="164" fontId="13" fillId="2" borderId="1" xfId="6" applyNumberFormat="1" applyFont="1" applyFill="1" applyBorder="1" applyAlignment="1"/>
    <xf numFmtId="164" fontId="13" fillId="2" borderId="1" xfId="0" applyNumberFormat="1" applyFont="1" applyFill="1" applyBorder="1"/>
    <xf numFmtId="164" fontId="13" fillId="2" borderId="6" xfId="6" applyNumberFormat="1" applyFont="1" applyFill="1" applyBorder="1" applyAlignment="1"/>
    <xf numFmtId="164" fontId="13" fillId="2" borderId="3" xfId="6" applyNumberFormat="1" applyFont="1" applyFill="1" applyBorder="1" applyAlignment="1"/>
    <xf numFmtId="164" fontId="13" fillId="2" borderId="0" xfId="6" applyNumberFormat="1" applyFont="1" applyFill="1" applyBorder="1" applyAlignment="1"/>
    <xf numFmtId="164" fontId="13" fillId="2" borderId="0" xfId="0" applyNumberFormat="1" applyFont="1" applyFill="1"/>
    <xf numFmtId="4" fontId="13" fillId="2" borderId="1" xfId="0" applyNumberFormat="1" applyFont="1" applyFill="1" applyBorder="1"/>
    <xf numFmtId="164" fontId="13" fillId="2" borderId="8" xfId="0" applyNumberFormat="1" applyFont="1" applyFill="1" applyBorder="1"/>
    <xf numFmtId="0" fontId="46" fillId="0" borderId="0" xfId="0" quotePrefix="1" applyFont="1" applyAlignment="1">
      <alignment horizontal="left" vertical="center" indent="2"/>
    </xf>
    <xf numFmtId="0" fontId="46" fillId="0" borderId="0" xfId="0" applyFont="1" applyAlignment="1">
      <alignment horizontal="left" vertical="top" indent="2"/>
    </xf>
    <xf numFmtId="0" fontId="46" fillId="0" borderId="0" xfId="0" quotePrefix="1" applyFont="1" applyAlignment="1">
      <alignment horizontal="left" vertical="top" indent="2"/>
    </xf>
    <xf numFmtId="0" fontId="13" fillId="0" borderId="1" xfId="0" quotePrefix="1" applyFont="1" applyBorder="1" applyAlignment="1">
      <alignment horizontal="center"/>
    </xf>
    <xf numFmtId="0" fontId="13" fillId="0" borderId="0" xfId="0" applyFont="1" applyAlignment="1">
      <alignment horizontal="left"/>
    </xf>
    <xf numFmtId="2" fontId="13" fillId="0" borderId="0" xfId="0" applyNumberFormat="1" applyFont="1" applyAlignment="1">
      <alignment horizontal="center"/>
    </xf>
    <xf numFmtId="0" fontId="13" fillId="0" borderId="1" xfId="0" applyFont="1" applyBorder="1" applyAlignment="1">
      <alignment horizontal="center"/>
    </xf>
    <xf numFmtId="0" fontId="13" fillId="0" borderId="0" xfId="0" quotePrefix="1" applyFont="1" applyAlignment="1">
      <alignment horizontal="left"/>
    </xf>
    <xf numFmtId="0" fontId="13" fillId="0" borderId="0" xfId="0" applyFont="1" applyAlignment="1">
      <alignment horizontal="center"/>
    </xf>
    <xf numFmtId="0" fontId="13" fillId="0" borderId="0" xfId="0" quotePrefix="1" applyFont="1" applyAlignment="1">
      <alignment horizontal="center"/>
    </xf>
    <xf numFmtId="0" fontId="13" fillId="0" borderId="0" xfId="0" applyFont="1" applyAlignment="1">
      <alignment horizontal="right"/>
    </xf>
    <xf numFmtId="0" fontId="47" fillId="0" borderId="0" xfId="0" applyFont="1" applyAlignment="1">
      <alignment horizontal="left" vertical="center"/>
    </xf>
    <xf numFmtId="0" fontId="49" fillId="0" borderId="0" xfId="0" applyFont="1" applyAlignment="1">
      <alignment horizontal="left" vertical="center" wrapText="1"/>
    </xf>
    <xf numFmtId="49" fontId="16" fillId="0" borderId="0" xfId="0" quotePrefix="1" applyNumberFormat="1" applyFont="1" applyFill="1"/>
    <xf numFmtId="49" fontId="30" fillId="4" borderId="0" xfId="0" quotePrefix="1" applyNumberFormat="1" applyFont="1" applyFill="1" applyAlignment="1">
      <alignment horizontal="left"/>
    </xf>
    <xf numFmtId="0" fontId="17" fillId="2" borderId="7" xfId="0" quotePrefix="1" applyFont="1" applyFill="1" applyBorder="1" applyAlignment="1">
      <alignment horizontal="left" indent="2"/>
    </xf>
    <xf numFmtId="49" fontId="32" fillId="2" borderId="0" xfId="0" quotePrefix="1" applyNumberFormat="1" applyFont="1" applyFill="1" applyBorder="1" applyAlignment="1">
      <alignment horizontal="center"/>
    </xf>
    <xf numFmtId="0" fontId="32" fillId="2" borderId="23" xfId="0" applyFont="1" applyFill="1" applyBorder="1"/>
    <xf numFmtId="0" fontId="32" fillId="2" borderId="14" xfId="0" applyFont="1" applyFill="1" applyBorder="1"/>
    <xf numFmtId="0" fontId="17" fillId="2" borderId="15" xfId="0" applyFont="1" applyFill="1" applyBorder="1"/>
    <xf numFmtId="0" fontId="33" fillId="2" borderId="13" xfId="0" quotePrefix="1" applyFont="1" applyFill="1" applyBorder="1" applyAlignment="1">
      <alignment horizontal="left" indent="2"/>
    </xf>
    <xf numFmtId="0" fontId="16" fillId="0" borderId="0" xfId="0" quotePrefix="1" applyFont="1" applyFill="1" applyAlignment="1">
      <alignment horizontal="left" vertical="center" indent="1"/>
    </xf>
    <xf numFmtId="43" fontId="16" fillId="0" borderId="0" xfId="0" applyNumberFormat="1" applyFont="1" applyBorder="1"/>
    <xf numFmtId="0" fontId="17" fillId="2" borderId="0" xfId="0" quotePrefix="1" applyFont="1" applyFill="1" applyBorder="1" applyAlignment="1">
      <alignment vertical="top" wrapText="1"/>
    </xf>
    <xf numFmtId="0" fontId="17" fillId="2" borderId="14" xfId="0" quotePrefix="1" applyFont="1" applyFill="1" applyBorder="1" applyAlignment="1">
      <alignment vertical="top" wrapText="1"/>
    </xf>
    <xf numFmtId="43" fontId="33" fillId="0" borderId="0" xfId="0" quotePrefix="1" applyNumberFormat="1" applyFont="1" applyAlignment="1">
      <alignment horizontal="left"/>
    </xf>
    <xf numFmtId="49" fontId="17" fillId="2" borderId="0" xfId="0" quotePrefix="1" applyNumberFormat="1" applyFont="1" applyFill="1" applyAlignment="1">
      <alignment horizontal="center"/>
    </xf>
    <xf numFmtId="0" fontId="17" fillId="2" borderId="7" xfId="0" quotePrefix="1" applyFont="1" applyFill="1" applyBorder="1"/>
    <xf numFmtId="4" fontId="13" fillId="0" borderId="0" xfId="0" quotePrefix="1" applyNumberFormat="1" applyFont="1" applyAlignment="1">
      <alignment horizontal="center"/>
    </xf>
    <xf numFmtId="0" fontId="13" fillId="0" borderId="0" xfId="0" applyFont="1" applyAlignment="1">
      <alignment horizontal="center"/>
    </xf>
    <xf numFmtId="0" fontId="13" fillId="0" borderId="0" xfId="0" applyFont="1" applyAlignment="1">
      <alignment horizontal="left"/>
    </xf>
    <xf numFmtId="0" fontId="13" fillId="0" borderId="0" xfId="0" quotePrefix="1" applyFont="1" applyAlignment="1">
      <alignment horizontal="left"/>
    </xf>
    <xf numFmtId="0" fontId="13" fillId="2" borderId="0" xfId="0" applyFont="1" applyFill="1" applyAlignment="1">
      <alignment horizontal="right"/>
    </xf>
    <xf numFmtId="0" fontId="13" fillId="2" borderId="0" xfId="0" applyFont="1" applyFill="1" applyAlignment="1">
      <alignment horizontal="left"/>
    </xf>
    <xf numFmtId="0" fontId="13" fillId="2" borderId="0" xfId="0" quotePrefix="1" applyFont="1" applyFill="1" applyAlignment="1">
      <alignment horizontal="left"/>
    </xf>
    <xf numFmtId="0" fontId="13" fillId="2" borderId="0" xfId="0" applyFont="1" applyFill="1" applyAlignment="1">
      <alignment horizontal="center"/>
    </xf>
    <xf numFmtId="41" fontId="13" fillId="2" borderId="0" xfId="0" applyNumberFormat="1" applyFont="1" applyFill="1" applyBorder="1"/>
    <xf numFmtId="41" fontId="13" fillId="2" borderId="5" xfId="0" applyNumberFormat="1" applyFont="1" applyFill="1" applyBorder="1"/>
    <xf numFmtId="43" fontId="30" fillId="4" borderId="0" xfId="7" applyNumberFormat="1" applyFont="1" applyFill="1"/>
    <xf numFmtId="0" fontId="17" fillId="0" borderId="0" xfId="0" quotePrefix="1" applyFont="1" applyAlignment="1">
      <alignment horizontal="center"/>
    </xf>
    <xf numFmtId="0" fontId="32" fillId="0" borderId="18" xfId="0" quotePrefix="1" applyFont="1" applyBorder="1" applyAlignment="1">
      <alignment horizontal="center"/>
    </xf>
    <xf numFmtId="0" fontId="32" fillId="0" borderId="19" xfId="0" quotePrefix="1" applyFont="1" applyBorder="1" applyAlignment="1">
      <alignment horizontal="center"/>
    </xf>
    <xf numFmtId="0" fontId="32" fillId="0" borderId="20" xfId="0" quotePrefix="1" applyFont="1" applyBorder="1" applyAlignment="1">
      <alignment horizontal="center"/>
    </xf>
    <xf numFmtId="49" fontId="32" fillId="0" borderId="4" xfId="7" quotePrefix="1" applyNumberFormat="1" applyFont="1" applyBorder="1" applyAlignment="1">
      <alignment horizontal="center"/>
    </xf>
    <xf numFmtId="49" fontId="32" fillId="0" borderId="4" xfId="7" applyNumberFormat="1" applyFont="1" applyBorder="1" applyAlignment="1">
      <alignment horizontal="center"/>
    </xf>
    <xf numFmtId="2" fontId="38" fillId="0" borderId="0" xfId="0" applyNumberFormat="1" applyFont="1" applyAlignment="1">
      <alignment horizontal="left" indent="3"/>
    </xf>
    <xf numFmtId="4" fontId="13" fillId="0" borderId="0" xfId="0" quotePrefix="1" applyNumberFormat="1" applyFont="1" applyAlignment="1">
      <alignment horizontal="center"/>
    </xf>
    <xf numFmtId="0" fontId="36" fillId="0" borderId="0" xfId="0" quotePrefix="1" applyFont="1" applyAlignment="1">
      <alignment horizontal="right"/>
    </xf>
    <xf numFmtId="0" fontId="36" fillId="0" borderId="0" xfId="0" applyFont="1" applyAlignment="1">
      <alignment horizontal="right"/>
    </xf>
    <xf numFmtId="0" fontId="47" fillId="0" borderId="0" xfId="0" applyFont="1" applyAlignment="1">
      <alignment horizontal="left" vertical="center"/>
    </xf>
    <xf numFmtId="0" fontId="47" fillId="0" borderId="0" xfId="0" applyFont="1" applyAlignment="1">
      <alignment horizontal="left" vertical="center" wrapText="1"/>
    </xf>
    <xf numFmtId="0" fontId="13" fillId="0" borderId="6" xfId="0" applyFont="1" applyBorder="1" applyAlignment="1">
      <alignment horizontal="left" indent="2"/>
    </xf>
    <xf numFmtId="7" fontId="13" fillId="0" borderId="6" xfId="0" applyNumberFormat="1" applyFont="1" applyBorder="1" applyAlignment="1">
      <alignment horizontal="right"/>
    </xf>
    <xf numFmtId="0" fontId="13" fillId="0" borderId="0" xfId="0" applyFont="1" applyAlignment="1">
      <alignment horizontal="center"/>
    </xf>
    <xf numFmtId="0" fontId="13" fillId="0" borderId="1" xfId="0" applyFont="1" applyBorder="1" applyAlignment="1">
      <alignment horizontal="center"/>
    </xf>
    <xf numFmtId="0" fontId="13" fillId="0" borderId="0" xfId="0" quotePrefix="1" applyFont="1" applyAlignment="1">
      <alignment horizontal="center"/>
    </xf>
    <xf numFmtId="0" fontId="14" fillId="0" borderId="7" xfId="0" applyFont="1" applyBorder="1" applyAlignment="1">
      <alignment horizontal="left"/>
    </xf>
    <xf numFmtId="0" fontId="14" fillId="0" borderId="0" xfId="0" applyFont="1" applyAlignment="1">
      <alignment horizontal="left"/>
    </xf>
    <xf numFmtId="4" fontId="13" fillId="0" borderId="0" xfId="0" applyNumberFormat="1" applyFont="1"/>
    <xf numFmtId="4" fontId="14" fillId="0" borderId="0" xfId="0" applyNumberFormat="1" applyFont="1" applyAlignment="1">
      <alignment horizontal="left"/>
    </xf>
    <xf numFmtId="4" fontId="13" fillId="0" borderId="0" xfId="0" quotePrefix="1" applyNumberFormat="1" applyFont="1" applyAlignment="1">
      <alignment horizontal="left"/>
    </xf>
    <xf numFmtId="168" fontId="13" fillId="0" borderId="0" xfId="0" applyNumberFormat="1" applyFont="1" applyAlignment="1">
      <alignment horizontal="center" wrapText="1"/>
    </xf>
    <xf numFmtId="0" fontId="13" fillId="0" borderId="1" xfId="0" applyFont="1" applyBorder="1" applyAlignment="1">
      <alignment horizontal="left" wrapText="1"/>
    </xf>
    <xf numFmtId="168" fontId="13" fillId="0" borderId="1" xfId="0" applyNumberFormat="1" applyFont="1" applyBorder="1" applyAlignment="1">
      <alignment horizontal="center" wrapText="1"/>
    </xf>
    <xf numFmtId="0" fontId="13" fillId="0" borderId="1" xfId="0" quotePrefix="1" applyFont="1" applyBorder="1" applyAlignment="1">
      <alignment horizontal="center"/>
    </xf>
    <xf numFmtId="168" fontId="13" fillId="0" borderId="1" xfId="0" quotePrefix="1" applyNumberFormat="1" applyFont="1" applyBorder="1" applyAlignment="1">
      <alignment horizontal="center"/>
    </xf>
    <xf numFmtId="0" fontId="13" fillId="0" borderId="6" xfId="0" applyFont="1" applyBorder="1" applyAlignment="1">
      <alignment horizontal="left"/>
    </xf>
    <xf numFmtId="168" fontId="13" fillId="0" borderId="6" xfId="0" applyNumberFormat="1" applyFont="1" applyBorder="1" applyAlignment="1">
      <alignment horizontal="center"/>
    </xf>
    <xf numFmtId="0" fontId="13" fillId="0" borderId="0" xfId="0" applyFont="1" applyAlignment="1">
      <alignment horizontal="left"/>
    </xf>
    <xf numFmtId="168" fontId="13" fillId="0" borderId="0" xfId="0" applyNumberFormat="1" applyFont="1" applyAlignment="1">
      <alignment horizontal="center"/>
    </xf>
    <xf numFmtId="0" fontId="13" fillId="0" borderId="0" xfId="0" quotePrefix="1" applyFont="1" applyAlignment="1">
      <alignment horizontal="left" indent="2"/>
    </xf>
    <xf numFmtId="0" fontId="13" fillId="0" borderId="0" xfId="0" applyFont="1" applyAlignment="1">
      <alignment horizontal="left" indent="2"/>
    </xf>
    <xf numFmtId="2" fontId="13" fillId="0" borderId="0" xfId="0" applyNumberFormat="1" applyFont="1" applyAlignment="1">
      <alignment horizontal="center"/>
    </xf>
    <xf numFmtId="0" fontId="13" fillId="0" borderId="0" xfId="0" applyFont="1" applyAlignment="1">
      <alignment horizontal="left" wrapText="1"/>
    </xf>
    <xf numFmtId="0" fontId="13" fillId="0" borderId="0" xfId="0" quotePrefix="1" applyFont="1" applyAlignment="1">
      <alignment horizontal="left"/>
    </xf>
    <xf numFmtId="0" fontId="36" fillId="0" borderId="0" xfId="0" quotePrefix="1" applyFont="1" applyAlignment="1">
      <alignment horizontal="center"/>
    </xf>
    <xf numFmtId="174" fontId="13" fillId="0" borderId="9" xfId="0" applyNumberFormat="1" applyFont="1" applyBorder="1"/>
    <xf numFmtId="0" fontId="13" fillId="0" borderId="0" xfId="0" quotePrefix="1" applyFont="1" applyAlignment="1">
      <alignment horizontal="left" wrapText="1"/>
    </xf>
    <xf numFmtId="0" fontId="15" fillId="0" borderId="6" xfId="0" applyFont="1" applyBorder="1" applyAlignment="1">
      <alignment horizontal="left" vertical="center" wrapText="1"/>
    </xf>
    <xf numFmtId="0" fontId="15" fillId="0" borderId="0" xfId="0" applyFont="1" applyAlignment="1">
      <alignment horizontal="left" vertical="center" wrapText="1"/>
    </xf>
    <xf numFmtId="0" fontId="13" fillId="0" borderId="0" xfId="0" applyFont="1" applyAlignment="1">
      <alignment horizontal="right"/>
    </xf>
    <xf numFmtId="0" fontId="48" fillId="0" borderId="0" xfId="0" applyFont="1" applyFill="1" applyAlignment="1">
      <alignment horizontal="left" vertical="center" wrapText="1"/>
    </xf>
    <xf numFmtId="0" fontId="47" fillId="0" borderId="0" xfId="0" applyFont="1" applyFill="1" applyAlignment="1">
      <alignment horizontal="left" vertical="center" wrapText="1"/>
    </xf>
    <xf numFmtId="0" fontId="49" fillId="0" borderId="0" xfId="0" applyFont="1" applyAlignment="1">
      <alignment horizontal="left" vertical="center" wrapText="1"/>
    </xf>
    <xf numFmtId="0" fontId="48" fillId="0" borderId="0" xfId="0" applyFont="1" applyAlignment="1">
      <alignment horizontal="left" vertical="center" wrapText="1"/>
    </xf>
    <xf numFmtId="0" fontId="49" fillId="0" borderId="0" xfId="0" applyFont="1" applyAlignment="1">
      <alignment horizontal="left" vertical="center"/>
    </xf>
    <xf numFmtId="174" fontId="13" fillId="0" borderId="0" xfId="0" applyNumberFormat="1" applyFont="1"/>
    <xf numFmtId="3" fontId="13" fillId="0" borderId="0" xfId="0" quotePrefix="1" applyNumberFormat="1" applyFont="1" applyAlignment="1">
      <alignment horizontal="center"/>
    </xf>
    <xf numFmtId="7" fontId="13" fillId="0" borderId="0" xfId="0" applyNumberFormat="1" applyFont="1" applyAlignment="1">
      <alignment horizontal="right"/>
    </xf>
    <xf numFmtId="0" fontId="13" fillId="9" borderId="1" xfId="0" applyFont="1" applyFill="1" applyBorder="1" applyAlignment="1">
      <alignment horizontal="center"/>
    </xf>
    <xf numFmtId="0" fontId="13" fillId="2" borderId="0" xfId="0" quotePrefix="1" applyFont="1" applyFill="1" applyAlignment="1">
      <alignment horizontal="left"/>
    </xf>
    <xf numFmtId="0" fontId="13" fillId="2" borderId="0" xfId="0" applyFont="1" applyFill="1" applyAlignment="1">
      <alignment horizontal="left"/>
    </xf>
    <xf numFmtId="2" fontId="13" fillId="2" borderId="22" xfId="0" applyNumberFormat="1" applyFont="1" applyFill="1" applyBorder="1" applyAlignment="1">
      <alignment horizontal="center"/>
    </xf>
    <xf numFmtId="0" fontId="13" fillId="2" borderId="0" xfId="0" applyFont="1" applyFill="1" applyAlignment="1">
      <alignment horizontal="right"/>
    </xf>
    <xf numFmtId="4" fontId="22" fillId="2" borderId="0" xfId="0" applyNumberFormat="1" applyFont="1" applyFill="1" applyAlignment="1">
      <alignment horizontal="left"/>
    </xf>
    <xf numFmtId="166" fontId="18" fillId="2" borderId="0" xfId="0" applyNumberFormat="1" applyFont="1" applyFill="1" applyAlignment="1">
      <alignment horizontal="left"/>
    </xf>
    <xf numFmtId="168" fontId="13" fillId="2" borderId="0" xfId="0" quotePrefix="1" applyNumberFormat="1" applyFont="1" applyFill="1" applyAlignment="1">
      <alignment horizontal="left"/>
    </xf>
    <xf numFmtId="168" fontId="13" fillId="2" borderId="0" xfId="0" applyNumberFormat="1" applyFont="1" applyFill="1" applyAlignment="1">
      <alignment horizontal="left"/>
    </xf>
    <xf numFmtId="0" fontId="19" fillId="2" borderId="5" xfId="0" applyFont="1" applyFill="1" applyBorder="1" applyAlignment="1">
      <alignment horizontal="center"/>
    </xf>
    <xf numFmtId="0" fontId="13" fillId="2" borderId="1" xfId="0" applyFont="1" applyFill="1" applyBorder="1" applyAlignment="1">
      <alignment horizontal="center"/>
    </xf>
    <xf numFmtId="0" fontId="19" fillId="2" borderId="1" xfId="0" applyFont="1" applyFill="1" applyBorder="1" applyAlignment="1">
      <alignment horizontal="center"/>
    </xf>
    <xf numFmtId="169" fontId="36" fillId="2" borderId="0" xfId="0" applyNumberFormat="1" applyFont="1" applyFill="1" applyAlignment="1">
      <alignment horizontal="center"/>
    </xf>
    <xf numFmtId="165" fontId="13" fillId="2" borderId="7" xfId="4" applyFont="1" applyFill="1" applyBorder="1" applyAlignment="1">
      <alignment horizontal="right"/>
    </xf>
    <xf numFmtId="165" fontId="13" fillId="2" borderId="0" xfId="4" applyFont="1" applyFill="1" applyBorder="1" applyAlignment="1">
      <alignment horizontal="right"/>
    </xf>
    <xf numFmtId="2" fontId="23" fillId="2" borderId="0" xfId="0" applyNumberFormat="1" applyFont="1" applyFill="1" applyAlignment="1">
      <alignment horizontal="left"/>
    </xf>
    <xf numFmtId="4" fontId="13" fillId="2" borderId="0" xfId="0" quotePrefix="1" applyNumberFormat="1" applyFont="1" applyFill="1" applyAlignment="1">
      <alignment horizontal="left"/>
    </xf>
    <xf numFmtId="0" fontId="13" fillId="2" borderId="1" xfId="0" applyFont="1" applyFill="1" applyBorder="1" applyAlignment="1">
      <alignment horizontal="left"/>
    </xf>
    <xf numFmtId="2" fontId="13" fillId="2" borderId="0" xfId="0" applyNumberFormat="1" applyFont="1" applyFill="1" applyAlignment="1">
      <alignment horizontal="center"/>
    </xf>
    <xf numFmtId="0" fontId="15" fillId="2" borderId="6" xfId="0" applyFont="1" applyFill="1" applyBorder="1" applyAlignment="1">
      <alignment horizontal="left" vertical="center" wrapText="1"/>
    </xf>
    <xf numFmtId="0" fontId="15" fillId="2" borderId="0" xfId="0" applyFont="1" applyFill="1" applyAlignment="1">
      <alignment horizontal="left" vertical="center" wrapText="1"/>
    </xf>
    <xf numFmtId="2" fontId="20" fillId="2" borderId="1" xfId="0" applyNumberFormat="1" applyFont="1" applyFill="1" applyBorder="1" applyAlignment="1">
      <alignment horizontal="center"/>
    </xf>
    <xf numFmtId="4" fontId="19" fillId="2" borderId="1" xfId="0" applyNumberFormat="1" applyFont="1" applyFill="1" applyBorder="1" applyAlignment="1">
      <alignment horizontal="center" wrapText="1"/>
    </xf>
    <xf numFmtId="4" fontId="19" fillId="2" borderId="5" xfId="0" applyNumberFormat="1" applyFont="1" applyFill="1" applyBorder="1" applyAlignment="1">
      <alignment horizontal="center" wrapText="1"/>
    </xf>
    <xf numFmtId="4" fontId="19" fillId="2" borderId="21" xfId="0" applyNumberFormat="1" applyFont="1" applyFill="1" applyBorder="1" applyAlignment="1">
      <alignment horizontal="center" wrapText="1"/>
    </xf>
    <xf numFmtId="0" fontId="17" fillId="2" borderId="0" xfId="0" applyFont="1" applyFill="1" applyAlignment="1">
      <alignment horizontal="left"/>
    </xf>
    <xf numFmtId="0" fontId="17" fillId="0" borderId="0" xfId="0" applyFont="1" applyAlignment="1">
      <alignment horizontal="left"/>
    </xf>
    <xf numFmtId="0" fontId="31" fillId="2" borderId="0" xfId="0" applyFont="1" applyFill="1" applyAlignment="1">
      <alignment horizontal="left"/>
    </xf>
    <xf numFmtId="0" fontId="13" fillId="2" borderId="0" xfId="0" applyFont="1" applyFill="1" applyAlignment="1">
      <alignment horizontal="center"/>
    </xf>
    <xf numFmtId="7" fontId="13" fillId="2" borderId="6" xfId="0" applyNumberFormat="1" applyFont="1" applyFill="1" applyBorder="1" applyAlignment="1">
      <alignment horizontal="right"/>
    </xf>
    <xf numFmtId="7" fontId="13" fillId="2" borderId="0" xfId="0" applyNumberFormat="1" applyFont="1" applyFill="1" applyAlignment="1">
      <alignment horizontal="right"/>
    </xf>
    <xf numFmtId="0" fontId="19" fillId="2" borderId="0" xfId="0" applyFont="1" applyFill="1" applyAlignment="1">
      <alignment horizontal="right"/>
    </xf>
    <xf numFmtId="0" fontId="22" fillId="2" borderId="0" xfId="0" applyFont="1" applyFill="1" applyAlignment="1">
      <alignment horizontal="right"/>
    </xf>
    <xf numFmtId="0" fontId="22" fillId="2" borderId="0" xfId="0" quotePrefix="1" applyFont="1" applyFill="1" applyAlignment="1">
      <alignment horizontal="center"/>
    </xf>
    <xf numFmtId="0" fontId="22" fillId="2" borderId="0" xfId="0" applyFont="1" applyFill="1" applyAlignment="1">
      <alignment horizontal="center"/>
    </xf>
    <xf numFmtId="168" fontId="17" fillId="2" borderId="0" xfId="0" quotePrefix="1" applyNumberFormat="1" applyFont="1" applyFill="1" applyAlignment="1">
      <alignment horizontal="left"/>
    </xf>
    <xf numFmtId="168" fontId="17" fillId="2" borderId="0" xfId="0" applyNumberFormat="1" applyFont="1" applyFill="1" applyAlignment="1">
      <alignment horizontal="left"/>
    </xf>
    <xf numFmtId="168" fontId="42" fillId="2" borderId="0" xfId="0" quotePrefix="1" applyNumberFormat="1" applyFont="1" applyFill="1" applyAlignment="1">
      <alignment horizontal="left"/>
    </xf>
    <xf numFmtId="168" fontId="42" fillId="2" borderId="0" xfId="0" applyNumberFormat="1" applyFont="1" applyFill="1" applyAlignment="1">
      <alignment horizontal="left"/>
    </xf>
    <xf numFmtId="0" fontId="13" fillId="2" borderId="0" xfId="0" quotePrefix="1" applyFont="1" applyFill="1" applyAlignment="1">
      <alignment horizontal="left" wrapText="1"/>
    </xf>
    <xf numFmtId="0" fontId="13" fillId="2" borderId="1" xfId="0" applyFont="1" applyFill="1" applyBorder="1" applyAlignment="1">
      <alignment horizontal="left" wrapText="1"/>
    </xf>
    <xf numFmtId="2" fontId="19" fillId="2" borderId="1" xfId="0" applyNumberFormat="1" applyFont="1" applyFill="1" applyBorder="1" applyAlignment="1">
      <alignment horizontal="center"/>
    </xf>
    <xf numFmtId="0" fontId="13" fillId="2" borderId="6" xfId="0" applyFont="1" applyFill="1" applyBorder="1" applyAlignment="1">
      <alignment horizontal="left"/>
    </xf>
    <xf numFmtId="2" fontId="19" fillId="2" borderId="5" xfId="0" applyNumberFormat="1" applyFont="1" applyFill="1" applyBorder="1" applyAlignment="1">
      <alignment horizontal="center"/>
    </xf>
    <xf numFmtId="168" fontId="13" fillId="2" borderId="1" xfId="0" applyNumberFormat="1" applyFont="1" applyFill="1" applyBorder="1" applyAlignment="1">
      <alignment horizontal="center"/>
    </xf>
    <xf numFmtId="0" fontId="13" fillId="2" borderId="6" xfId="0" applyFont="1" applyFill="1" applyBorder="1" applyAlignment="1">
      <alignment horizontal="right"/>
    </xf>
    <xf numFmtId="2" fontId="18" fillId="2" borderId="1" xfId="0" applyNumberFormat="1" applyFont="1" applyFill="1" applyBorder="1" applyAlignment="1">
      <alignment horizontal="center"/>
    </xf>
    <xf numFmtId="0" fontId="13" fillId="2" borderId="0" xfId="0" applyFont="1" applyFill="1" applyAlignment="1">
      <alignment horizontal="left" wrapText="1"/>
    </xf>
    <xf numFmtId="168" fontId="13" fillId="2" borderId="0" xfId="0" applyNumberFormat="1" applyFont="1" applyFill="1" applyAlignment="1">
      <alignment horizontal="center"/>
    </xf>
    <xf numFmtId="0" fontId="15" fillId="2" borderId="0" xfId="0" quotePrefix="1" applyFont="1" applyFill="1" applyAlignment="1">
      <alignment horizontal="left"/>
    </xf>
    <xf numFmtId="0" fontId="15" fillId="2" borderId="0" xfId="0" applyFont="1" applyFill="1" applyAlignment="1">
      <alignment horizontal="left"/>
    </xf>
    <xf numFmtId="169" fontId="15" fillId="2" borderId="0" xfId="0" applyNumberFormat="1" applyFont="1" applyFill="1" applyAlignment="1">
      <alignment horizontal="left"/>
    </xf>
    <xf numFmtId="168" fontId="13" fillId="2" borderId="0" xfId="0" applyNumberFormat="1" applyFont="1" applyFill="1" applyAlignment="1">
      <alignment horizontal="center" wrapText="1"/>
    </xf>
    <xf numFmtId="0" fontId="20" fillId="2" borderId="1" xfId="0" applyFont="1" applyFill="1" applyBorder="1" applyAlignment="1">
      <alignment horizontal="center" wrapText="1"/>
    </xf>
    <xf numFmtId="168" fontId="13" fillId="2" borderId="1" xfId="0" applyNumberFormat="1" applyFont="1" applyFill="1" applyBorder="1" applyAlignment="1">
      <alignment horizontal="center" wrapText="1"/>
    </xf>
    <xf numFmtId="0" fontId="13" fillId="2" borderId="1" xfId="0" quotePrefix="1" applyFont="1" applyFill="1" applyBorder="1" applyAlignment="1">
      <alignment horizontal="center"/>
    </xf>
    <xf numFmtId="0" fontId="20" fillId="2" borderId="1" xfId="0" quotePrefix="1" applyFont="1" applyFill="1" applyBorder="1" applyAlignment="1">
      <alignment horizontal="center"/>
    </xf>
    <xf numFmtId="168" fontId="13" fillId="2" borderId="1" xfId="0" quotePrefix="1" applyNumberFormat="1" applyFont="1" applyFill="1" applyBorder="1" applyAlignment="1">
      <alignment horizontal="center"/>
    </xf>
    <xf numFmtId="168" fontId="13" fillId="2" borderId="6" xfId="0" applyNumberFormat="1" applyFont="1" applyFill="1" applyBorder="1" applyAlignment="1">
      <alignment horizontal="center"/>
    </xf>
    <xf numFmtId="0" fontId="37" fillId="0" borderId="7" xfId="0" applyFont="1" applyBorder="1" applyAlignment="1">
      <alignment horizontal="left"/>
    </xf>
    <xf numFmtId="0" fontId="37" fillId="0" borderId="0" xfId="0" applyFont="1" applyAlignment="1">
      <alignment horizontal="left"/>
    </xf>
    <xf numFmtId="0" fontId="12" fillId="2" borderId="0" xfId="0" applyFont="1" applyFill="1" applyAlignment="1">
      <alignment horizontal="center"/>
    </xf>
    <xf numFmtId="4" fontId="13" fillId="2" borderId="0" xfId="0" applyNumberFormat="1" applyFont="1" applyFill="1" applyAlignment="1">
      <alignment horizontal="left"/>
    </xf>
    <xf numFmtId="4" fontId="14" fillId="2" borderId="0" xfId="0" applyNumberFormat="1" applyFont="1" applyFill="1" applyAlignment="1">
      <alignment horizontal="left"/>
    </xf>
    <xf numFmtId="168" fontId="13" fillId="6" borderId="0" xfId="0" applyNumberFormat="1" applyFont="1" applyFill="1" applyAlignment="1">
      <alignment horizontal="center"/>
    </xf>
    <xf numFmtId="4" fontId="13" fillId="0" borderId="0" xfId="0" applyNumberFormat="1" applyFont="1" applyAlignment="1">
      <alignment horizontal="left"/>
    </xf>
    <xf numFmtId="0" fontId="15" fillId="2" borderId="0" xfId="0" applyFont="1" applyFill="1" applyAlignment="1">
      <alignment horizontal="center"/>
    </xf>
    <xf numFmtId="7" fontId="16" fillId="2" borderId="0" xfId="0" applyNumberFormat="1" applyFont="1" applyFill="1" applyAlignment="1">
      <alignment horizontal="center"/>
    </xf>
    <xf numFmtId="168" fontId="13" fillId="6" borderId="6" xfId="0" applyNumberFormat="1" applyFont="1" applyFill="1" applyBorder="1" applyAlignment="1">
      <alignment horizontal="center"/>
    </xf>
    <xf numFmtId="2" fontId="39" fillId="0" borderId="0" xfId="0" applyNumberFormat="1" applyFont="1" applyAlignment="1">
      <alignment horizontal="center" wrapText="1"/>
    </xf>
    <xf numFmtId="2" fontId="39" fillId="0" borderId="1" xfId="0" applyNumberFormat="1" applyFont="1" applyBorder="1" applyAlignment="1">
      <alignment horizontal="center" wrapText="1"/>
    </xf>
    <xf numFmtId="2" fontId="40" fillId="0" borderId="0" xfId="0" applyNumberFormat="1" applyFont="1" applyAlignment="1">
      <alignment horizontal="center" wrapText="1"/>
    </xf>
    <xf numFmtId="2" fontId="40" fillId="0" borderId="1" xfId="0" applyNumberFormat="1" applyFont="1" applyBorder="1" applyAlignment="1">
      <alignment horizontal="center" wrapText="1"/>
    </xf>
    <xf numFmtId="0" fontId="4" fillId="2" borderId="0" xfId="0" quotePrefix="1" applyFont="1" applyFill="1" applyAlignment="1">
      <alignment horizontal="center"/>
    </xf>
    <xf numFmtId="0" fontId="13" fillId="2" borderId="0" xfId="0" quotePrefix="1" applyFont="1" applyFill="1" applyAlignment="1"/>
    <xf numFmtId="0" fontId="13" fillId="2" borderId="0" xfId="0" applyFont="1" applyFill="1" applyAlignment="1"/>
    <xf numFmtId="7" fontId="13" fillId="8" borderId="6" xfId="0" applyNumberFormat="1" applyFont="1" applyFill="1" applyBorder="1" applyAlignment="1">
      <alignment horizontal="right"/>
    </xf>
  </cellXfs>
  <cellStyles count="14">
    <cellStyle name="Comma" xfId="1" builtinId="3"/>
    <cellStyle name="Comma 2" xfId="2" xr:uid="{00000000-0005-0000-0000-000001000000}"/>
    <cellStyle name="Comma 3" xfId="13" xr:uid="{00000000-0005-0000-0000-000002000000}"/>
    <cellStyle name="Comma 3 8" xfId="3" xr:uid="{00000000-0005-0000-0000-000003000000}"/>
    <cellStyle name="Comma_charter school revenue frame" xfId="4" xr:uid="{00000000-0005-0000-0000-000004000000}"/>
    <cellStyle name="Currency 2 8" xfId="5" xr:uid="{00000000-0005-0000-0000-000005000000}"/>
    <cellStyle name="Currency_charter school revenue frame" xfId="6" xr:uid="{00000000-0005-0000-0000-000006000000}"/>
    <cellStyle name="Normal" xfId="0" builtinId="0"/>
    <cellStyle name="Normal 2" xfId="7" xr:uid="{00000000-0005-0000-0000-000008000000}"/>
    <cellStyle name="Normal 2 2" xfId="8" xr:uid="{00000000-0005-0000-0000-000009000000}"/>
    <cellStyle name="Normal 3" xfId="12" xr:uid="{00000000-0005-0000-0000-00000A000000}"/>
    <cellStyle name="Normal 3 8" xfId="9" xr:uid="{00000000-0005-0000-0000-00000B000000}"/>
    <cellStyle name="Percent" xfId="10" builtinId="5"/>
    <cellStyle name="Percent 3 8" xfId="11" xr:uid="{00000000-0005-0000-0000-00000D000000}"/>
  </cellStyles>
  <dxfs count="9">
    <dxf>
      <fill>
        <patternFill>
          <bgColor rgb="FFFFFF66"/>
        </patternFill>
      </fill>
    </dxf>
    <dxf>
      <fill>
        <patternFill>
          <bgColor theme="0" tint="-0.14996795556505021"/>
        </patternFill>
      </fill>
    </dxf>
    <dxf>
      <font>
        <color theme="0"/>
      </font>
    </dxf>
    <dxf>
      <font>
        <b/>
        <i val="0"/>
        <color rgb="FFFF0000"/>
      </font>
    </dxf>
    <dxf>
      <font>
        <color theme="0"/>
      </font>
    </dxf>
    <dxf>
      <font>
        <b/>
        <i val="0"/>
        <color rgb="FFFF000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color rgb="FFFFFFCC"/>
      <color rgb="FFCC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152399</xdr:colOff>
      <xdr:row>492</xdr:row>
      <xdr:rowOff>161924</xdr:rowOff>
    </xdr:from>
    <xdr:to>
      <xdr:col>6</xdr:col>
      <xdr:colOff>676274</xdr:colOff>
      <xdr:row>504</xdr:row>
      <xdr:rowOff>113887</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838199" y="23164799"/>
          <a:ext cx="6581775" cy="189506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544"/>
  <sheetViews>
    <sheetView tabSelected="1" topLeftCell="A502" workbookViewId="0">
      <selection activeCell="E50" sqref="E50"/>
    </sheetView>
  </sheetViews>
  <sheetFormatPr defaultColWidth="9.140625" defaultRowHeight="12.75" customHeight="1" x14ac:dyDescent="0.2"/>
  <cols>
    <col min="1" max="1" width="3" style="188" bestFit="1" customWidth="1"/>
    <col min="2" max="2" width="7.28515625" style="188" customWidth="1"/>
    <col min="3" max="3" width="41" style="188" customWidth="1"/>
    <col min="4" max="4" width="23.28515625" style="188" customWidth="1"/>
    <col min="5" max="5" width="14.42578125" style="188" customWidth="1"/>
    <col min="6" max="6" width="12.140625" style="239" bestFit="1" customWidth="1"/>
    <col min="7" max="7" width="13.5703125" style="188" customWidth="1"/>
    <col min="8" max="8" width="4.28515625" style="239" customWidth="1"/>
    <col min="9" max="9" width="75.7109375" style="188" bestFit="1" customWidth="1"/>
    <col min="10" max="10" width="9.5703125" style="188" bestFit="1" customWidth="1"/>
    <col min="11" max="16384" width="9.140625" style="188"/>
  </cols>
  <sheetData>
    <row r="1" spans="1:9" ht="12.75" customHeight="1" x14ac:dyDescent="0.2">
      <c r="A1" s="189"/>
      <c r="B1" s="190" t="s">
        <v>486</v>
      </c>
      <c r="C1" s="217"/>
      <c r="I1" s="244"/>
    </row>
    <row r="2" spans="1:9" ht="12.75" customHeight="1" x14ac:dyDescent="0.2">
      <c r="B2" s="238" t="str">
        <f>'1461'!A3</f>
        <v>Based on the FLDOE 2023-24 FEFP Third Calculation</v>
      </c>
      <c r="C2" s="218"/>
      <c r="E2" s="230"/>
      <c r="F2" s="240"/>
      <c r="G2" s="230"/>
      <c r="I2" s="253"/>
    </row>
    <row r="3" spans="1:9" ht="12.75" customHeight="1" thickBot="1" x14ac:dyDescent="0.25">
      <c r="B3" s="191"/>
      <c r="C3" s="218"/>
      <c r="E3" s="230"/>
      <c r="F3" s="521"/>
      <c r="G3" s="521"/>
      <c r="I3" s="253"/>
    </row>
    <row r="4" spans="1:9" ht="12.75" customHeight="1" thickBot="1" x14ac:dyDescent="0.25">
      <c r="A4" s="192"/>
      <c r="B4" s="193" t="s">
        <v>157</v>
      </c>
      <c r="C4" s="221" t="s">
        <v>227</v>
      </c>
      <c r="D4" s="194" t="s">
        <v>158</v>
      </c>
      <c r="E4" s="234" t="s">
        <v>2</v>
      </c>
      <c r="F4" s="271" t="s">
        <v>251</v>
      </c>
      <c r="G4" s="234" t="s">
        <v>232</v>
      </c>
      <c r="I4" s="317" t="s">
        <v>278</v>
      </c>
    </row>
    <row r="5" spans="1:9" s="261" customFormat="1" ht="13.5" customHeight="1" x14ac:dyDescent="0.2">
      <c r="A5" s="199">
        <v>1</v>
      </c>
      <c r="B5" s="200" t="s">
        <v>159</v>
      </c>
      <c r="C5" s="220" t="s">
        <v>191</v>
      </c>
      <c r="D5" s="496" t="s">
        <v>487</v>
      </c>
      <c r="E5" s="201">
        <f>'1461'!I$145</f>
        <v>543213.47</v>
      </c>
      <c r="F5" s="328"/>
      <c r="G5" s="201">
        <f>SUBTOTAL(109,E5:F26)</f>
        <v>464923.08999999997</v>
      </c>
      <c r="H5" s="260"/>
      <c r="I5" s="336"/>
    </row>
    <row r="6" spans="1:9" s="261" customFormat="1" ht="12.75" hidden="1" customHeight="1" x14ac:dyDescent="0.2">
      <c r="A6" s="199"/>
      <c r="B6" s="200"/>
      <c r="C6" s="220"/>
      <c r="D6" s="233" t="s">
        <v>279</v>
      </c>
      <c r="E6" s="201"/>
      <c r="F6" s="328"/>
      <c r="G6" s="201"/>
      <c r="H6" s="260"/>
      <c r="I6" s="337"/>
    </row>
    <row r="7" spans="1:9" s="261" customFormat="1" ht="12.75" hidden="1" customHeight="1" x14ac:dyDescent="0.2">
      <c r="A7" s="199"/>
      <c r="B7" s="200"/>
      <c r="C7" s="220"/>
      <c r="D7" s="374" t="s">
        <v>470</v>
      </c>
      <c r="E7" s="201"/>
      <c r="F7" s="328"/>
      <c r="G7" s="201"/>
      <c r="H7" s="260"/>
      <c r="I7" s="337"/>
    </row>
    <row r="8" spans="1:9" s="261" customFormat="1" ht="12.75" hidden="1" customHeight="1" x14ac:dyDescent="0.2">
      <c r="A8" s="199"/>
      <c r="B8" s="200"/>
      <c r="C8" s="220"/>
      <c r="D8" s="233" t="s">
        <v>281</v>
      </c>
      <c r="E8" s="201"/>
      <c r="F8" s="328"/>
      <c r="G8" s="201"/>
      <c r="H8" s="260"/>
      <c r="I8" s="375"/>
    </row>
    <row r="9" spans="1:9" s="261" customFormat="1" ht="12.75" hidden="1" customHeight="1" x14ac:dyDescent="0.2">
      <c r="A9" s="199"/>
      <c r="B9" s="200"/>
      <c r="C9" s="220"/>
      <c r="D9" s="233" t="s">
        <v>280</v>
      </c>
      <c r="E9" s="201"/>
      <c r="F9" s="328"/>
      <c r="G9" s="201"/>
      <c r="H9" s="260"/>
      <c r="I9" s="375"/>
    </row>
    <row r="10" spans="1:9" s="261" customFormat="1" ht="12.75" hidden="1" customHeight="1" x14ac:dyDescent="0.2">
      <c r="A10" s="199"/>
      <c r="B10" s="200"/>
      <c r="C10" s="220"/>
      <c r="D10" s="233" t="s">
        <v>289</v>
      </c>
      <c r="E10" s="201"/>
      <c r="F10" s="328"/>
      <c r="G10" s="201"/>
      <c r="H10" s="260"/>
      <c r="I10" s="337"/>
    </row>
    <row r="11" spans="1:9" s="261" customFormat="1" ht="12.75" hidden="1" customHeight="1" x14ac:dyDescent="0.2">
      <c r="A11" s="199"/>
      <c r="B11" s="200"/>
      <c r="C11" s="220"/>
      <c r="D11" s="233" t="s">
        <v>258</v>
      </c>
      <c r="E11" s="201"/>
      <c r="F11" s="328"/>
      <c r="G11" s="201"/>
      <c r="H11" s="260"/>
      <c r="I11" s="340"/>
    </row>
    <row r="12" spans="1:9" s="261" customFormat="1" ht="12.75" customHeight="1" x14ac:dyDescent="0.2">
      <c r="A12" s="199"/>
      <c r="B12" s="200"/>
      <c r="C12" s="229"/>
      <c r="D12" s="281" t="s">
        <v>285</v>
      </c>
      <c r="E12" s="201"/>
      <c r="F12" s="328">
        <v>-69513.88</v>
      </c>
      <c r="G12" s="201"/>
      <c r="H12" s="260"/>
      <c r="I12" s="340"/>
    </row>
    <row r="13" spans="1:9" s="261" customFormat="1" ht="12.75" customHeight="1" x14ac:dyDescent="0.2">
      <c r="A13" s="199"/>
      <c r="B13" s="200"/>
      <c r="C13" s="229"/>
      <c r="D13" s="281" t="s">
        <v>230</v>
      </c>
      <c r="E13" s="201"/>
      <c r="F13" s="328">
        <v>-8454.5</v>
      </c>
      <c r="G13" s="201"/>
      <c r="H13" s="260"/>
      <c r="I13" s="338" t="s">
        <v>305</v>
      </c>
    </row>
    <row r="14" spans="1:9" s="261" customFormat="1" ht="12.75" customHeight="1" x14ac:dyDescent="0.2">
      <c r="A14" s="199"/>
      <c r="B14" s="200"/>
      <c r="C14" s="229"/>
      <c r="D14" s="281" t="s">
        <v>231</v>
      </c>
      <c r="E14" s="201"/>
      <c r="F14" s="328">
        <v>-137.52000000000001</v>
      </c>
      <c r="G14" s="201"/>
      <c r="H14" s="260"/>
      <c r="I14" s="338"/>
    </row>
    <row r="15" spans="1:9" s="261" customFormat="1" ht="12.75" customHeight="1" x14ac:dyDescent="0.2">
      <c r="A15" s="199"/>
      <c r="B15" s="200"/>
      <c r="C15" s="229"/>
      <c r="D15" s="315" t="s">
        <v>431</v>
      </c>
      <c r="E15" s="201"/>
      <c r="F15" s="328">
        <v>-94.48</v>
      </c>
      <c r="G15" s="201"/>
      <c r="H15" s="260"/>
      <c r="I15" s="338"/>
    </row>
    <row r="16" spans="1:9" s="261" customFormat="1" ht="12.75" customHeight="1" thickBot="1" x14ac:dyDescent="0.25">
      <c r="A16" s="199"/>
      <c r="B16" s="200"/>
      <c r="C16" s="229"/>
      <c r="D16" s="281" t="s">
        <v>312</v>
      </c>
      <c r="E16" s="201"/>
      <c r="F16" s="328">
        <v>-90</v>
      </c>
      <c r="G16" s="201"/>
      <c r="H16" s="260"/>
      <c r="I16" s="502"/>
    </row>
    <row r="17" spans="1:12" s="261" customFormat="1" ht="12.75" hidden="1" customHeight="1" x14ac:dyDescent="0.2">
      <c r="A17" s="199"/>
      <c r="B17" s="200"/>
      <c r="C17" s="376" t="s">
        <v>344</v>
      </c>
      <c r="D17" s="315" t="s">
        <v>331</v>
      </c>
      <c r="E17" s="201"/>
      <c r="F17" s="328"/>
      <c r="G17" s="201"/>
      <c r="H17" s="260"/>
      <c r="I17" s="339"/>
    </row>
    <row r="18" spans="1:12" s="261" customFormat="1" ht="12.75" hidden="1" customHeight="1" x14ac:dyDescent="0.2">
      <c r="A18" s="199"/>
      <c r="B18" s="200"/>
      <c r="C18" s="229"/>
      <c r="D18" s="315" t="s">
        <v>333</v>
      </c>
      <c r="E18" s="201"/>
      <c r="F18" s="328"/>
      <c r="G18" s="201"/>
      <c r="H18" s="260"/>
      <c r="I18" s="340"/>
    </row>
    <row r="19" spans="1:12" s="261" customFormat="1" ht="12.75" hidden="1" customHeight="1" x14ac:dyDescent="0.2">
      <c r="A19" s="199"/>
      <c r="B19" s="200"/>
      <c r="C19" s="229"/>
      <c r="D19" s="315"/>
      <c r="E19" s="201"/>
      <c r="F19" s="328"/>
      <c r="G19" s="201"/>
      <c r="H19" s="260"/>
      <c r="I19" s="340"/>
    </row>
    <row r="20" spans="1:12" s="261" customFormat="1" ht="12.75" hidden="1" customHeight="1" x14ac:dyDescent="0.2">
      <c r="A20" s="199"/>
      <c r="B20" s="200"/>
      <c r="C20" s="229"/>
      <c r="D20" s="315"/>
      <c r="E20" s="201"/>
      <c r="F20" s="328"/>
      <c r="G20" s="201"/>
      <c r="H20" s="260"/>
      <c r="I20" s="340"/>
    </row>
    <row r="21" spans="1:12" s="261" customFormat="1" ht="12.75" hidden="1" customHeight="1" x14ac:dyDescent="0.2">
      <c r="A21" s="199"/>
      <c r="B21" s="200"/>
      <c r="C21" s="229"/>
      <c r="D21" s="315" t="s">
        <v>341</v>
      </c>
      <c r="E21" s="201"/>
      <c r="F21" s="328"/>
      <c r="G21" s="201"/>
      <c r="H21" s="260"/>
      <c r="I21" s="336"/>
    </row>
    <row r="22" spans="1:12" s="261" customFormat="1" ht="12.75" hidden="1" customHeight="1" x14ac:dyDescent="0.2">
      <c r="A22" s="199"/>
      <c r="B22" s="200"/>
      <c r="C22" s="229"/>
      <c r="D22" s="315" t="s">
        <v>342</v>
      </c>
      <c r="E22" s="201"/>
      <c r="F22" s="328"/>
      <c r="G22" s="201"/>
      <c r="H22" s="260"/>
      <c r="I22" s="338"/>
    </row>
    <row r="23" spans="1:12" s="261" customFormat="1" ht="12.75" hidden="1" customHeight="1" thickBot="1" x14ac:dyDescent="0.25">
      <c r="A23" s="199"/>
      <c r="B23" s="200"/>
      <c r="C23" s="229"/>
      <c r="D23" s="315" t="s">
        <v>343</v>
      </c>
      <c r="E23" s="201"/>
      <c r="F23" s="328"/>
      <c r="G23" s="201"/>
      <c r="H23" s="260"/>
      <c r="I23" s="341"/>
    </row>
    <row r="24" spans="1:12" s="261" customFormat="1" ht="12.75" hidden="1" customHeight="1" x14ac:dyDescent="0.2">
      <c r="A24" s="199"/>
      <c r="B24" s="200"/>
      <c r="C24" s="229"/>
      <c r="D24" s="315" t="s">
        <v>346</v>
      </c>
      <c r="E24" s="201"/>
      <c r="F24" s="328"/>
      <c r="G24" s="201"/>
      <c r="H24" s="260"/>
      <c r="I24" s="378"/>
    </row>
    <row r="25" spans="1:12" s="261" customFormat="1" ht="12.75" hidden="1" customHeight="1" x14ac:dyDescent="0.2">
      <c r="A25" s="199"/>
      <c r="B25" s="200"/>
      <c r="C25" s="229"/>
      <c r="D25" s="315" t="s">
        <v>347</v>
      </c>
      <c r="E25" s="201"/>
      <c r="F25" s="328"/>
      <c r="G25" s="201"/>
      <c r="H25" s="260"/>
    </row>
    <row r="26" spans="1:12" s="261" customFormat="1" ht="12.75" hidden="1" customHeight="1" x14ac:dyDescent="0.2">
      <c r="A26" s="199"/>
      <c r="B26" s="200"/>
      <c r="C26" s="229"/>
      <c r="D26" s="315"/>
      <c r="E26" s="201"/>
      <c r="F26" s="328"/>
      <c r="G26" s="201"/>
      <c r="H26" s="260"/>
      <c r="I26" s="320"/>
    </row>
    <row r="27" spans="1:12" s="261" customFormat="1" ht="12.75" customHeight="1" x14ac:dyDescent="0.2">
      <c r="A27" s="195">
        <f>1+A5</f>
        <v>2</v>
      </c>
      <c r="B27" s="196" t="s">
        <v>160</v>
      </c>
      <c r="C27" s="219" t="s">
        <v>193</v>
      </c>
      <c r="D27" s="495" t="str">
        <f>$D$5</f>
        <v>FTE April  2024</v>
      </c>
      <c r="E27" s="198">
        <f>'1571'!I$145</f>
        <v>668343.61</v>
      </c>
      <c r="F27" s="329"/>
      <c r="G27" s="198">
        <f>SUBTOTAL(109,E27:F42)</f>
        <v>659548.99</v>
      </c>
      <c r="H27" s="260"/>
      <c r="I27" s="323"/>
    </row>
    <row r="28" spans="1:12" s="261" customFormat="1" ht="12.75" hidden="1" customHeight="1" x14ac:dyDescent="0.2">
      <c r="A28" s="195"/>
      <c r="B28" s="196"/>
      <c r="C28" s="365"/>
      <c r="D28" s="232" t="s">
        <v>279</v>
      </c>
      <c r="E28" s="198"/>
      <c r="F28" s="329"/>
      <c r="G28" s="198"/>
      <c r="H28" s="260"/>
      <c r="I28" s="323"/>
    </row>
    <row r="29" spans="1:12" s="261" customFormat="1" ht="12.75" hidden="1" customHeight="1" x14ac:dyDescent="0.2">
      <c r="A29" s="195"/>
      <c r="B29" s="196"/>
      <c r="C29" s="219"/>
      <c r="D29" s="342" t="s">
        <v>470</v>
      </c>
      <c r="E29" s="198"/>
      <c r="F29" s="329"/>
      <c r="G29" s="198"/>
      <c r="H29" s="260"/>
      <c r="I29" s="323"/>
    </row>
    <row r="30" spans="1:12" s="261" customFormat="1" ht="12.75" hidden="1" customHeight="1" x14ac:dyDescent="0.2">
      <c r="A30" s="195"/>
      <c r="B30" s="196"/>
      <c r="C30" s="241"/>
      <c r="D30" s="342" t="s">
        <v>336</v>
      </c>
      <c r="E30" s="198"/>
      <c r="F30" s="329"/>
      <c r="G30" s="198"/>
      <c r="H30" s="260"/>
      <c r="I30" s="323"/>
    </row>
    <row r="31" spans="1:12" s="261" customFormat="1" ht="12.75" hidden="1" customHeight="1" x14ac:dyDescent="0.2">
      <c r="A31" s="195"/>
      <c r="B31" s="196"/>
      <c r="C31" s="219"/>
      <c r="D31" s="232" t="s">
        <v>281</v>
      </c>
      <c r="E31" s="198"/>
      <c r="F31" s="329"/>
      <c r="G31" s="198"/>
      <c r="H31" s="260"/>
      <c r="I31" s="323"/>
      <c r="L31" s="319">
        <v>44630</v>
      </c>
    </row>
    <row r="32" spans="1:12" s="261" customFormat="1" ht="12.75" hidden="1" customHeight="1" x14ac:dyDescent="0.2">
      <c r="A32" s="195"/>
      <c r="B32" s="196"/>
      <c r="C32" s="219"/>
      <c r="D32" s="232" t="s">
        <v>280</v>
      </c>
      <c r="E32" s="198"/>
      <c r="F32" s="329"/>
      <c r="G32" s="198"/>
      <c r="H32" s="260"/>
      <c r="I32" s="323"/>
      <c r="L32" s="319">
        <f>L31-60</f>
        <v>44570</v>
      </c>
    </row>
    <row r="33" spans="1:13" s="261" customFormat="1" ht="12.75" hidden="1" customHeight="1" x14ac:dyDescent="0.2">
      <c r="A33" s="195"/>
      <c r="B33" s="196"/>
      <c r="C33" s="219"/>
      <c r="D33" s="232" t="s">
        <v>289</v>
      </c>
      <c r="E33" s="198"/>
      <c r="F33" s="329"/>
      <c r="G33" s="198"/>
      <c r="H33" s="260"/>
      <c r="I33" s="323"/>
    </row>
    <row r="34" spans="1:13" s="261" customFormat="1" ht="12.75" hidden="1" customHeight="1" x14ac:dyDescent="0.2">
      <c r="A34" s="195"/>
      <c r="B34" s="196"/>
      <c r="C34" s="219"/>
      <c r="D34" s="232" t="s">
        <v>258</v>
      </c>
      <c r="E34" s="198"/>
      <c r="F34" s="329"/>
      <c r="G34" s="198"/>
      <c r="H34" s="260"/>
      <c r="I34" s="323"/>
    </row>
    <row r="35" spans="1:13" s="261" customFormat="1" ht="12.75" customHeight="1" x14ac:dyDescent="0.2">
      <c r="A35" s="195"/>
      <c r="B35" s="196"/>
      <c r="C35" s="231"/>
      <c r="D35" s="278" t="s">
        <v>230</v>
      </c>
      <c r="E35" s="198"/>
      <c r="F35" s="329">
        <v>-8454.5</v>
      </c>
      <c r="G35" s="198"/>
      <c r="H35" s="260"/>
      <c r="I35" s="323"/>
    </row>
    <row r="36" spans="1:13" s="261" customFormat="1" ht="12.75" customHeight="1" x14ac:dyDescent="0.2">
      <c r="A36" s="195"/>
      <c r="B36" s="196"/>
      <c r="C36" s="231"/>
      <c r="D36" s="278" t="s">
        <v>231</v>
      </c>
      <c r="E36" s="198"/>
      <c r="F36" s="329">
        <v>-155.63999999999999</v>
      </c>
      <c r="G36" s="198"/>
      <c r="H36" s="260"/>
      <c r="I36" s="320"/>
    </row>
    <row r="37" spans="1:13" s="261" customFormat="1" ht="12.75" customHeight="1" x14ac:dyDescent="0.2">
      <c r="A37" s="195"/>
      <c r="B37" s="196"/>
      <c r="C37" s="231"/>
      <c r="D37" s="278" t="s">
        <v>431</v>
      </c>
      <c r="E37" s="198"/>
      <c r="F37" s="329">
        <v>-94.48</v>
      </c>
      <c r="G37" s="198"/>
      <c r="H37" s="260"/>
      <c r="I37" s="320"/>
    </row>
    <row r="38" spans="1:13" s="261" customFormat="1" ht="12.75" customHeight="1" x14ac:dyDescent="0.2">
      <c r="A38" s="195"/>
      <c r="B38" s="196"/>
      <c r="C38" s="231"/>
      <c r="D38" s="278" t="s">
        <v>312</v>
      </c>
      <c r="E38" s="198"/>
      <c r="F38" s="329">
        <v>-90</v>
      </c>
      <c r="G38" s="198"/>
      <c r="H38" s="260"/>
      <c r="I38" s="320"/>
    </row>
    <row r="39" spans="1:13" s="261" customFormat="1" ht="12.75" hidden="1" customHeight="1" x14ac:dyDescent="0.2">
      <c r="A39" s="195"/>
      <c r="B39" s="196"/>
      <c r="C39" s="377" t="s">
        <v>345</v>
      </c>
      <c r="D39" s="278" t="s">
        <v>331</v>
      </c>
      <c r="E39" s="198"/>
      <c r="F39" s="329">
        <v>0</v>
      </c>
      <c r="G39" s="198"/>
      <c r="H39" s="298"/>
      <c r="I39" s="320"/>
    </row>
    <row r="40" spans="1:13" s="261" customFormat="1" ht="12.75" hidden="1" customHeight="1" x14ac:dyDescent="0.2">
      <c r="A40" s="195"/>
      <c r="B40" s="196"/>
      <c r="C40" s="231"/>
      <c r="D40" s="343" t="s">
        <v>333</v>
      </c>
      <c r="E40" s="198"/>
      <c r="F40" s="329"/>
      <c r="G40" s="198"/>
      <c r="H40" s="260"/>
      <c r="I40" s="320"/>
    </row>
    <row r="41" spans="1:13" s="261" customFormat="1" ht="12.75" hidden="1" customHeight="1" x14ac:dyDescent="0.2">
      <c r="A41" s="195"/>
      <c r="B41" s="196"/>
      <c r="C41" s="231"/>
      <c r="D41" s="278" t="s">
        <v>319</v>
      </c>
      <c r="E41" s="198"/>
      <c r="F41" s="329">
        <v>0</v>
      </c>
      <c r="G41" s="198"/>
      <c r="H41" s="260"/>
      <c r="I41" s="320"/>
    </row>
    <row r="42" spans="1:13" s="261" customFormat="1" ht="12.75" hidden="1" customHeight="1" x14ac:dyDescent="0.2">
      <c r="A42" s="195"/>
      <c r="B42" s="196"/>
      <c r="C42" s="231"/>
      <c r="D42" s="438" t="s">
        <v>469</v>
      </c>
      <c r="E42" s="198"/>
      <c r="F42" s="329"/>
      <c r="G42" s="198"/>
      <c r="H42" s="260"/>
      <c r="I42" s="320"/>
    </row>
    <row r="43" spans="1:13" s="261" customFormat="1" ht="12.75" customHeight="1" x14ac:dyDescent="0.2">
      <c r="A43" s="199">
        <f>1+A27</f>
        <v>3</v>
      </c>
      <c r="B43" s="200" t="s">
        <v>161</v>
      </c>
      <c r="C43" s="220" t="s">
        <v>194</v>
      </c>
      <c r="D43" s="279" t="str">
        <f>$D$5</f>
        <v>FTE April  2024</v>
      </c>
      <c r="E43" s="201">
        <f>'2521'!I$145</f>
        <v>85766.91</v>
      </c>
      <c r="F43" s="328"/>
      <c r="G43" s="201">
        <f>SUBTOTAL(109,E43:F49)</f>
        <v>85766.91</v>
      </c>
      <c r="H43" s="260"/>
      <c r="I43" s="320"/>
    </row>
    <row r="44" spans="1:13" s="261" customFormat="1" ht="12.75" hidden="1" customHeight="1" x14ac:dyDescent="0.2">
      <c r="A44" s="199"/>
      <c r="B44" s="200"/>
      <c r="C44" s="220"/>
      <c r="D44" s="233" t="s">
        <v>279</v>
      </c>
      <c r="E44" s="201"/>
      <c r="F44" s="328"/>
      <c r="G44" s="201"/>
      <c r="H44" s="260"/>
      <c r="I44" s="320"/>
    </row>
    <row r="45" spans="1:13" s="261" customFormat="1" ht="12.75" hidden="1" customHeight="1" x14ac:dyDescent="0.2">
      <c r="A45" s="199"/>
      <c r="B45" s="200"/>
      <c r="C45" s="220"/>
      <c r="D45" s="233" t="s">
        <v>281</v>
      </c>
      <c r="E45" s="201"/>
      <c r="F45" s="328"/>
      <c r="G45" s="201"/>
      <c r="H45" s="260"/>
      <c r="I45" s="320"/>
    </row>
    <row r="46" spans="1:13" s="261" customFormat="1" ht="12.75" hidden="1" customHeight="1" x14ac:dyDescent="0.2">
      <c r="A46" s="199"/>
      <c r="B46" s="200"/>
      <c r="C46" s="220"/>
      <c r="D46" s="233" t="s">
        <v>280</v>
      </c>
      <c r="E46" s="201"/>
      <c r="F46" s="328"/>
      <c r="G46" s="201"/>
      <c r="H46" s="260"/>
      <c r="I46" s="320"/>
    </row>
    <row r="47" spans="1:13" s="261" customFormat="1" ht="12.75" hidden="1" customHeight="1" x14ac:dyDescent="0.2">
      <c r="A47" s="199"/>
      <c r="B47" s="200"/>
      <c r="C47" s="220"/>
      <c r="D47" s="233" t="s">
        <v>289</v>
      </c>
      <c r="E47" s="201"/>
      <c r="F47" s="328"/>
      <c r="G47" s="201"/>
      <c r="H47" s="260"/>
      <c r="I47" s="320"/>
      <c r="M47" s="319"/>
    </row>
    <row r="48" spans="1:13" ht="12.75" hidden="1" customHeight="1" x14ac:dyDescent="0.2">
      <c r="A48" s="199"/>
      <c r="B48" s="200"/>
      <c r="C48" s="220"/>
      <c r="D48" s="233" t="s">
        <v>258</v>
      </c>
      <c r="E48" s="201"/>
      <c r="F48" s="328"/>
      <c r="G48" s="201"/>
      <c r="I48" s="320"/>
      <c r="M48" s="297"/>
    </row>
    <row r="49" spans="1:12" ht="12.75" hidden="1" customHeight="1" x14ac:dyDescent="0.2">
      <c r="A49" s="199"/>
      <c r="B49" s="200"/>
      <c r="C49" s="220"/>
      <c r="D49" s="315" t="s">
        <v>319</v>
      </c>
      <c r="E49" s="201"/>
      <c r="F49" s="328"/>
      <c r="G49" s="201"/>
      <c r="I49" s="320"/>
      <c r="L49" s="297"/>
    </row>
    <row r="50" spans="1:12" s="261" customFormat="1" ht="12.75" customHeight="1" x14ac:dyDescent="0.2">
      <c r="A50" s="195">
        <f>1+A43</f>
        <v>4</v>
      </c>
      <c r="B50" s="196">
        <v>2531</v>
      </c>
      <c r="C50" s="219" t="s">
        <v>195</v>
      </c>
      <c r="D50" s="495" t="str">
        <f>$D$5</f>
        <v>FTE April  2024</v>
      </c>
      <c r="E50" s="198">
        <f>'2531'!I$145</f>
        <v>68506.22</v>
      </c>
      <c r="F50" s="329"/>
      <c r="G50" s="198">
        <f>SUBTOTAL(109,E50:F61)</f>
        <v>68506.22</v>
      </c>
      <c r="H50" s="298"/>
      <c r="I50" s="320"/>
    </row>
    <row r="51" spans="1:12" ht="12.75" hidden="1" customHeight="1" x14ac:dyDescent="0.2">
      <c r="A51" s="195"/>
      <c r="B51" s="196"/>
      <c r="C51" s="219"/>
      <c r="D51" s="232" t="s">
        <v>279</v>
      </c>
      <c r="E51" s="198"/>
      <c r="F51" s="329"/>
      <c r="G51" s="198"/>
      <c r="I51" s="320"/>
    </row>
    <row r="52" spans="1:12" ht="12.75" hidden="1" customHeight="1" x14ac:dyDescent="0.2">
      <c r="A52" s="195"/>
      <c r="B52" s="196"/>
      <c r="C52" s="219"/>
      <c r="D52" s="342" t="s">
        <v>470</v>
      </c>
      <c r="E52" s="198"/>
      <c r="F52" s="329"/>
      <c r="G52" s="198"/>
      <c r="I52" s="320"/>
    </row>
    <row r="53" spans="1:12" s="261" customFormat="1" ht="12.75" hidden="1" customHeight="1" x14ac:dyDescent="0.2">
      <c r="A53" s="195"/>
      <c r="B53" s="196"/>
      <c r="C53" s="219"/>
      <c r="D53" s="232" t="s">
        <v>338</v>
      </c>
      <c r="E53" s="198"/>
      <c r="F53" s="329"/>
      <c r="G53" s="198"/>
      <c r="H53" s="260"/>
      <c r="I53" s="308"/>
    </row>
    <row r="54" spans="1:12" s="261" customFormat="1" ht="12.75" hidden="1" customHeight="1" x14ac:dyDescent="0.2">
      <c r="A54" s="195"/>
      <c r="B54" s="196"/>
      <c r="C54" s="219"/>
      <c r="D54" s="342" t="s">
        <v>336</v>
      </c>
      <c r="E54" s="198"/>
      <c r="F54" s="329"/>
      <c r="G54" s="198"/>
      <c r="H54" s="260"/>
      <c r="I54" s="196"/>
    </row>
    <row r="55" spans="1:12" s="261" customFormat="1" ht="12.75" hidden="1" customHeight="1" x14ac:dyDescent="0.2">
      <c r="A55" s="195"/>
      <c r="B55" s="196"/>
      <c r="C55" s="219"/>
      <c r="D55" s="232" t="s">
        <v>281</v>
      </c>
      <c r="E55" s="198"/>
      <c r="F55" s="329"/>
      <c r="G55" s="198"/>
      <c r="H55" s="260"/>
      <c r="I55" s="196"/>
    </row>
    <row r="56" spans="1:12" s="261" customFormat="1" ht="12.75" hidden="1" customHeight="1" x14ac:dyDescent="0.2">
      <c r="A56" s="195"/>
      <c r="B56" s="196"/>
      <c r="C56" s="219"/>
      <c r="D56" s="232" t="s">
        <v>280</v>
      </c>
      <c r="E56" s="198"/>
      <c r="F56" s="329"/>
      <c r="G56" s="198"/>
      <c r="H56" s="260"/>
      <c r="I56" s="196"/>
    </row>
    <row r="57" spans="1:12" s="261" customFormat="1" ht="12.75" hidden="1" customHeight="1" x14ac:dyDescent="0.2">
      <c r="A57" s="195"/>
      <c r="B57" s="196"/>
      <c r="C57" s="219"/>
      <c r="D57" s="232" t="s">
        <v>289</v>
      </c>
      <c r="E57" s="198"/>
      <c r="F57" s="329"/>
      <c r="G57" s="198"/>
      <c r="H57" s="298"/>
      <c r="I57" s="308"/>
    </row>
    <row r="58" spans="1:12" s="261" customFormat="1" ht="12.75" hidden="1" customHeight="1" x14ac:dyDescent="0.2">
      <c r="A58" s="195"/>
      <c r="B58" s="196"/>
      <c r="C58" s="219"/>
      <c r="D58" s="232" t="s">
        <v>258</v>
      </c>
      <c r="E58" s="198"/>
      <c r="F58" s="329"/>
      <c r="G58" s="198"/>
      <c r="H58" s="260"/>
      <c r="I58" s="308"/>
    </row>
    <row r="59" spans="1:12" s="261" customFormat="1" ht="12.75" hidden="1" customHeight="1" x14ac:dyDescent="0.2">
      <c r="A59" s="195"/>
      <c r="B59" s="196"/>
      <c r="C59" s="219"/>
      <c r="D59" s="232" t="s">
        <v>318</v>
      </c>
      <c r="E59" s="198"/>
      <c r="F59" s="329"/>
      <c r="G59" s="198"/>
      <c r="H59" s="260"/>
      <c r="I59" s="308"/>
    </row>
    <row r="60" spans="1:12" s="261" customFormat="1" ht="12.75" hidden="1" customHeight="1" x14ac:dyDescent="0.2">
      <c r="A60" s="195"/>
      <c r="B60" s="196"/>
      <c r="C60" s="231"/>
      <c r="D60" s="343" t="s">
        <v>333</v>
      </c>
      <c r="E60" s="198"/>
      <c r="F60" s="329"/>
      <c r="G60" s="198"/>
      <c r="H60" s="260"/>
      <c r="I60" s="320"/>
    </row>
    <row r="61" spans="1:12" s="261" customFormat="1" ht="12.75" hidden="1" customHeight="1" x14ac:dyDescent="0.2">
      <c r="A61" s="195"/>
      <c r="B61" s="196"/>
      <c r="C61" s="219"/>
      <c r="D61" s="278" t="s">
        <v>319</v>
      </c>
      <c r="E61" s="198"/>
      <c r="F61" s="329"/>
      <c r="G61" s="198"/>
      <c r="H61" s="260"/>
      <c r="I61" s="231"/>
    </row>
    <row r="62" spans="1:12" s="261" customFormat="1" ht="12.75" customHeight="1" x14ac:dyDescent="0.2">
      <c r="A62" s="199">
        <f>1+A50</f>
        <v>5</v>
      </c>
      <c r="B62" s="200" t="s">
        <v>163</v>
      </c>
      <c r="C62" s="263" t="s">
        <v>256</v>
      </c>
      <c r="D62" s="279" t="str">
        <f>$D$5</f>
        <v>FTE April  2024</v>
      </c>
      <c r="E62" s="201">
        <f>'2791'!I$145</f>
        <v>384675.28</v>
      </c>
      <c r="F62" s="328"/>
      <c r="G62" s="201">
        <f>SUBTOTAL(109,E62:F69)</f>
        <v>384675.28</v>
      </c>
      <c r="H62" s="298"/>
      <c r="I62" s="323"/>
    </row>
    <row r="63" spans="1:12" s="261" customFormat="1" ht="12.75" hidden="1" customHeight="1" x14ac:dyDescent="0.2">
      <c r="A63" s="199"/>
      <c r="B63" s="200"/>
      <c r="C63" s="220"/>
      <c r="D63" s="233" t="s">
        <v>279</v>
      </c>
      <c r="E63" s="201"/>
      <c r="F63" s="328"/>
      <c r="G63" s="201"/>
      <c r="H63" s="260"/>
      <c r="I63" s="231"/>
    </row>
    <row r="64" spans="1:12" s="261" customFormat="1" ht="12.75" hidden="1" customHeight="1" x14ac:dyDescent="0.2">
      <c r="A64" s="199"/>
      <c r="B64" s="200"/>
      <c r="C64" s="220"/>
      <c r="D64" s="374" t="s">
        <v>470</v>
      </c>
      <c r="E64" s="201"/>
      <c r="F64" s="328"/>
      <c r="G64" s="201"/>
      <c r="H64" s="260"/>
      <c r="I64" s="231"/>
    </row>
    <row r="65" spans="1:9" s="261" customFormat="1" ht="12.75" hidden="1" customHeight="1" x14ac:dyDescent="0.2">
      <c r="A65" s="199"/>
      <c r="B65" s="200"/>
      <c r="C65" s="220"/>
      <c r="D65" s="233" t="s">
        <v>281</v>
      </c>
      <c r="E65" s="201"/>
      <c r="F65" s="328"/>
      <c r="G65" s="201"/>
      <c r="H65" s="260"/>
      <c r="I65" s="231"/>
    </row>
    <row r="66" spans="1:9" s="261" customFormat="1" ht="12.75" hidden="1" customHeight="1" x14ac:dyDescent="0.2">
      <c r="A66" s="199"/>
      <c r="B66" s="200"/>
      <c r="C66" s="220"/>
      <c r="D66" s="233" t="s">
        <v>280</v>
      </c>
      <c r="E66" s="201"/>
      <c r="F66" s="328"/>
      <c r="G66" s="201"/>
      <c r="H66" s="260"/>
      <c r="I66" s="231"/>
    </row>
    <row r="67" spans="1:9" s="261" customFormat="1" ht="12.75" hidden="1" customHeight="1" x14ac:dyDescent="0.2">
      <c r="A67" s="199"/>
      <c r="B67" s="200"/>
      <c r="C67" s="220"/>
      <c r="D67" s="233" t="s">
        <v>289</v>
      </c>
      <c r="E67" s="201"/>
      <c r="F67" s="328"/>
      <c r="G67" s="201"/>
      <c r="H67" s="260"/>
      <c r="I67" s="320"/>
    </row>
    <row r="68" spans="1:9" s="261" customFormat="1" ht="12.75" hidden="1" customHeight="1" x14ac:dyDescent="0.2">
      <c r="A68" s="199"/>
      <c r="B68" s="200"/>
      <c r="C68" s="220"/>
      <c r="D68" s="233" t="s">
        <v>258</v>
      </c>
      <c r="E68" s="201"/>
      <c r="F68" s="328"/>
      <c r="G68" s="201"/>
      <c r="H68" s="260"/>
      <c r="I68" s="320"/>
    </row>
    <row r="69" spans="1:9" s="261" customFormat="1" ht="12.75" hidden="1" customHeight="1" x14ac:dyDescent="0.2">
      <c r="A69" s="199"/>
      <c r="B69" s="200"/>
      <c r="C69" s="220"/>
      <c r="D69" s="315" t="s">
        <v>319</v>
      </c>
      <c r="E69" s="201"/>
      <c r="F69" s="328"/>
      <c r="G69" s="201"/>
      <c r="H69" s="260"/>
      <c r="I69" s="320"/>
    </row>
    <row r="70" spans="1:9" s="261" customFormat="1" ht="12.75" customHeight="1" x14ac:dyDescent="0.2">
      <c r="A70" s="195">
        <f>A62+1</f>
        <v>6</v>
      </c>
      <c r="B70" s="196" t="s">
        <v>164</v>
      </c>
      <c r="C70" s="262" t="s">
        <v>354</v>
      </c>
      <c r="D70" s="495" t="str">
        <f>$D$5</f>
        <v>FTE April  2024</v>
      </c>
      <c r="E70" s="198">
        <f>'2801'!I$145</f>
        <v>422717.57</v>
      </c>
      <c r="F70" s="329"/>
      <c r="G70" s="198">
        <f>SUBTOTAL(109,E70:F79)</f>
        <v>422717.57</v>
      </c>
      <c r="H70" s="298"/>
      <c r="I70" s="323"/>
    </row>
    <row r="71" spans="1:9" s="261" customFormat="1" ht="12.75" hidden="1" customHeight="1" x14ac:dyDescent="0.2">
      <c r="A71" s="195"/>
      <c r="B71" s="196"/>
      <c r="C71" s="219"/>
      <c r="D71" s="232" t="s">
        <v>279</v>
      </c>
      <c r="E71" s="198"/>
      <c r="F71" s="329"/>
      <c r="G71" s="198"/>
      <c r="H71" s="260"/>
      <c r="I71" s="320"/>
    </row>
    <row r="72" spans="1:9" s="261" customFormat="1" ht="12.75" hidden="1" customHeight="1" x14ac:dyDescent="0.2">
      <c r="A72" s="195"/>
      <c r="B72" s="196"/>
      <c r="C72" s="219"/>
      <c r="D72" s="342" t="s">
        <v>470</v>
      </c>
      <c r="E72" s="198"/>
      <c r="F72" s="329"/>
      <c r="G72" s="198"/>
      <c r="H72" s="298"/>
      <c r="I72" s="308"/>
    </row>
    <row r="73" spans="1:9" s="261" customFormat="1" ht="12.75" hidden="1" customHeight="1" x14ac:dyDescent="0.2">
      <c r="A73" s="195"/>
      <c r="B73" s="196"/>
      <c r="C73" s="219"/>
      <c r="D73" s="232" t="s">
        <v>281</v>
      </c>
      <c r="E73" s="198"/>
      <c r="F73" s="329"/>
      <c r="G73" s="198"/>
      <c r="H73" s="298"/>
      <c r="I73" s="196"/>
    </row>
    <row r="74" spans="1:9" s="261" customFormat="1" ht="12.75" hidden="1" customHeight="1" x14ac:dyDescent="0.2">
      <c r="A74" s="195"/>
      <c r="B74" s="196"/>
      <c r="C74" s="219"/>
      <c r="D74" s="232" t="s">
        <v>328</v>
      </c>
      <c r="E74" s="198"/>
      <c r="F74" s="329"/>
      <c r="G74" s="198"/>
      <c r="H74" s="260"/>
      <c r="I74" s="231"/>
    </row>
    <row r="75" spans="1:9" s="261" customFormat="1" ht="12.75" hidden="1" customHeight="1" x14ac:dyDescent="0.2">
      <c r="A75" s="195"/>
      <c r="B75" s="196"/>
      <c r="C75" s="219"/>
      <c r="D75" s="232" t="s">
        <v>289</v>
      </c>
      <c r="E75" s="198"/>
      <c r="F75" s="329"/>
      <c r="G75" s="198"/>
      <c r="H75" s="298"/>
      <c r="I75" s="196"/>
    </row>
    <row r="76" spans="1:9" s="261" customFormat="1" ht="12.75" hidden="1" customHeight="1" x14ac:dyDescent="0.2">
      <c r="A76" s="195"/>
      <c r="B76" s="196"/>
      <c r="C76" s="219"/>
      <c r="D76" s="232" t="s">
        <v>258</v>
      </c>
      <c r="E76" s="198"/>
      <c r="F76" s="329"/>
      <c r="G76" s="198"/>
      <c r="H76" s="298"/>
      <c r="I76" s="196"/>
    </row>
    <row r="77" spans="1:9" s="261" customFormat="1" ht="12.75" hidden="1" customHeight="1" x14ac:dyDescent="0.2">
      <c r="A77" s="195"/>
      <c r="B77" s="196"/>
      <c r="C77" s="219"/>
      <c r="D77" s="232" t="s">
        <v>290</v>
      </c>
      <c r="E77" s="198"/>
      <c r="F77" s="329"/>
      <c r="G77" s="198"/>
      <c r="H77" s="298"/>
      <c r="I77" s="308"/>
    </row>
    <row r="78" spans="1:9" s="261" customFormat="1" ht="12.75" hidden="1" customHeight="1" x14ac:dyDescent="0.2">
      <c r="A78" s="195"/>
      <c r="B78" s="196"/>
      <c r="C78" s="219"/>
      <c r="D78" s="232" t="s">
        <v>318</v>
      </c>
      <c r="E78" s="198"/>
      <c r="F78" s="329"/>
      <c r="G78" s="198"/>
      <c r="H78" s="260"/>
      <c r="I78" s="308"/>
    </row>
    <row r="79" spans="1:9" s="261" customFormat="1" ht="12.75" hidden="1" customHeight="1" x14ac:dyDescent="0.2">
      <c r="A79" s="195"/>
      <c r="B79" s="196"/>
      <c r="C79" s="219"/>
      <c r="D79" s="278" t="s">
        <v>352</v>
      </c>
      <c r="E79" s="198"/>
      <c r="F79" s="329"/>
      <c r="G79" s="198"/>
      <c r="H79" s="260"/>
      <c r="I79" s="308"/>
    </row>
    <row r="80" spans="1:9" s="261" customFormat="1" ht="12.75" customHeight="1" x14ac:dyDescent="0.2">
      <c r="A80" s="199">
        <f>A70+1</f>
        <v>7</v>
      </c>
      <c r="B80" s="200" t="s">
        <v>165</v>
      </c>
      <c r="C80" s="220" t="s">
        <v>197</v>
      </c>
      <c r="D80" s="279" t="str">
        <f>$D$5</f>
        <v>FTE April  2024</v>
      </c>
      <c r="E80" s="201">
        <f>'2911'!I$145</f>
        <v>495829.93</v>
      </c>
      <c r="F80" s="328"/>
      <c r="G80" s="201">
        <f>SUBTOTAL(109,E80:F89)</f>
        <v>495829.93</v>
      </c>
      <c r="H80" s="298"/>
      <c r="I80" s="196"/>
    </row>
    <row r="81" spans="1:9" s="261" customFormat="1" ht="12.75" hidden="1" customHeight="1" x14ac:dyDescent="0.2">
      <c r="A81" s="199"/>
      <c r="B81" s="200"/>
      <c r="C81" s="220"/>
      <c r="D81" s="233" t="s">
        <v>279</v>
      </c>
      <c r="E81" s="201"/>
      <c r="F81" s="328"/>
      <c r="G81" s="201"/>
      <c r="H81" s="298"/>
      <c r="I81" s="196"/>
    </row>
    <row r="82" spans="1:9" s="261" customFormat="1" ht="12.75" hidden="1" customHeight="1" x14ac:dyDescent="0.2">
      <c r="A82" s="199"/>
      <c r="B82" s="200"/>
      <c r="C82" s="220"/>
      <c r="D82" s="374" t="s">
        <v>336</v>
      </c>
      <c r="E82" s="201"/>
      <c r="F82" s="328"/>
      <c r="G82" s="201"/>
      <c r="H82" s="260"/>
      <c r="I82" s="231"/>
    </row>
    <row r="83" spans="1:9" s="261" customFormat="1" ht="12.75" hidden="1" customHeight="1" x14ac:dyDescent="0.2">
      <c r="A83" s="199"/>
      <c r="B83" s="200"/>
      <c r="C83" s="220"/>
      <c r="D83" s="233" t="s">
        <v>281</v>
      </c>
      <c r="E83" s="201"/>
      <c r="F83" s="328"/>
      <c r="G83" s="201"/>
      <c r="H83" s="298"/>
      <c r="I83" s="196"/>
    </row>
    <row r="84" spans="1:9" s="261" customFormat="1" ht="12.75" hidden="1" customHeight="1" x14ac:dyDescent="0.2">
      <c r="A84" s="199"/>
      <c r="B84" s="200"/>
      <c r="C84" s="220"/>
      <c r="D84" s="233" t="s">
        <v>280</v>
      </c>
      <c r="E84" s="201"/>
      <c r="F84" s="328"/>
      <c r="G84" s="201"/>
      <c r="H84" s="298"/>
      <c r="I84" s="196"/>
    </row>
    <row r="85" spans="1:9" s="261" customFormat="1" ht="12.75" hidden="1" customHeight="1" x14ac:dyDescent="0.2">
      <c r="A85" s="199"/>
      <c r="B85" s="200"/>
      <c r="C85" s="220"/>
      <c r="D85" s="233" t="s">
        <v>289</v>
      </c>
      <c r="E85" s="201"/>
      <c r="F85" s="328"/>
      <c r="G85" s="201"/>
      <c r="H85" s="298"/>
      <c r="I85" s="196"/>
    </row>
    <row r="86" spans="1:9" s="261" customFormat="1" ht="12.75" hidden="1" customHeight="1" x14ac:dyDescent="0.2">
      <c r="A86" s="199"/>
      <c r="B86" s="200"/>
      <c r="C86" s="220"/>
      <c r="D86" s="233" t="s">
        <v>258</v>
      </c>
      <c r="E86" s="201"/>
      <c r="F86" s="328"/>
      <c r="G86" s="201"/>
      <c r="H86" s="260"/>
      <c r="I86" s="318"/>
    </row>
    <row r="87" spans="1:9" s="261" customFormat="1" ht="12.75" hidden="1" customHeight="1" x14ac:dyDescent="0.2">
      <c r="A87" s="199"/>
      <c r="B87" s="200"/>
      <c r="C87" s="220"/>
      <c r="D87" s="233" t="s">
        <v>290</v>
      </c>
      <c r="E87" s="201"/>
      <c r="F87" s="328"/>
      <c r="G87" s="201"/>
      <c r="H87" s="298"/>
    </row>
    <row r="88" spans="1:9" s="261" customFormat="1" ht="12.75" hidden="1" customHeight="1" x14ac:dyDescent="0.2">
      <c r="A88" s="199"/>
      <c r="B88" s="200"/>
      <c r="C88" s="229"/>
      <c r="D88" s="315" t="s">
        <v>319</v>
      </c>
      <c r="E88" s="201"/>
      <c r="F88" s="328"/>
      <c r="G88" s="201"/>
      <c r="H88" s="298"/>
      <c r="I88" s="196"/>
    </row>
    <row r="89" spans="1:9" s="261" customFormat="1" ht="12.75" hidden="1" customHeight="1" x14ac:dyDescent="0.2">
      <c r="A89" s="199"/>
      <c r="B89" s="200"/>
      <c r="C89" s="229"/>
      <c r="D89" s="315" t="s">
        <v>361</v>
      </c>
      <c r="E89" s="201"/>
      <c r="F89" s="328"/>
      <c r="G89" s="201"/>
      <c r="H89" s="298"/>
      <c r="I89" s="308"/>
    </row>
    <row r="90" spans="1:9" s="261" customFormat="1" ht="12.75" customHeight="1" x14ac:dyDescent="0.2">
      <c r="A90" s="195">
        <f>A80+1</f>
        <v>8</v>
      </c>
      <c r="B90" s="196" t="s">
        <v>166</v>
      </c>
      <c r="C90" s="219" t="s">
        <v>198</v>
      </c>
      <c r="D90" s="495" t="str">
        <f>$D$5</f>
        <v>FTE April  2024</v>
      </c>
      <c r="E90" s="198">
        <f>'2941'!I$145</f>
        <v>772221.93</v>
      </c>
      <c r="F90" s="329"/>
      <c r="G90" s="198">
        <f>SUBTOTAL(109,E90:F98)</f>
        <v>772221.93</v>
      </c>
      <c r="H90" s="298"/>
      <c r="I90" s="196"/>
    </row>
    <row r="91" spans="1:9" s="261" customFormat="1" ht="12.75" hidden="1" customHeight="1" x14ac:dyDescent="0.2">
      <c r="A91" s="195"/>
      <c r="B91" s="196"/>
      <c r="C91" s="219"/>
      <c r="D91" s="232" t="s">
        <v>279</v>
      </c>
      <c r="E91" s="198"/>
      <c r="F91" s="329"/>
      <c r="G91" s="198"/>
      <c r="H91" s="298"/>
      <c r="I91" s="196"/>
    </row>
    <row r="92" spans="1:9" s="261" customFormat="1" ht="12.75" hidden="1" customHeight="1" x14ac:dyDescent="0.2">
      <c r="A92" s="195"/>
      <c r="B92" s="196"/>
      <c r="C92" s="219"/>
      <c r="D92" s="342" t="s">
        <v>470</v>
      </c>
      <c r="E92" s="198"/>
      <c r="F92" s="329"/>
      <c r="G92" s="198"/>
      <c r="H92" s="260"/>
      <c r="I92" s="231"/>
    </row>
    <row r="93" spans="1:9" s="261" customFormat="1" ht="12.75" hidden="1" customHeight="1" x14ac:dyDescent="0.2">
      <c r="A93" s="195"/>
      <c r="B93" s="196"/>
      <c r="C93" s="219"/>
      <c r="D93" s="232" t="s">
        <v>281</v>
      </c>
      <c r="E93" s="198"/>
      <c r="F93" s="329"/>
      <c r="G93" s="198"/>
      <c r="H93" s="298"/>
      <c r="I93" s="196"/>
    </row>
    <row r="94" spans="1:9" s="261" customFormat="1" ht="12.75" hidden="1" customHeight="1" x14ac:dyDescent="0.2">
      <c r="A94" s="195"/>
      <c r="B94" s="196"/>
      <c r="C94" s="219"/>
      <c r="D94" s="232" t="s">
        <v>280</v>
      </c>
      <c r="E94" s="198"/>
      <c r="F94" s="329"/>
      <c r="G94" s="198"/>
      <c r="H94" s="298"/>
      <c r="I94" s="196"/>
    </row>
    <row r="95" spans="1:9" s="261" customFormat="1" ht="12.75" hidden="1" customHeight="1" x14ac:dyDescent="0.2">
      <c r="A95" s="195"/>
      <c r="B95" s="196"/>
      <c r="C95" s="219"/>
      <c r="D95" s="232" t="s">
        <v>289</v>
      </c>
      <c r="E95" s="198"/>
      <c r="F95" s="329"/>
      <c r="G95" s="198"/>
      <c r="H95" s="298"/>
      <c r="I95" s="196"/>
    </row>
    <row r="96" spans="1:9" s="261" customFormat="1" ht="12.75" hidden="1" customHeight="1" x14ac:dyDescent="0.2">
      <c r="A96" s="195"/>
      <c r="B96" s="196"/>
      <c r="C96" s="219"/>
      <c r="D96" s="232" t="s">
        <v>258</v>
      </c>
      <c r="E96" s="198"/>
      <c r="F96" s="329"/>
      <c r="G96" s="198"/>
      <c r="H96" s="260"/>
      <c r="I96" s="318"/>
    </row>
    <row r="97" spans="1:12" s="261" customFormat="1" ht="12.75" hidden="1" customHeight="1" x14ac:dyDescent="0.2">
      <c r="A97" s="195"/>
      <c r="B97" s="196"/>
      <c r="C97" s="219"/>
      <c r="D97" s="232" t="s">
        <v>318</v>
      </c>
      <c r="E97" s="198"/>
      <c r="F97" s="329"/>
      <c r="G97" s="198"/>
      <c r="H97" s="298"/>
      <c r="I97" s="308"/>
    </row>
    <row r="98" spans="1:12" s="261" customFormat="1" ht="12.75" hidden="1" customHeight="1" x14ac:dyDescent="0.2">
      <c r="A98" s="195"/>
      <c r="B98" s="196"/>
      <c r="C98" s="219"/>
      <c r="D98" s="278" t="s">
        <v>319</v>
      </c>
      <c r="E98" s="198"/>
      <c r="F98" s="329"/>
      <c r="G98" s="198"/>
      <c r="H98" s="260"/>
      <c r="I98" s="308"/>
      <c r="J98" s="343"/>
      <c r="K98" s="198"/>
      <c r="L98" s="241"/>
    </row>
    <row r="99" spans="1:12" s="261" customFormat="1" ht="12.75" customHeight="1" x14ac:dyDescent="0.2">
      <c r="A99" s="199">
        <f>A90+1</f>
        <v>9</v>
      </c>
      <c r="B99" s="200" t="s">
        <v>167</v>
      </c>
      <c r="C99" s="263" t="s">
        <v>311</v>
      </c>
      <c r="D99" s="279" t="str">
        <f>$D$5</f>
        <v>FTE April  2024</v>
      </c>
      <c r="E99" s="201">
        <f>'3083'!I$145</f>
        <v>525836.49</v>
      </c>
      <c r="F99" s="328"/>
      <c r="G99" s="201">
        <f>SUBTOTAL(109,E99:F106)</f>
        <v>525836.49</v>
      </c>
      <c r="H99" s="260"/>
      <c r="I99" s="308"/>
      <c r="J99" s="343"/>
      <c r="K99" s="198"/>
      <c r="L99" s="241"/>
    </row>
    <row r="100" spans="1:12" s="261" customFormat="1" ht="12.75" hidden="1" customHeight="1" x14ac:dyDescent="0.2">
      <c r="A100" s="199"/>
      <c r="B100" s="200"/>
      <c r="C100" s="220"/>
      <c r="D100" s="233" t="s">
        <v>279</v>
      </c>
      <c r="E100" s="201"/>
      <c r="F100" s="328"/>
      <c r="G100" s="201"/>
      <c r="H100" s="298"/>
      <c r="I100" s="196"/>
    </row>
    <row r="101" spans="1:12" s="261" customFormat="1" ht="12.75" hidden="1" customHeight="1" x14ac:dyDescent="0.2">
      <c r="A101" s="199"/>
      <c r="B101" s="200"/>
      <c r="C101" s="220"/>
      <c r="D101" s="374" t="s">
        <v>470</v>
      </c>
      <c r="E101" s="201"/>
      <c r="F101" s="328"/>
      <c r="G101" s="201"/>
      <c r="H101" s="298"/>
      <c r="I101" s="196"/>
    </row>
    <row r="102" spans="1:12" s="261" customFormat="1" ht="12.75" hidden="1" customHeight="1" x14ac:dyDescent="0.2">
      <c r="A102" s="199"/>
      <c r="B102" s="200"/>
      <c r="C102" s="220"/>
      <c r="D102" s="233" t="s">
        <v>281</v>
      </c>
      <c r="E102" s="201"/>
      <c r="F102" s="328"/>
      <c r="G102" s="201"/>
      <c r="H102" s="260"/>
      <c r="I102" s="231"/>
    </row>
    <row r="103" spans="1:12" s="261" customFormat="1" ht="12.75" hidden="1" customHeight="1" x14ac:dyDescent="0.2">
      <c r="A103" s="199"/>
      <c r="B103" s="200"/>
      <c r="C103" s="220"/>
      <c r="D103" s="233" t="s">
        <v>280</v>
      </c>
      <c r="E103" s="201"/>
      <c r="F103" s="328"/>
      <c r="G103" s="201"/>
      <c r="H103" s="298"/>
      <c r="I103" s="196"/>
    </row>
    <row r="104" spans="1:12" s="261" customFormat="1" ht="12.75" hidden="1" customHeight="1" x14ac:dyDescent="0.2">
      <c r="A104" s="199"/>
      <c r="B104" s="200"/>
      <c r="C104" s="220"/>
      <c r="D104" s="280" t="s">
        <v>289</v>
      </c>
      <c r="E104" s="201"/>
      <c r="F104" s="328"/>
      <c r="G104" s="201"/>
      <c r="H104" s="298"/>
      <c r="I104" s="196"/>
    </row>
    <row r="105" spans="1:12" s="261" customFormat="1" ht="12.75" hidden="1" customHeight="1" x14ac:dyDescent="0.2">
      <c r="A105" s="199"/>
      <c r="B105" s="200"/>
      <c r="C105" s="220"/>
      <c r="D105" s="233" t="s">
        <v>258</v>
      </c>
      <c r="E105" s="201"/>
      <c r="F105" s="328"/>
      <c r="G105" s="201"/>
      <c r="H105" s="298"/>
      <c r="I105" s="196"/>
    </row>
    <row r="106" spans="1:12" s="261" customFormat="1" ht="12.75" hidden="1" customHeight="1" x14ac:dyDescent="0.2">
      <c r="A106" s="199"/>
      <c r="B106" s="200"/>
      <c r="C106" s="220"/>
      <c r="D106" s="280" t="s">
        <v>319</v>
      </c>
      <c r="E106" s="201"/>
      <c r="F106" s="328"/>
      <c r="G106" s="201"/>
      <c r="H106" s="260"/>
      <c r="I106" s="318"/>
    </row>
    <row r="107" spans="1:12" s="261" customFormat="1" ht="12.75" customHeight="1" x14ac:dyDescent="0.2">
      <c r="A107" s="195">
        <f>A99+1</f>
        <v>10</v>
      </c>
      <c r="B107" s="196" t="s">
        <v>168</v>
      </c>
      <c r="C107" s="262" t="s">
        <v>360</v>
      </c>
      <c r="D107" s="495" t="str">
        <f>$D$5</f>
        <v>FTE April  2024</v>
      </c>
      <c r="E107" s="198">
        <f>'3345'!I$145</f>
        <v>111709.19</v>
      </c>
      <c r="F107" s="329"/>
      <c r="G107" s="198">
        <f>SUBTOTAL(109,E107:F113)</f>
        <v>111709.19</v>
      </c>
      <c r="H107" s="260"/>
      <c r="I107" s="318"/>
    </row>
    <row r="108" spans="1:12" s="261" customFormat="1" ht="12.75" hidden="1" customHeight="1" x14ac:dyDescent="0.2">
      <c r="A108" s="195"/>
      <c r="B108" s="196"/>
      <c r="C108" s="262"/>
      <c r="D108" s="232" t="s">
        <v>279</v>
      </c>
      <c r="E108" s="198"/>
      <c r="F108" s="329"/>
      <c r="G108" s="198"/>
      <c r="H108" s="260"/>
      <c r="I108" s="318"/>
    </row>
    <row r="109" spans="1:12" s="261" customFormat="1" ht="12.75" hidden="1" customHeight="1" x14ac:dyDescent="0.2">
      <c r="A109" s="195"/>
      <c r="B109" s="196"/>
      <c r="C109" s="262"/>
      <c r="D109" s="232" t="s">
        <v>470</v>
      </c>
      <c r="E109" s="198"/>
      <c r="F109" s="329"/>
      <c r="G109" s="198"/>
      <c r="H109" s="298"/>
      <c r="I109" s="196"/>
    </row>
    <row r="110" spans="1:12" s="261" customFormat="1" ht="12.75" hidden="1" customHeight="1" x14ac:dyDescent="0.2">
      <c r="A110" s="195"/>
      <c r="B110" s="196"/>
      <c r="C110" s="219"/>
      <c r="D110" s="232" t="s">
        <v>280</v>
      </c>
      <c r="E110" s="198"/>
      <c r="F110" s="329"/>
      <c r="G110" s="198"/>
      <c r="H110" s="298"/>
      <c r="I110" s="196"/>
    </row>
    <row r="111" spans="1:12" s="261" customFormat="1" ht="12.75" hidden="1" customHeight="1" x14ac:dyDescent="0.2">
      <c r="A111" s="195"/>
      <c r="B111" s="196"/>
      <c r="C111" s="219"/>
      <c r="D111" s="232" t="s">
        <v>289</v>
      </c>
      <c r="E111" s="198"/>
      <c r="F111" s="329"/>
      <c r="G111" s="198"/>
      <c r="H111" s="260"/>
      <c r="I111" s="231"/>
    </row>
    <row r="112" spans="1:12" s="261" customFormat="1" ht="12.75" hidden="1" customHeight="1" x14ac:dyDescent="0.2">
      <c r="A112" s="195"/>
      <c r="B112" s="196"/>
      <c r="C112" s="219"/>
      <c r="D112" s="232" t="s">
        <v>258</v>
      </c>
      <c r="E112" s="198"/>
      <c r="F112" s="329"/>
      <c r="G112" s="198"/>
      <c r="H112" s="298"/>
      <c r="I112" s="196"/>
    </row>
    <row r="113" spans="1:9" s="261" customFormat="1" ht="12.75" hidden="1" customHeight="1" x14ac:dyDescent="0.2">
      <c r="A113" s="195"/>
      <c r="B113" s="196"/>
      <c r="C113" s="219"/>
      <c r="D113" s="278" t="s">
        <v>319</v>
      </c>
      <c r="E113" s="198"/>
      <c r="F113" s="329"/>
      <c r="G113" s="198"/>
      <c r="H113" s="298"/>
      <c r="I113" s="196"/>
    </row>
    <row r="114" spans="1:9" s="261" customFormat="1" ht="12.75" customHeight="1" x14ac:dyDescent="0.2">
      <c r="A114" s="199">
        <f>A107+1</f>
        <v>11</v>
      </c>
      <c r="B114" s="200" t="s">
        <v>169</v>
      </c>
      <c r="C114" s="220" t="s">
        <v>201</v>
      </c>
      <c r="D114" s="279" t="str">
        <f>$D$5</f>
        <v>FTE April  2024</v>
      </c>
      <c r="E114" s="201">
        <f>'3381'!I$145</f>
        <v>737714.3</v>
      </c>
      <c r="F114" s="328"/>
      <c r="G114" s="201">
        <f>SUBTOTAL(109,E114:F122)</f>
        <v>737714.3</v>
      </c>
      <c r="H114" s="298"/>
      <c r="I114" s="196"/>
    </row>
    <row r="115" spans="1:9" s="261" customFormat="1" ht="12.75" hidden="1" customHeight="1" x14ac:dyDescent="0.2">
      <c r="A115" s="199"/>
      <c r="B115" s="200"/>
      <c r="C115" s="220"/>
      <c r="D115" s="233" t="s">
        <v>279</v>
      </c>
      <c r="E115" s="201"/>
      <c r="F115" s="328"/>
      <c r="G115" s="201"/>
      <c r="H115" s="260"/>
      <c r="I115" s="318"/>
    </row>
    <row r="116" spans="1:9" ht="12.75" hidden="1" customHeight="1" x14ac:dyDescent="0.2">
      <c r="A116" s="199"/>
      <c r="B116" s="200"/>
      <c r="C116" s="220"/>
      <c r="D116" s="374" t="s">
        <v>470</v>
      </c>
      <c r="E116" s="201"/>
      <c r="F116" s="328"/>
      <c r="G116" s="201"/>
      <c r="H116" s="299"/>
      <c r="I116" s="196"/>
    </row>
    <row r="117" spans="1:9" s="261" customFormat="1" ht="12.75" hidden="1" customHeight="1" x14ac:dyDescent="0.2">
      <c r="A117" s="199"/>
      <c r="B117" s="200"/>
      <c r="C117" s="220"/>
      <c r="D117" s="233" t="s">
        <v>281</v>
      </c>
      <c r="E117" s="201"/>
      <c r="F117" s="328"/>
      <c r="G117" s="201"/>
      <c r="H117" s="298"/>
      <c r="I117" s="196"/>
    </row>
    <row r="118" spans="1:9" s="261" customFormat="1" ht="12.75" hidden="1" customHeight="1" x14ac:dyDescent="0.2">
      <c r="A118" s="199"/>
      <c r="B118" s="200"/>
      <c r="C118" s="220"/>
      <c r="D118" s="233" t="s">
        <v>280</v>
      </c>
      <c r="E118" s="201"/>
      <c r="F118" s="328"/>
      <c r="G118" s="201"/>
      <c r="H118" s="298"/>
      <c r="I118" s="196"/>
    </row>
    <row r="119" spans="1:9" s="261" customFormat="1" ht="12.75" hidden="1" customHeight="1" x14ac:dyDescent="0.2">
      <c r="A119" s="199"/>
      <c r="B119" s="200"/>
      <c r="C119" s="220"/>
      <c r="D119" s="233" t="s">
        <v>289</v>
      </c>
      <c r="E119" s="201"/>
      <c r="F119" s="328"/>
      <c r="G119" s="201"/>
      <c r="H119" s="298"/>
      <c r="I119" s="196"/>
    </row>
    <row r="120" spans="1:9" s="261" customFormat="1" ht="12.75" hidden="1" customHeight="1" x14ac:dyDescent="0.2">
      <c r="A120" s="199"/>
      <c r="B120" s="200"/>
      <c r="C120" s="220"/>
      <c r="D120" s="233" t="s">
        <v>258</v>
      </c>
      <c r="E120" s="201"/>
      <c r="F120" s="328"/>
      <c r="G120" s="201"/>
      <c r="H120" s="298"/>
      <c r="I120" s="196"/>
    </row>
    <row r="121" spans="1:9" s="261" customFormat="1" ht="12.75" hidden="1" customHeight="1" x14ac:dyDescent="0.2">
      <c r="A121" s="199"/>
      <c r="B121" s="200"/>
      <c r="C121" s="220"/>
      <c r="D121" s="233" t="s">
        <v>332</v>
      </c>
      <c r="E121" s="201"/>
      <c r="F121" s="328"/>
      <c r="G121" s="201"/>
      <c r="H121" s="298"/>
      <c r="I121" s="196"/>
    </row>
    <row r="122" spans="1:9" s="261" customFormat="1" ht="12.75" hidden="1" customHeight="1" x14ac:dyDescent="0.2">
      <c r="A122" s="199"/>
      <c r="B122" s="200"/>
      <c r="C122" s="220"/>
      <c r="D122" s="280" t="s">
        <v>319</v>
      </c>
      <c r="E122" s="201"/>
      <c r="F122" s="328"/>
      <c r="G122" s="201"/>
      <c r="H122" s="260"/>
      <c r="I122" s="318"/>
    </row>
    <row r="123" spans="1:9" s="261" customFormat="1" ht="12.75" customHeight="1" x14ac:dyDescent="0.2">
      <c r="A123" s="195">
        <f>A114+1</f>
        <v>12</v>
      </c>
      <c r="B123" s="196" t="s">
        <v>170</v>
      </c>
      <c r="C123" s="219" t="s">
        <v>203</v>
      </c>
      <c r="D123" s="495" t="str">
        <f>$D$5</f>
        <v>FTE April  2024</v>
      </c>
      <c r="E123" s="198">
        <f>'3382'!I$145</f>
        <v>174603.37</v>
      </c>
      <c r="F123" s="329"/>
      <c r="G123" s="198">
        <f>SUBTOTAL(109,E123:F131)</f>
        <v>174603.37</v>
      </c>
      <c r="H123" s="260"/>
      <c r="I123" s="318"/>
    </row>
    <row r="124" spans="1:9" s="261" customFormat="1" ht="12.75" hidden="1" customHeight="1" x14ac:dyDescent="0.2">
      <c r="A124" s="195"/>
      <c r="B124" s="196"/>
      <c r="C124" s="219"/>
      <c r="D124" s="232" t="s">
        <v>279</v>
      </c>
      <c r="E124" s="198"/>
      <c r="F124" s="329"/>
      <c r="G124" s="198"/>
      <c r="H124" s="298"/>
      <c r="I124" s="196"/>
    </row>
    <row r="125" spans="1:9" s="261" customFormat="1" ht="12.75" hidden="1" customHeight="1" x14ac:dyDescent="0.2">
      <c r="A125" s="195"/>
      <c r="B125" s="196"/>
      <c r="C125" s="219"/>
      <c r="D125" s="342" t="s">
        <v>470</v>
      </c>
      <c r="E125" s="198"/>
      <c r="F125" s="329"/>
      <c r="G125" s="198"/>
      <c r="H125" s="298"/>
      <c r="I125" s="196"/>
    </row>
    <row r="126" spans="1:9" s="261" customFormat="1" ht="12.75" hidden="1" customHeight="1" x14ac:dyDescent="0.2">
      <c r="A126" s="195"/>
      <c r="B126" s="196"/>
      <c r="C126" s="219"/>
      <c r="D126" s="232" t="s">
        <v>281</v>
      </c>
      <c r="E126" s="198"/>
      <c r="F126" s="329"/>
      <c r="G126" s="198"/>
      <c r="H126" s="260"/>
      <c r="I126" s="231"/>
    </row>
    <row r="127" spans="1:9" s="261" customFormat="1" ht="12.75" hidden="1" customHeight="1" x14ac:dyDescent="0.2">
      <c r="A127" s="195"/>
      <c r="B127" s="196"/>
      <c r="C127" s="219"/>
      <c r="D127" s="232" t="s">
        <v>280</v>
      </c>
      <c r="E127" s="198"/>
      <c r="F127" s="329"/>
      <c r="G127" s="198"/>
      <c r="H127" s="298"/>
      <c r="I127" s="196"/>
    </row>
    <row r="128" spans="1:9" s="261" customFormat="1" ht="12.75" hidden="1" customHeight="1" x14ac:dyDescent="0.2">
      <c r="A128" s="195"/>
      <c r="B128" s="196"/>
      <c r="C128" s="219"/>
      <c r="D128" s="232" t="s">
        <v>289</v>
      </c>
      <c r="E128" s="198"/>
      <c r="F128" s="329"/>
      <c r="G128" s="198"/>
      <c r="H128" s="298"/>
      <c r="I128" s="196"/>
    </row>
    <row r="129" spans="1:16" s="261" customFormat="1" ht="12.75" hidden="1" customHeight="1" x14ac:dyDescent="0.2">
      <c r="A129" s="195"/>
      <c r="B129" s="196"/>
      <c r="C129" s="219"/>
      <c r="D129" s="232" t="s">
        <v>258</v>
      </c>
      <c r="E129" s="198"/>
      <c r="F129" s="329"/>
      <c r="G129" s="198"/>
      <c r="H129" s="298"/>
      <c r="I129" s="196"/>
    </row>
    <row r="130" spans="1:16" s="261" customFormat="1" ht="12.75" hidden="1" customHeight="1" x14ac:dyDescent="0.2">
      <c r="A130" s="195"/>
      <c r="B130" s="196"/>
      <c r="C130" s="219"/>
      <c r="D130" s="232" t="s">
        <v>318</v>
      </c>
      <c r="E130" s="198"/>
      <c r="F130" s="329"/>
      <c r="G130" s="198"/>
      <c r="H130" s="260"/>
      <c r="I130" s="318"/>
    </row>
    <row r="131" spans="1:16" s="261" customFormat="1" ht="12.75" hidden="1" customHeight="1" x14ac:dyDescent="0.2">
      <c r="A131" s="195"/>
      <c r="B131" s="196"/>
      <c r="C131" s="231"/>
      <c r="D131" s="278" t="s">
        <v>319</v>
      </c>
      <c r="E131" s="198"/>
      <c r="F131" s="329"/>
      <c r="G131" s="198"/>
      <c r="H131" s="260"/>
      <c r="I131" s="320"/>
    </row>
    <row r="132" spans="1:16" ht="12.75" customHeight="1" x14ac:dyDescent="0.2">
      <c r="A132" s="199">
        <f>A123+1</f>
        <v>13</v>
      </c>
      <c r="B132" s="200" t="s">
        <v>171</v>
      </c>
      <c r="C132" s="220" t="s">
        <v>205</v>
      </c>
      <c r="D132" s="279" t="str">
        <f>$D$5</f>
        <v>FTE April  2024</v>
      </c>
      <c r="E132" s="201">
        <f>'3391'!I$145</f>
        <v>34010.42</v>
      </c>
      <c r="F132" s="328"/>
      <c r="G132" s="201">
        <f>SUBTOTAL(109,E132:F140)</f>
        <v>34010.42</v>
      </c>
      <c r="H132" s="299"/>
      <c r="I132" s="196"/>
    </row>
    <row r="133" spans="1:16" s="261" customFormat="1" ht="12.75" hidden="1" customHeight="1" x14ac:dyDescent="0.2">
      <c r="A133" s="199"/>
      <c r="B133" s="200"/>
      <c r="C133" s="220"/>
      <c r="D133" s="233" t="s">
        <v>279</v>
      </c>
      <c r="E133" s="201"/>
      <c r="F133" s="328"/>
      <c r="G133" s="201"/>
      <c r="H133" s="298"/>
      <c r="I133" s="196"/>
      <c r="P133" s="319"/>
    </row>
    <row r="134" spans="1:16" s="261" customFormat="1" ht="12.75" hidden="1" customHeight="1" x14ac:dyDescent="0.2">
      <c r="A134" s="199"/>
      <c r="B134" s="200"/>
      <c r="C134" s="220"/>
      <c r="D134" s="233" t="s">
        <v>470</v>
      </c>
      <c r="E134" s="201"/>
      <c r="F134" s="328"/>
      <c r="G134" s="201"/>
      <c r="H134" s="298"/>
      <c r="I134" s="196"/>
    </row>
    <row r="135" spans="1:16" s="261" customFormat="1" ht="12.75" hidden="1" customHeight="1" x14ac:dyDescent="0.2">
      <c r="A135" s="199"/>
      <c r="B135" s="200"/>
      <c r="C135" s="220"/>
      <c r="D135" s="374" t="s">
        <v>336</v>
      </c>
      <c r="E135" s="201"/>
      <c r="F135" s="328"/>
      <c r="G135" s="201"/>
      <c r="H135" s="260"/>
      <c r="I135" s="231"/>
    </row>
    <row r="136" spans="1:16" s="261" customFormat="1" ht="12.75" hidden="1" customHeight="1" x14ac:dyDescent="0.2">
      <c r="A136" s="199"/>
      <c r="B136" s="200"/>
      <c r="C136" s="220"/>
      <c r="D136" s="233" t="s">
        <v>281</v>
      </c>
      <c r="E136" s="201"/>
      <c r="F136" s="328"/>
      <c r="G136" s="201"/>
      <c r="H136" s="298"/>
      <c r="I136" s="196"/>
    </row>
    <row r="137" spans="1:16" s="261" customFormat="1" ht="12.75" hidden="1" customHeight="1" x14ac:dyDescent="0.2">
      <c r="A137" s="199"/>
      <c r="B137" s="200"/>
      <c r="C137" s="220"/>
      <c r="D137" s="233" t="s">
        <v>280</v>
      </c>
      <c r="E137" s="201"/>
      <c r="F137" s="328"/>
      <c r="G137" s="201"/>
      <c r="H137" s="298"/>
      <c r="I137" s="196"/>
    </row>
    <row r="138" spans="1:16" s="261" customFormat="1" ht="12.75" hidden="1" customHeight="1" x14ac:dyDescent="0.2">
      <c r="A138" s="199"/>
      <c r="B138" s="200"/>
      <c r="C138" s="220"/>
      <c r="D138" s="233" t="s">
        <v>289</v>
      </c>
      <c r="E138" s="201"/>
      <c r="F138" s="328"/>
      <c r="G138" s="201"/>
      <c r="H138" s="298"/>
      <c r="I138" s="196"/>
    </row>
    <row r="139" spans="1:16" s="261" customFormat="1" ht="12.75" hidden="1" customHeight="1" x14ac:dyDescent="0.2">
      <c r="A139" s="199"/>
      <c r="B139" s="200"/>
      <c r="C139" s="220"/>
      <c r="D139" s="233" t="s">
        <v>258</v>
      </c>
      <c r="E139" s="201"/>
      <c r="F139" s="328"/>
      <c r="G139" s="201"/>
      <c r="H139" s="260"/>
      <c r="I139" s="318"/>
    </row>
    <row r="140" spans="1:16" s="261" customFormat="1" ht="12.75" hidden="1" customHeight="1" x14ac:dyDescent="0.2">
      <c r="A140" s="199"/>
      <c r="B140" s="200"/>
      <c r="C140" s="220"/>
      <c r="D140" s="280" t="s">
        <v>319</v>
      </c>
      <c r="E140" s="201"/>
      <c r="F140" s="328"/>
      <c r="G140" s="201"/>
      <c r="H140" s="298"/>
      <c r="I140" s="318"/>
    </row>
    <row r="141" spans="1:16" ht="12.75" customHeight="1" x14ac:dyDescent="0.2">
      <c r="A141" s="195">
        <f>A132+1</f>
        <v>14</v>
      </c>
      <c r="B141" s="196" t="s">
        <v>172</v>
      </c>
      <c r="C141" s="219" t="s">
        <v>206</v>
      </c>
      <c r="D141" s="495" t="str">
        <f>$D$5</f>
        <v>FTE April  2024</v>
      </c>
      <c r="E141" s="198">
        <f>'3394'!I$145</f>
        <v>138541.13</v>
      </c>
      <c r="F141" s="329"/>
      <c r="G141" s="198">
        <f>SUBTOTAL(109,E141:F150)</f>
        <v>138541.13</v>
      </c>
      <c r="H141" s="299"/>
      <c r="I141" s="196"/>
    </row>
    <row r="142" spans="1:16" s="261" customFormat="1" ht="12.75" hidden="1" customHeight="1" x14ac:dyDescent="0.2">
      <c r="A142" s="195"/>
      <c r="B142" s="196"/>
      <c r="C142" s="219"/>
      <c r="D142" s="232" t="s">
        <v>279</v>
      </c>
      <c r="E142" s="198"/>
      <c r="F142" s="329"/>
      <c r="G142" s="198"/>
      <c r="H142" s="298"/>
      <c r="I142" s="286"/>
    </row>
    <row r="143" spans="1:16" s="261" customFormat="1" ht="12.75" hidden="1" customHeight="1" x14ac:dyDescent="0.2">
      <c r="A143" s="195"/>
      <c r="B143" s="196"/>
      <c r="C143" s="219"/>
      <c r="D143" s="342" t="s">
        <v>470</v>
      </c>
      <c r="E143" s="198"/>
      <c r="F143" s="329"/>
      <c r="G143" s="198"/>
      <c r="H143" s="298"/>
      <c r="I143" s="286"/>
    </row>
    <row r="144" spans="1:16" s="261" customFormat="1" ht="12.75" hidden="1" customHeight="1" x14ac:dyDescent="0.2">
      <c r="A144" s="195"/>
      <c r="B144" s="196"/>
      <c r="C144" s="219"/>
      <c r="D144" s="232" t="s">
        <v>281</v>
      </c>
      <c r="E144" s="198"/>
      <c r="F144" s="329"/>
      <c r="G144" s="198"/>
      <c r="H144" s="260"/>
      <c r="I144" s="231"/>
    </row>
    <row r="145" spans="1:9" s="261" customFormat="1" ht="12.75" hidden="1" customHeight="1" x14ac:dyDescent="0.2">
      <c r="A145" s="195"/>
      <c r="B145" s="196"/>
      <c r="C145" s="219"/>
      <c r="D145" s="232" t="s">
        <v>280</v>
      </c>
      <c r="E145" s="198"/>
      <c r="F145" s="329"/>
      <c r="G145" s="198"/>
      <c r="H145" s="260"/>
      <c r="I145" s="231"/>
    </row>
    <row r="146" spans="1:9" s="261" customFormat="1" ht="12.75" hidden="1" customHeight="1" x14ac:dyDescent="0.2">
      <c r="A146" s="195"/>
      <c r="B146" s="196"/>
      <c r="C146" s="219"/>
      <c r="D146" s="232" t="s">
        <v>289</v>
      </c>
      <c r="E146" s="198"/>
      <c r="F146" s="329"/>
      <c r="G146" s="198"/>
      <c r="H146" s="298"/>
      <c r="I146" s="286"/>
    </row>
    <row r="147" spans="1:9" s="261" customFormat="1" ht="12.75" hidden="1" customHeight="1" x14ac:dyDescent="0.2">
      <c r="A147" s="195"/>
      <c r="B147" s="196"/>
      <c r="C147" s="219"/>
      <c r="D147" s="232" t="s">
        <v>258</v>
      </c>
      <c r="E147" s="198"/>
      <c r="F147" s="329"/>
      <c r="G147" s="198"/>
      <c r="H147" s="298"/>
      <c r="I147" s="286"/>
    </row>
    <row r="148" spans="1:9" s="261" customFormat="1" ht="12.75" hidden="1" customHeight="1" x14ac:dyDescent="0.2">
      <c r="A148" s="195"/>
      <c r="B148" s="196"/>
      <c r="C148" s="219"/>
      <c r="D148" s="232" t="s">
        <v>332</v>
      </c>
      <c r="E148" s="198"/>
      <c r="F148" s="329"/>
      <c r="G148" s="198"/>
      <c r="H148" s="298"/>
      <c r="I148" s="286"/>
    </row>
    <row r="149" spans="1:9" s="261" customFormat="1" ht="12.75" hidden="1" customHeight="1" x14ac:dyDescent="0.2">
      <c r="A149" s="195"/>
      <c r="B149" s="196"/>
      <c r="C149" s="219"/>
      <c r="D149" s="278" t="s">
        <v>362</v>
      </c>
      <c r="E149" s="198"/>
      <c r="F149" s="329"/>
      <c r="G149" s="198"/>
      <c r="H149" s="260"/>
      <c r="I149" s="318"/>
    </row>
    <row r="150" spans="1:9" s="261" customFormat="1" ht="12.75" hidden="1" customHeight="1" x14ac:dyDescent="0.2">
      <c r="A150" s="195"/>
      <c r="B150" s="196"/>
      <c r="C150" s="219"/>
      <c r="D150" s="278" t="s">
        <v>363</v>
      </c>
      <c r="E150" s="198"/>
      <c r="F150" s="329"/>
      <c r="G150" s="198"/>
      <c r="H150" s="260"/>
      <c r="I150" s="318"/>
    </row>
    <row r="151" spans="1:9" s="261" customFormat="1" ht="12.75" customHeight="1" x14ac:dyDescent="0.2">
      <c r="A151" s="199">
        <f>A141+1</f>
        <v>15</v>
      </c>
      <c r="B151" s="200" t="s">
        <v>173</v>
      </c>
      <c r="C151" s="263" t="s">
        <v>287</v>
      </c>
      <c r="D151" s="279" t="str">
        <f>$D$5</f>
        <v>FTE April  2024</v>
      </c>
      <c r="E151" s="201">
        <f>'3395'!I$145</f>
        <v>367158.99</v>
      </c>
      <c r="F151" s="328"/>
      <c r="G151" s="201">
        <f>SUBTOTAL(109,E151:F159)</f>
        <v>367139.1</v>
      </c>
      <c r="H151" s="298"/>
      <c r="I151" s="286"/>
    </row>
    <row r="152" spans="1:9" s="261" customFormat="1" ht="12.75" hidden="1" customHeight="1" x14ac:dyDescent="0.2">
      <c r="A152" s="199"/>
      <c r="B152" s="200"/>
      <c r="C152" s="220"/>
      <c r="D152" s="233" t="s">
        <v>279</v>
      </c>
      <c r="E152" s="201"/>
      <c r="F152" s="328"/>
      <c r="G152" s="201"/>
      <c r="H152" s="298"/>
      <c r="I152" s="286"/>
    </row>
    <row r="153" spans="1:9" s="261" customFormat="1" ht="12.75" hidden="1" customHeight="1" x14ac:dyDescent="0.2">
      <c r="A153" s="199"/>
      <c r="B153" s="200"/>
      <c r="C153" s="220"/>
      <c r="D153" s="374" t="s">
        <v>470</v>
      </c>
      <c r="E153" s="201"/>
      <c r="F153" s="328"/>
      <c r="G153" s="201"/>
      <c r="H153" s="260"/>
      <c r="I153" s="231"/>
    </row>
    <row r="154" spans="1:9" s="261" customFormat="1" ht="12.75" hidden="1" customHeight="1" x14ac:dyDescent="0.2">
      <c r="A154" s="199"/>
      <c r="B154" s="200"/>
      <c r="C154" s="220"/>
      <c r="D154" s="233" t="s">
        <v>281</v>
      </c>
      <c r="E154" s="201"/>
      <c r="F154" s="328"/>
      <c r="G154" s="201"/>
      <c r="H154" s="298"/>
      <c r="I154" s="286"/>
    </row>
    <row r="155" spans="1:9" s="261" customFormat="1" ht="12.75" hidden="1" customHeight="1" x14ac:dyDescent="0.2">
      <c r="A155" s="199"/>
      <c r="B155" s="200"/>
      <c r="C155" s="220"/>
      <c r="D155" s="233" t="s">
        <v>280</v>
      </c>
      <c r="E155" s="201"/>
      <c r="F155" s="328"/>
      <c r="G155" s="201"/>
      <c r="H155" s="298"/>
      <c r="I155" s="286"/>
    </row>
    <row r="156" spans="1:9" s="261" customFormat="1" ht="12.75" hidden="1" customHeight="1" x14ac:dyDescent="0.2">
      <c r="A156" s="199"/>
      <c r="B156" s="200"/>
      <c r="C156" s="220"/>
      <c r="D156" s="233" t="s">
        <v>289</v>
      </c>
      <c r="E156" s="201"/>
      <c r="F156" s="328"/>
      <c r="G156" s="201"/>
      <c r="H156" s="298"/>
      <c r="I156" s="286"/>
    </row>
    <row r="157" spans="1:9" s="261" customFormat="1" ht="12.75" hidden="1" customHeight="1" x14ac:dyDescent="0.2">
      <c r="A157" s="199"/>
      <c r="B157" s="200"/>
      <c r="C157" s="220"/>
      <c r="D157" s="233" t="s">
        <v>258</v>
      </c>
      <c r="E157" s="201"/>
      <c r="F157" s="328"/>
      <c r="G157" s="201"/>
      <c r="H157" s="260"/>
      <c r="I157" s="318"/>
    </row>
    <row r="158" spans="1:9" s="261" customFormat="1" ht="12.75" hidden="1" customHeight="1" x14ac:dyDescent="0.2">
      <c r="A158" s="199"/>
      <c r="B158" s="200"/>
      <c r="C158" s="220"/>
      <c r="D158" s="315" t="s">
        <v>432</v>
      </c>
      <c r="E158" s="201"/>
      <c r="F158" s="328"/>
      <c r="G158" s="201"/>
      <c r="H158" s="298"/>
      <c r="I158" s="320"/>
    </row>
    <row r="159" spans="1:9" s="261" customFormat="1" ht="12.75" customHeight="1" x14ac:dyDescent="0.2">
      <c r="A159" s="332"/>
      <c r="B159" s="200"/>
      <c r="C159" s="220"/>
      <c r="D159" s="315" t="s">
        <v>489</v>
      </c>
      <c r="E159" s="520"/>
      <c r="F159" s="328">
        <v>-19.89</v>
      </c>
      <c r="G159" s="201"/>
      <c r="H159" s="298"/>
      <c r="I159" s="320"/>
    </row>
    <row r="160" spans="1:9" s="261" customFormat="1" ht="12.75" customHeight="1" x14ac:dyDescent="0.2">
      <c r="A160" s="195">
        <f>A151+1</f>
        <v>16</v>
      </c>
      <c r="B160" s="196" t="s">
        <v>174</v>
      </c>
      <c r="C160" s="262" t="s">
        <v>228</v>
      </c>
      <c r="D160" s="495" t="str">
        <f>$D$5</f>
        <v>FTE April  2024</v>
      </c>
      <c r="E160" s="198">
        <f>'3396'!I$145</f>
        <v>406110.09</v>
      </c>
      <c r="F160" s="329"/>
      <c r="G160" s="198">
        <f>SUBTOTAL(109,E160:F167)</f>
        <v>406110.09</v>
      </c>
      <c r="H160" s="298"/>
      <c r="I160" s="286"/>
    </row>
    <row r="161" spans="1:11" s="261" customFormat="1" ht="12.75" hidden="1" customHeight="1" x14ac:dyDescent="0.2">
      <c r="A161" s="195"/>
      <c r="B161" s="196"/>
      <c r="C161" s="262"/>
      <c r="D161" s="232" t="s">
        <v>279</v>
      </c>
      <c r="E161" s="198"/>
      <c r="F161" s="329"/>
      <c r="G161" s="198"/>
      <c r="H161" s="298"/>
      <c r="I161" s="286"/>
    </row>
    <row r="162" spans="1:11" s="261" customFormat="1" ht="12.75" hidden="1" customHeight="1" x14ac:dyDescent="0.2">
      <c r="A162" s="195"/>
      <c r="B162" s="196"/>
      <c r="C162" s="262"/>
      <c r="D162" s="232" t="s">
        <v>470</v>
      </c>
      <c r="E162" s="198"/>
      <c r="F162" s="329"/>
      <c r="G162" s="198"/>
      <c r="H162" s="298"/>
      <c r="I162" s="286"/>
    </row>
    <row r="163" spans="1:11" s="261" customFormat="1" ht="12.75" hidden="1" customHeight="1" x14ac:dyDescent="0.2">
      <c r="A163" s="195"/>
      <c r="B163" s="196"/>
      <c r="C163" s="262"/>
      <c r="D163" s="232" t="s">
        <v>280</v>
      </c>
      <c r="E163" s="198"/>
      <c r="F163" s="329"/>
      <c r="G163" s="198"/>
      <c r="H163" s="260"/>
      <c r="I163" s="231"/>
    </row>
    <row r="164" spans="1:11" s="261" customFormat="1" ht="12.75" hidden="1" customHeight="1" x14ac:dyDescent="0.2">
      <c r="A164" s="195"/>
      <c r="B164" s="196"/>
      <c r="C164" s="262"/>
      <c r="D164" s="232" t="s">
        <v>289</v>
      </c>
      <c r="E164" s="198"/>
      <c r="F164" s="329"/>
      <c r="G164" s="198"/>
      <c r="H164" s="298"/>
      <c r="I164" s="286"/>
    </row>
    <row r="165" spans="1:11" s="261" customFormat="1" ht="12.75" hidden="1" customHeight="1" x14ac:dyDescent="0.2">
      <c r="A165" s="195"/>
      <c r="B165" s="196"/>
      <c r="C165" s="219"/>
      <c r="D165" s="232" t="s">
        <v>258</v>
      </c>
      <c r="E165" s="198"/>
      <c r="F165" s="329"/>
      <c r="G165" s="198"/>
      <c r="H165" s="298"/>
      <c r="I165" s="286"/>
    </row>
    <row r="166" spans="1:11" s="261" customFormat="1" ht="12.75" hidden="1" customHeight="1" x14ac:dyDescent="0.2">
      <c r="A166" s="195"/>
      <c r="B166" s="196"/>
      <c r="C166" s="219"/>
      <c r="D166" s="232" t="s">
        <v>332</v>
      </c>
      <c r="E166" s="198"/>
      <c r="F166" s="329"/>
      <c r="G166" s="198"/>
      <c r="H166" s="298"/>
      <c r="I166" s="286"/>
    </row>
    <row r="167" spans="1:11" s="261" customFormat="1" ht="12.75" hidden="1" customHeight="1" x14ac:dyDescent="0.2">
      <c r="A167" s="195"/>
      <c r="B167" s="196"/>
      <c r="C167" s="219"/>
      <c r="D167" s="278" t="s">
        <v>319</v>
      </c>
      <c r="E167" s="198"/>
      <c r="F167" s="329"/>
      <c r="G167" s="198"/>
      <c r="H167" s="260"/>
      <c r="I167" s="318"/>
    </row>
    <row r="168" spans="1:11" s="261" customFormat="1" ht="12.75" customHeight="1" x14ac:dyDescent="0.2">
      <c r="A168" s="199">
        <f>A160+1</f>
        <v>17</v>
      </c>
      <c r="B168" s="200" t="s">
        <v>175</v>
      </c>
      <c r="C168" s="220" t="s">
        <v>196</v>
      </c>
      <c r="D168" s="279" t="str">
        <f>$D$5</f>
        <v>FTE April  2024</v>
      </c>
      <c r="E168" s="201">
        <f>'3398'!I$145</f>
        <v>71143.570000000007</v>
      </c>
      <c r="F168" s="328"/>
      <c r="G168" s="201">
        <f>SUBTOTAL(109,E168:F174)</f>
        <v>71143.570000000007</v>
      </c>
      <c r="H168" s="298"/>
      <c r="I168" s="320"/>
    </row>
    <row r="169" spans="1:11" ht="12.75" hidden="1" customHeight="1" x14ac:dyDescent="0.2">
      <c r="A169" s="199"/>
      <c r="B169" s="200"/>
      <c r="C169" s="220"/>
      <c r="D169" s="233" t="s">
        <v>279</v>
      </c>
      <c r="E169" s="201"/>
      <c r="F169" s="328"/>
      <c r="G169" s="201"/>
      <c r="H169" s="299"/>
      <c r="I169" s="333"/>
    </row>
    <row r="170" spans="1:11" s="261" customFormat="1" ht="12.75" hidden="1" customHeight="1" x14ac:dyDescent="0.2">
      <c r="A170" s="199"/>
      <c r="B170" s="200"/>
      <c r="C170" s="220"/>
      <c r="D170" s="233" t="s">
        <v>470</v>
      </c>
      <c r="E170" s="201"/>
      <c r="F170" s="328"/>
      <c r="G170" s="201"/>
      <c r="H170" s="298"/>
      <c r="I170" s="286"/>
      <c r="K170" s="319"/>
    </row>
    <row r="171" spans="1:11" s="261" customFormat="1" ht="12.75" hidden="1" customHeight="1" x14ac:dyDescent="0.2">
      <c r="A171" s="199"/>
      <c r="B171" s="200"/>
      <c r="C171" s="220"/>
      <c r="D171" s="233" t="s">
        <v>280</v>
      </c>
      <c r="E171" s="201"/>
      <c r="F171" s="328"/>
      <c r="G171" s="201"/>
      <c r="H171" s="298"/>
      <c r="I171" s="286"/>
    </row>
    <row r="172" spans="1:11" s="261" customFormat="1" ht="12.75" hidden="1" customHeight="1" x14ac:dyDescent="0.2">
      <c r="A172" s="199"/>
      <c r="B172" s="200"/>
      <c r="C172" s="229"/>
      <c r="D172" s="233" t="s">
        <v>289</v>
      </c>
      <c r="E172" s="201"/>
      <c r="F172" s="328"/>
      <c r="G172" s="201"/>
      <c r="H172" s="298"/>
    </row>
    <row r="173" spans="1:11" s="261" customFormat="1" ht="12.75" hidden="1" customHeight="1" x14ac:dyDescent="0.2">
      <c r="A173" s="199"/>
      <c r="B173" s="200"/>
      <c r="C173" s="220"/>
      <c r="D173" s="233" t="s">
        <v>258</v>
      </c>
      <c r="E173" s="201"/>
      <c r="F173" s="328"/>
      <c r="G173" s="201"/>
      <c r="H173" s="298"/>
    </row>
    <row r="174" spans="1:11" s="261" customFormat="1" ht="12.75" hidden="1" customHeight="1" x14ac:dyDescent="0.2">
      <c r="A174" s="199"/>
      <c r="B174" s="200"/>
      <c r="C174" s="229"/>
      <c r="D174" s="280" t="s">
        <v>319</v>
      </c>
      <c r="E174" s="201"/>
      <c r="F174" s="328"/>
      <c r="G174" s="201"/>
      <c r="H174" s="298"/>
    </row>
    <row r="175" spans="1:11" s="261" customFormat="1" ht="12.75" customHeight="1" x14ac:dyDescent="0.2">
      <c r="A175" s="195">
        <f>A168+1</f>
        <v>18</v>
      </c>
      <c r="B175" s="196" t="s">
        <v>176</v>
      </c>
      <c r="C175" s="219" t="s">
        <v>190</v>
      </c>
      <c r="D175" s="495" t="str">
        <f>$D$5</f>
        <v>FTE April  2024</v>
      </c>
      <c r="E175" s="198">
        <f>'3400'!I$145</f>
        <v>93198.35</v>
      </c>
      <c r="F175" s="329"/>
      <c r="G175" s="198">
        <f>SUBTOTAL(109,E175:F182)</f>
        <v>93198.35</v>
      </c>
      <c r="H175" s="260"/>
      <c r="I175" s="318"/>
    </row>
    <row r="176" spans="1:11" s="261" customFormat="1" ht="12.75" hidden="1" customHeight="1" x14ac:dyDescent="0.2">
      <c r="A176" s="195"/>
      <c r="B176" s="196"/>
      <c r="C176" s="219"/>
      <c r="D176" s="232" t="s">
        <v>279</v>
      </c>
      <c r="E176" s="198"/>
      <c r="F176" s="329"/>
      <c r="G176" s="198"/>
      <c r="H176" s="298"/>
      <c r="I176" s="320"/>
    </row>
    <row r="177" spans="1:9" s="261" customFormat="1" ht="12.75" hidden="1" customHeight="1" x14ac:dyDescent="0.2">
      <c r="A177" s="195"/>
      <c r="B177" s="196"/>
      <c r="C177" s="219"/>
      <c r="D177" s="342" t="s">
        <v>470</v>
      </c>
      <c r="E177" s="198"/>
      <c r="F177" s="329"/>
      <c r="G177" s="198"/>
      <c r="H177" s="298"/>
      <c r="I177" s="286"/>
    </row>
    <row r="178" spans="1:9" s="261" customFormat="1" ht="12.75" hidden="1" customHeight="1" x14ac:dyDescent="0.2">
      <c r="A178" s="195"/>
      <c r="B178" s="196"/>
      <c r="C178" s="219"/>
      <c r="D178" s="232" t="s">
        <v>281</v>
      </c>
      <c r="E178" s="198"/>
      <c r="F178" s="329"/>
      <c r="G178" s="198"/>
      <c r="H178" s="298"/>
      <c r="I178" s="286"/>
    </row>
    <row r="179" spans="1:9" s="261" customFormat="1" ht="12.75" hidden="1" customHeight="1" x14ac:dyDescent="0.2">
      <c r="A179" s="195"/>
      <c r="B179" s="196"/>
      <c r="C179" s="219"/>
      <c r="D179" s="232" t="s">
        <v>280</v>
      </c>
      <c r="E179" s="198"/>
      <c r="F179" s="329"/>
      <c r="G179" s="198"/>
      <c r="H179" s="298"/>
      <c r="I179" s="286"/>
    </row>
    <row r="180" spans="1:9" s="261" customFormat="1" ht="12.75" hidden="1" customHeight="1" x14ac:dyDescent="0.2">
      <c r="A180" s="195"/>
      <c r="B180" s="196"/>
      <c r="C180" s="219"/>
      <c r="D180" s="232" t="s">
        <v>289</v>
      </c>
      <c r="E180" s="198"/>
      <c r="F180" s="329"/>
      <c r="G180" s="198"/>
      <c r="H180" s="298"/>
    </row>
    <row r="181" spans="1:9" s="261" customFormat="1" ht="12.75" hidden="1" customHeight="1" x14ac:dyDescent="0.2">
      <c r="A181" s="195"/>
      <c r="B181" s="196"/>
      <c r="C181" s="219"/>
      <c r="D181" s="232" t="s">
        <v>258</v>
      </c>
      <c r="E181" s="198"/>
      <c r="F181" s="329"/>
      <c r="G181" s="198"/>
      <c r="H181" s="298"/>
      <c r="I181" s="188"/>
    </row>
    <row r="182" spans="1:9" ht="12.75" hidden="1" customHeight="1" x14ac:dyDescent="0.2">
      <c r="A182" s="195"/>
      <c r="B182" s="196"/>
      <c r="C182" s="219"/>
      <c r="D182" s="278" t="s">
        <v>319</v>
      </c>
      <c r="E182" s="198"/>
      <c r="F182" s="329"/>
      <c r="G182" s="198"/>
      <c r="H182" s="299"/>
    </row>
    <row r="183" spans="1:9" s="261" customFormat="1" ht="12.75" customHeight="1" x14ac:dyDescent="0.2">
      <c r="A183" s="199">
        <f>A175+1</f>
        <v>19</v>
      </c>
      <c r="B183" s="200" t="s">
        <v>177</v>
      </c>
      <c r="C183" s="220" t="s">
        <v>207</v>
      </c>
      <c r="D183" s="279" t="str">
        <f>$D$5</f>
        <v>FTE April  2024</v>
      </c>
      <c r="E183" s="201">
        <f>'3401'!I$145</f>
        <v>332948.53000000003</v>
      </c>
      <c r="F183" s="328"/>
      <c r="G183" s="201">
        <f>SUBTOTAL(109,E183:F193)</f>
        <v>332948.53000000003</v>
      </c>
      <c r="H183" s="260"/>
      <c r="I183" s="318"/>
    </row>
    <row r="184" spans="1:9" ht="12.75" hidden="1" customHeight="1" x14ac:dyDescent="0.2">
      <c r="A184" s="199"/>
      <c r="B184" s="200"/>
      <c r="C184" s="220"/>
      <c r="D184" s="233" t="s">
        <v>279</v>
      </c>
      <c r="E184" s="201"/>
      <c r="F184" s="328"/>
      <c r="G184" s="201"/>
      <c r="H184" s="299"/>
      <c r="I184" s="286"/>
    </row>
    <row r="185" spans="1:9" s="261" customFormat="1" ht="12.75" hidden="1" customHeight="1" x14ac:dyDescent="0.2">
      <c r="A185" s="199"/>
      <c r="B185" s="200"/>
      <c r="C185" s="220"/>
      <c r="D185" s="374" t="s">
        <v>470</v>
      </c>
      <c r="E185" s="201"/>
      <c r="F185" s="328"/>
      <c r="G185" s="201"/>
      <c r="H185" s="298"/>
      <c r="I185" s="286"/>
    </row>
    <row r="186" spans="1:9" s="261" customFormat="1" ht="12.75" hidden="1" customHeight="1" x14ac:dyDescent="0.2">
      <c r="A186" s="199"/>
      <c r="B186" s="200"/>
      <c r="C186" s="220"/>
      <c r="D186" s="233" t="s">
        <v>338</v>
      </c>
      <c r="E186" s="201"/>
      <c r="F186" s="328"/>
      <c r="G186" s="201"/>
      <c r="H186" s="298"/>
      <c r="I186" s="286"/>
    </row>
    <row r="187" spans="1:9" s="261" customFormat="1" ht="12.75" hidden="1" customHeight="1" x14ac:dyDescent="0.2">
      <c r="A187" s="199"/>
      <c r="B187" s="200"/>
      <c r="C187" s="220"/>
      <c r="D187" s="233" t="s">
        <v>339</v>
      </c>
      <c r="E187" s="201"/>
      <c r="F187" s="328"/>
      <c r="G187" s="201"/>
      <c r="H187" s="260"/>
      <c r="I187" s="231"/>
    </row>
    <row r="188" spans="1:9" s="261" customFormat="1" ht="12.75" hidden="1" customHeight="1" x14ac:dyDescent="0.2">
      <c r="A188" s="199"/>
      <c r="B188" s="200"/>
      <c r="C188" s="220"/>
      <c r="D188" s="233" t="s">
        <v>281</v>
      </c>
      <c r="E188" s="201"/>
      <c r="F188" s="328"/>
      <c r="G188" s="201"/>
      <c r="H188" s="298"/>
    </row>
    <row r="189" spans="1:9" s="261" customFormat="1" ht="12.75" hidden="1" customHeight="1" x14ac:dyDescent="0.2">
      <c r="A189" s="199"/>
      <c r="B189" s="200"/>
      <c r="C189" s="220"/>
      <c r="D189" s="233" t="s">
        <v>280</v>
      </c>
      <c r="E189" s="201"/>
      <c r="F189" s="328"/>
      <c r="G189" s="201"/>
      <c r="H189" s="298"/>
    </row>
    <row r="190" spans="1:9" s="261" customFormat="1" ht="12.75" hidden="1" customHeight="1" x14ac:dyDescent="0.2">
      <c r="A190" s="199"/>
      <c r="B190" s="200"/>
      <c r="C190" s="220"/>
      <c r="D190" s="233" t="s">
        <v>289</v>
      </c>
      <c r="E190" s="201"/>
      <c r="F190" s="328"/>
      <c r="G190" s="201"/>
      <c r="H190" s="298"/>
      <c r="I190" s="196"/>
    </row>
    <row r="191" spans="1:9" s="261" customFormat="1" ht="12.75" hidden="1" customHeight="1" x14ac:dyDescent="0.2">
      <c r="A191" s="199"/>
      <c r="B191" s="200"/>
      <c r="C191" s="220"/>
      <c r="D191" s="233" t="s">
        <v>258</v>
      </c>
      <c r="E191" s="201"/>
      <c r="F191" s="328"/>
      <c r="G191" s="201"/>
      <c r="H191" s="260"/>
      <c r="I191" s="318"/>
    </row>
    <row r="192" spans="1:9" s="261" customFormat="1" ht="12.75" hidden="1" customHeight="1" x14ac:dyDescent="0.2">
      <c r="A192" s="199"/>
      <c r="B192" s="200"/>
      <c r="C192" s="229"/>
      <c r="D192" s="315" t="s">
        <v>333</v>
      </c>
      <c r="E192" s="201"/>
      <c r="F192" s="328"/>
      <c r="G192" s="201"/>
      <c r="H192" s="260"/>
      <c r="I192" s="318"/>
    </row>
    <row r="193" spans="1:9" s="261" customFormat="1" ht="12.75" hidden="1" customHeight="1" x14ac:dyDescent="0.2">
      <c r="A193" s="199"/>
      <c r="B193" s="200"/>
      <c r="C193" s="220"/>
      <c r="D193" s="280" t="s">
        <v>319</v>
      </c>
      <c r="E193" s="201"/>
      <c r="F193" s="328"/>
      <c r="G193" s="201"/>
      <c r="H193" s="298"/>
      <c r="I193" s="196"/>
    </row>
    <row r="194" spans="1:9" s="261" customFormat="1" ht="12.75" customHeight="1" x14ac:dyDescent="0.2">
      <c r="A194" s="195">
        <f>A183+1</f>
        <v>20</v>
      </c>
      <c r="B194" s="196" t="s">
        <v>178</v>
      </c>
      <c r="C194" s="219" t="s">
        <v>208</v>
      </c>
      <c r="D194" s="495" t="str">
        <f>$D$5</f>
        <v>FTE April  2024</v>
      </c>
      <c r="E194" s="198">
        <f>'3413'!I$145</f>
        <v>281552.45</v>
      </c>
      <c r="F194" s="329"/>
      <c r="G194" s="198">
        <f>SUBTOTAL(109,E194:F201)</f>
        <v>281552.45</v>
      </c>
      <c r="H194" s="298"/>
      <c r="I194" s="196"/>
    </row>
    <row r="195" spans="1:9" s="261" customFormat="1" ht="12.75" hidden="1" customHeight="1" x14ac:dyDescent="0.2">
      <c r="A195" s="195"/>
      <c r="B195" s="196"/>
      <c r="C195" s="219"/>
      <c r="D195" s="232" t="s">
        <v>279</v>
      </c>
      <c r="E195" s="198"/>
      <c r="F195" s="329"/>
      <c r="G195" s="198"/>
      <c r="H195" s="298"/>
      <c r="I195" s="196"/>
    </row>
    <row r="196" spans="1:9" s="261" customFormat="1" ht="12.75" hidden="1" customHeight="1" x14ac:dyDescent="0.2">
      <c r="A196" s="195"/>
      <c r="B196" s="196"/>
      <c r="C196" s="219"/>
      <c r="D196" s="342" t="s">
        <v>470</v>
      </c>
      <c r="E196" s="198"/>
      <c r="F196" s="329"/>
      <c r="G196" s="198"/>
      <c r="H196" s="298"/>
      <c r="I196" s="196"/>
    </row>
    <row r="197" spans="1:9" s="261" customFormat="1" ht="12.75" hidden="1" customHeight="1" x14ac:dyDescent="0.2">
      <c r="A197" s="195"/>
      <c r="B197" s="196"/>
      <c r="C197" s="219"/>
      <c r="D197" s="232" t="s">
        <v>281</v>
      </c>
      <c r="E197" s="198"/>
      <c r="F197" s="329"/>
      <c r="G197" s="198"/>
      <c r="H197" s="298"/>
      <c r="I197" s="196"/>
    </row>
    <row r="198" spans="1:9" s="261" customFormat="1" ht="12.75" hidden="1" customHeight="1" x14ac:dyDescent="0.2">
      <c r="A198" s="195"/>
      <c r="B198" s="196"/>
      <c r="C198" s="219"/>
      <c r="D198" s="232" t="s">
        <v>280</v>
      </c>
      <c r="E198" s="198"/>
      <c r="F198" s="329"/>
      <c r="G198" s="198"/>
      <c r="H198" s="298"/>
      <c r="I198" s="196"/>
    </row>
    <row r="199" spans="1:9" s="261" customFormat="1" ht="12.75" hidden="1" customHeight="1" x14ac:dyDescent="0.2">
      <c r="A199" s="195"/>
      <c r="B199" s="196"/>
      <c r="C199" s="219"/>
      <c r="D199" s="232" t="s">
        <v>289</v>
      </c>
      <c r="E199" s="198"/>
      <c r="F199" s="329"/>
      <c r="G199" s="198"/>
      <c r="H199" s="298"/>
      <c r="I199" s="196"/>
    </row>
    <row r="200" spans="1:9" s="261" customFormat="1" ht="12.75" hidden="1" customHeight="1" x14ac:dyDescent="0.2">
      <c r="A200" s="195"/>
      <c r="B200" s="196"/>
      <c r="C200" s="219"/>
      <c r="D200" s="232" t="s">
        <v>258</v>
      </c>
      <c r="E200" s="198"/>
      <c r="F200" s="329"/>
      <c r="G200" s="198"/>
      <c r="H200" s="298"/>
      <c r="I200" s="196"/>
    </row>
    <row r="201" spans="1:9" s="261" customFormat="1" ht="12.75" hidden="1" customHeight="1" x14ac:dyDescent="0.2">
      <c r="A201" s="195"/>
      <c r="B201" s="196"/>
      <c r="C201" s="219"/>
      <c r="D201" s="278" t="s">
        <v>319</v>
      </c>
      <c r="E201" s="198"/>
      <c r="F201" s="329"/>
      <c r="G201" s="198"/>
      <c r="H201" s="260"/>
      <c r="I201" s="318"/>
    </row>
    <row r="202" spans="1:9" s="261" customFormat="1" ht="12.75" customHeight="1" x14ac:dyDescent="0.2">
      <c r="A202" s="199">
        <f>A194+1</f>
        <v>21</v>
      </c>
      <c r="B202" s="200" t="s">
        <v>179</v>
      </c>
      <c r="C202" s="220" t="s">
        <v>209</v>
      </c>
      <c r="D202" s="279" t="str">
        <f>$D$5</f>
        <v>FTE April  2024</v>
      </c>
      <c r="E202" s="201">
        <f>'3421'!I$145</f>
        <v>398715.22</v>
      </c>
      <c r="F202" s="328"/>
      <c r="G202" s="201">
        <f>SUBTOTAL(109,E202:F212)</f>
        <v>398715.22</v>
      </c>
      <c r="H202" s="298"/>
      <c r="I202" s="323"/>
    </row>
    <row r="203" spans="1:9" s="261" customFormat="1" ht="12.75" hidden="1" customHeight="1" x14ac:dyDescent="0.2">
      <c r="A203" s="199"/>
      <c r="B203" s="200"/>
      <c r="C203" s="220"/>
      <c r="D203" s="233" t="s">
        <v>279</v>
      </c>
      <c r="E203" s="201"/>
      <c r="F203" s="328"/>
      <c r="G203" s="201"/>
      <c r="H203" s="260"/>
      <c r="I203" s="318"/>
    </row>
    <row r="204" spans="1:9" s="261" customFormat="1" ht="12.75" hidden="1" customHeight="1" x14ac:dyDescent="0.2">
      <c r="A204" s="199"/>
      <c r="B204" s="200"/>
      <c r="C204" s="220"/>
      <c r="D204" s="374" t="s">
        <v>348</v>
      </c>
      <c r="E204" s="201"/>
      <c r="F204" s="328"/>
      <c r="G204" s="201"/>
      <c r="H204" s="298"/>
      <c r="I204" s="196"/>
    </row>
    <row r="205" spans="1:9" s="261" customFormat="1" ht="12.75" hidden="1" customHeight="1" x14ac:dyDescent="0.2">
      <c r="A205" s="199"/>
      <c r="B205" s="200"/>
      <c r="C205" s="220"/>
      <c r="D205" s="233" t="s">
        <v>338</v>
      </c>
      <c r="E205" s="201"/>
      <c r="F205" s="328"/>
      <c r="G205" s="201"/>
      <c r="H205" s="298"/>
      <c r="I205" s="196"/>
    </row>
    <row r="206" spans="1:9" s="261" customFormat="1" ht="12.75" hidden="1" customHeight="1" x14ac:dyDescent="0.2">
      <c r="A206" s="199"/>
      <c r="B206" s="200"/>
      <c r="C206" s="220"/>
      <c r="D206" s="233" t="s">
        <v>339</v>
      </c>
      <c r="E206" s="201"/>
      <c r="F206" s="328"/>
      <c r="G206" s="201"/>
      <c r="H206" s="260"/>
      <c r="I206" s="231"/>
    </row>
    <row r="207" spans="1:9" s="261" customFormat="1" ht="12.75" hidden="1" customHeight="1" x14ac:dyDescent="0.2">
      <c r="A207" s="199"/>
      <c r="B207" s="200"/>
      <c r="C207" s="220"/>
      <c r="D207" s="233" t="s">
        <v>281</v>
      </c>
      <c r="E207" s="201"/>
      <c r="F207" s="328"/>
      <c r="G207" s="201"/>
      <c r="H207" s="298"/>
    </row>
    <row r="208" spans="1:9" s="261" customFormat="1" ht="12.75" hidden="1" customHeight="1" x14ac:dyDescent="0.2">
      <c r="A208" s="199"/>
      <c r="B208" s="200"/>
      <c r="C208" s="220"/>
      <c r="D208" s="233" t="s">
        <v>280</v>
      </c>
      <c r="E208" s="201"/>
      <c r="F208" s="328"/>
      <c r="G208" s="201"/>
      <c r="H208" s="298"/>
    </row>
    <row r="209" spans="1:9" s="261" customFormat="1" ht="12.75" hidden="1" customHeight="1" x14ac:dyDescent="0.2">
      <c r="A209" s="199"/>
      <c r="B209" s="200"/>
      <c r="C209" s="220"/>
      <c r="D209" s="233" t="s">
        <v>289</v>
      </c>
      <c r="E209" s="201"/>
      <c r="F209" s="328"/>
      <c r="G209" s="201"/>
      <c r="H209" s="298"/>
    </row>
    <row r="210" spans="1:9" s="261" customFormat="1" ht="12.75" hidden="1" customHeight="1" x14ac:dyDescent="0.2">
      <c r="A210" s="199"/>
      <c r="B210" s="200"/>
      <c r="C210" s="220"/>
      <c r="D210" s="233" t="s">
        <v>258</v>
      </c>
      <c r="E210" s="201"/>
      <c r="F210" s="328"/>
      <c r="G210" s="201"/>
      <c r="H210" s="260"/>
      <c r="I210" s="318"/>
    </row>
    <row r="211" spans="1:9" s="261" customFormat="1" ht="12.75" hidden="1" customHeight="1" x14ac:dyDescent="0.2">
      <c r="A211" s="199"/>
      <c r="B211" s="200"/>
      <c r="C211" s="229"/>
      <c r="D211" s="315" t="s">
        <v>333</v>
      </c>
      <c r="E211" s="201"/>
      <c r="F211" s="328"/>
      <c r="G211" s="201"/>
      <c r="H211" s="260"/>
      <c r="I211" s="318"/>
    </row>
    <row r="212" spans="1:9" s="261" customFormat="1" ht="12.75" hidden="1" customHeight="1" x14ac:dyDescent="0.2">
      <c r="A212" s="199"/>
      <c r="B212" s="200"/>
      <c r="C212" s="220"/>
      <c r="D212" s="280" t="s">
        <v>319</v>
      </c>
      <c r="E212" s="201"/>
      <c r="F212" s="328"/>
      <c r="G212" s="201"/>
      <c r="H212" s="298"/>
    </row>
    <row r="213" spans="1:9" s="261" customFormat="1" ht="12.75" customHeight="1" x14ac:dyDescent="0.2">
      <c r="A213" s="195">
        <f>A202+1</f>
        <v>22</v>
      </c>
      <c r="B213" s="196" t="s">
        <v>180</v>
      </c>
      <c r="C213" s="219" t="s">
        <v>211</v>
      </c>
      <c r="D213" s="495" t="str">
        <f>$D$5</f>
        <v>FTE April  2024</v>
      </c>
      <c r="E213" s="198">
        <f>'3431'!I$145</f>
        <v>667528.09</v>
      </c>
      <c r="F213" s="329"/>
      <c r="G213" s="198">
        <f>SUBTOTAL(109,E213:F222)</f>
        <v>667528.09</v>
      </c>
      <c r="H213" s="298"/>
    </row>
    <row r="214" spans="1:9" s="261" customFormat="1" ht="12.75" hidden="1" customHeight="1" x14ac:dyDescent="0.2">
      <c r="A214" s="195"/>
      <c r="B214" s="196"/>
      <c r="C214" s="219"/>
      <c r="D214" s="232" t="s">
        <v>279</v>
      </c>
      <c r="E214" s="198"/>
      <c r="F214" s="329"/>
      <c r="G214" s="198"/>
      <c r="H214" s="298"/>
      <c r="I214" s="196"/>
    </row>
    <row r="215" spans="1:9" s="261" customFormat="1" ht="12.75" hidden="1" customHeight="1" x14ac:dyDescent="0.2">
      <c r="A215" s="195"/>
      <c r="B215" s="196"/>
      <c r="C215" s="219"/>
      <c r="D215" s="342" t="s">
        <v>470</v>
      </c>
      <c r="E215" s="198"/>
      <c r="F215" s="329"/>
      <c r="G215" s="198"/>
      <c r="H215" s="298"/>
      <c r="I215" s="196"/>
    </row>
    <row r="216" spans="1:9" s="261" customFormat="1" ht="12.75" hidden="1" customHeight="1" x14ac:dyDescent="0.2">
      <c r="A216" s="195"/>
      <c r="B216" s="196"/>
      <c r="C216" s="219"/>
      <c r="D216" s="232" t="s">
        <v>281</v>
      </c>
      <c r="E216" s="198"/>
      <c r="F216" s="329"/>
      <c r="G216" s="198"/>
      <c r="H216" s="298"/>
      <c r="I216" s="196"/>
    </row>
    <row r="217" spans="1:9" s="261" customFormat="1" ht="12.75" hidden="1" customHeight="1" x14ac:dyDescent="0.2">
      <c r="A217" s="195"/>
      <c r="B217" s="196"/>
      <c r="C217" s="219"/>
      <c r="D217" s="232" t="s">
        <v>328</v>
      </c>
      <c r="E217" s="198"/>
      <c r="F217" s="329"/>
      <c r="G217" s="198"/>
      <c r="H217" s="298"/>
    </row>
    <row r="218" spans="1:9" s="261" customFormat="1" ht="12.75" hidden="1" customHeight="1" x14ac:dyDescent="0.2">
      <c r="A218" s="195"/>
      <c r="B218" s="196"/>
      <c r="C218" s="219"/>
      <c r="D218" s="232" t="s">
        <v>289</v>
      </c>
      <c r="E218" s="198"/>
      <c r="F218" s="329"/>
      <c r="G218" s="198"/>
      <c r="H218" s="298"/>
      <c r="I218" s="196"/>
    </row>
    <row r="219" spans="1:9" s="261" customFormat="1" ht="12.75" hidden="1" customHeight="1" x14ac:dyDescent="0.2">
      <c r="A219" s="195"/>
      <c r="B219" s="196"/>
      <c r="C219" s="219"/>
      <c r="D219" s="232" t="s">
        <v>258</v>
      </c>
      <c r="E219" s="198"/>
      <c r="F219" s="329"/>
      <c r="G219" s="198"/>
      <c r="H219" s="298"/>
    </row>
    <row r="220" spans="1:9" s="261" customFormat="1" ht="12.75" hidden="1" customHeight="1" x14ac:dyDescent="0.2">
      <c r="A220" s="195"/>
      <c r="B220" s="196"/>
      <c r="C220" s="219"/>
      <c r="D220" s="232" t="s">
        <v>290</v>
      </c>
      <c r="E220" s="198"/>
      <c r="F220" s="329"/>
      <c r="G220" s="198"/>
      <c r="H220" s="260"/>
      <c r="I220" s="318"/>
    </row>
    <row r="221" spans="1:9" s="261" customFormat="1" ht="12.75" hidden="1" customHeight="1" x14ac:dyDescent="0.2">
      <c r="A221" s="195"/>
      <c r="B221" s="196"/>
      <c r="C221" s="231"/>
      <c r="D221" s="343" t="s">
        <v>333</v>
      </c>
      <c r="E221" s="198"/>
      <c r="F221" s="329"/>
      <c r="G221" s="198"/>
      <c r="H221" s="298"/>
      <c r="I221" s="323"/>
    </row>
    <row r="222" spans="1:9" s="261" customFormat="1" ht="12.75" hidden="1" customHeight="1" x14ac:dyDescent="0.2">
      <c r="A222" s="195"/>
      <c r="B222" s="196"/>
      <c r="C222" s="219"/>
      <c r="D222" s="278" t="s">
        <v>335</v>
      </c>
      <c r="E222" s="198"/>
      <c r="F222" s="329"/>
      <c r="G222" s="198"/>
      <c r="H222" s="260"/>
      <c r="I222" s="318"/>
    </row>
    <row r="223" spans="1:9" s="261" customFormat="1" ht="12.75" customHeight="1" x14ac:dyDescent="0.2">
      <c r="A223" s="199">
        <f>A213+1</f>
        <v>23</v>
      </c>
      <c r="B223" s="200">
        <v>3441</v>
      </c>
      <c r="C223" s="263" t="s">
        <v>229</v>
      </c>
      <c r="D223" s="279" t="str">
        <f>$D$5</f>
        <v>FTE April  2024</v>
      </c>
      <c r="E223" s="201">
        <f>'3441'!I$145</f>
        <v>342327.14</v>
      </c>
      <c r="F223" s="328"/>
      <c r="G223" s="201">
        <f>SUBTOTAL(109,E223:F231)</f>
        <v>342327.14</v>
      </c>
      <c r="H223" s="298"/>
    </row>
    <row r="224" spans="1:9" s="261" customFormat="1" ht="12.75" hidden="1" customHeight="1" x14ac:dyDescent="0.2">
      <c r="A224" s="199"/>
      <c r="B224" s="200"/>
      <c r="C224" s="263"/>
      <c r="D224" s="233" t="s">
        <v>279</v>
      </c>
      <c r="E224" s="201"/>
      <c r="F224" s="328"/>
      <c r="G224" s="201"/>
      <c r="H224" s="298"/>
    </row>
    <row r="225" spans="1:9" s="261" customFormat="1" ht="12.75" hidden="1" customHeight="1" x14ac:dyDescent="0.2">
      <c r="A225" s="199"/>
      <c r="B225" s="200"/>
      <c r="C225" s="220"/>
      <c r="D225" s="374" t="s">
        <v>470</v>
      </c>
      <c r="E225" s="201"/>
      <c r="F225" s="328"/>
      <c r="G225" s="201"/>
      <c r="H225" s="298"/>
      <c r="I225" s="196"/>
    </row>
    <row r="226" spans="1:9" s="261" customFormat="1" ht="12.75" hidden="1" customHeight="1" x14ac:dyDescent="0.2">
      <c r="A226" s="199"/>
      <c r="B226" s="200"/>
      <c r="C226" s="263"/>
      <c r="D226" s="233" t="s">
        <v>281</v>
      </c>
      <c r="E226" s="201"/>
      <c r="F226" s="328"/>
      <c r="G226" s="201"/>
      <c r="H226" s="298"/>
    </row>
    <row r="227" spans="1:9" s="261" customFormat="1" ht="12.75" hidden="1" customHeight="1" x14ac:dyDescent="0.2">
      <c r="A227" s="199"/>
      <c r="B227" s="200"/>
      <c r="C227" s="220"/>
      <c r="D227" s="233" t="s">
        <v>280</v>
      </c>
      <c r="E227" s="201"/>
      <c r="F227" s="328"/>
      <c r="G227" s="201"/>
      <c r="H227" s="298"/>
      <c r="I227" s="196"/>
    </row>
    <row r="228" spans="1:9" s="261" customFormat="1" ht="12.75" hidden="1" customHeight="1" x14ac:dyDescent="0.2">
      <c r="A228" s="199"/>
      <c r="B228" s="200"/>
      <c r="C228" s="220"/>
      <c r="D228" s="233" t="s">
        <v>289</v>
      </c>
      <c r="E228" s="201"/>
      <c r="F228" s="328"/>
      <c r="G228" s="201"/>
      <c r="H228" s="298"/>
      <c r="I228" s="196"/>
    </row>
    <row r="229" spans="1:9" s="261" customFormat="1" ht="12.75" hidden="1" customHeight="1" x14ac:dyDescent="0.2">
      <c r="A229" s="199"/>
      <c r="B229" s="200"/>
      <c r="C229" s="220"/>
      <c r="D229" s="233" t="s">
        <v>258</v>
      </c>
      <c r="E229" s="201"/>
      <c r="F229" s="328"/>
      <c r="G229" s="201"/>
      <c r="H229" s="298"/>
      <c r="I229" s="318"/>
    </row>
    <row r="230" spans="1:9" s="261" customFormat="1" ht="12.75" hidden="1" customHeight="1" x14ac:dyDescent="0.2">
      <c r="A230" s="199"/>
      <c r="B230" s="200"/>
      <c r="C230" s="220"/>
      <c r="D230" s="233" t="s">
        <v>290</v>
      </c>
      <c r="E230" s="201"/>
      <c r="F230" s="328"/>
      <c r="G230" s="201"/>
      <c r="H230" s="298"/>
      <c r="I230" s="286"/>
    </row>
    <row r="231" spans="1:9" s="261" customFormat="1" ht="12.75" hidden="1" customHeight="1" x14ac:dyDescent="0.2">
      <c r="A231" s="199"/>
      <c r="B231" s="200"/>
      <c r="C231" s="220"/>
      <c r="D231" s="280" t="s">
        <v>319</v>
      </c>
      <c r="E231" s="201"/>
      <c r="F231" s="328"/>
      <c r="G231" s="201"/>
      <c r="H231" s="298"/>
      <c r="I231" s="323"/>
    </row>
    <row r="232" spans="1:9" s="261" customFormat="1" ht="12.75" customHeight="1" x14ac:dyDescent="0.2">
      <c r="A232" s="195">
        <f>A223+1</f>
        <v>24</v>
      </c>
      <c r="B232" s="196">
        <v>3924</v>
      </c>
      <c r="C232" s="262" t="s">
        <v>353</v>
      </c>
      <c r="D232" s="495" t="str">
        <f>$D$5</f>
        <v>FTE April  2024</v>
      </c>
      <c r="E232" s="198">
        <f>'3924'!I$145</f>
        <v>280777.25</v>
      </c>
      <c r="F232" s="329"/>
      <c r="G232" s="198">
        <f>SUBTOTAL(109,E232:F241)</f>
        <v>280777.25</v>
      </c>
      <c r="H232" s="298"/>
    </row>
    <row r="233" spans="1:9" s="261" customFormat="1" ht="12.75" hidden="1" customHeight="1" x14ac:dyDescent="0.2">
      <c r="A233" s="195"/>
      <c r="B233" s="196"/>
      <c r="C233" s="219"/>
      <c r="D233" s="232" t="s">
        <v>279</v>
      </c>
      <c r="E233" s="198"/>
      <c r="F233" s="329"/>
      <c r="G233" s="198"/>
      <c r="H233" s="298"/>
    </row>
    <row r="234" spans="1:9" s="261" customFormat="1" ht="12.75" hidden="1" customHeight="1" x14ac:dyDescent="0.2">
      <c r="A234" s="195"/>
      <c r="B234" s="196"/>
      <c r="C234" s="219"/>
      <c r="D234" s="342" t="s">
        <v>470</v>
      </c>
      <c r="E234" s="198"/>
      <c r="F234" s="329"/>
      <c r="G234" s="198"/>
      <c r="H234" s="298"/>
    </row>
    <row r="235" spans="1:9" s="261" customFormat="1" ht="12.75" hidden="1" customHeight="1" x14ac:dyDescent="0.2">
      <c r="A235" s="195"/>
      <c r="B235" s="196"/>
      <c r="C235" s="219"/>
      <c r="D235" s="342" t="s">
        <v>336</v>
      </c>
      <c r="E235" s="198"/>
      <c r="F235" s="329"/>
      <c r="G235" s="198"/>
      <c r="H235" s="260"/>
      <c r="I235" s="231"/>
    </row>
    <row r="236" spans="1:9" s="261" customFormat="1" ht="12.75" hidden="1" customHeight="1" x14ac:dyDescent="0.2">
      <c r="A236" s="195"/>
      <c r="B236" s="196"/>
      <c r="C236" s="219"/>
      <c r="D236" s="232" t="s">
        <v>281</v>
      </c>
      <c r="E236" s="198"/>
      <c r="F236" s="329"/>
      <c r="G236" s="198"/>
      <c r="H236" s="298"/>
    </row>
    <row r="237" spans="1:9" s="261" customFormat="1" ht="12.75" hidden="1" customHeight="1" x14ac:dyDescent="0.2">
      <c r="A237" s="195"/>
      <c r="B237" s="196"/>
      <c r="C237" s="219"/>
      <c r="D237" s="232" t="s">
        <v>280</v>
      </c>
      <c r="E237" s="198"/>
      <c r="F237" s="329"/>
      <c r="G237" s="198"/>
      <c r="H237" s="298"/>
    </row>
    <row r="238" spans="1:9" s="261" customFormat="1" ht="12.75" hidden="1" customHeight="1" x14ac:dyDescent="0.2">
      <c r="A238" s="195"/>
      <c r="B238" s="196"/>
      <c r="C238" s="219"/>
      <c r="D238" s="232" t="s">
        <v>289</v>
      </c>
      <c r="E238" s="198"/>
      <c r="F238" s="329"/>
      <c r="G238" s="198"/>
      <c r="H238" s="298"/>
      <c r="I238" s="196"/>
    </row>
    <row r="239" spans="1:9" s="261" customFormat="1" ht="12.75" hidden="1" customHeight="1" x14ac:dyDescent="0.2">
      <c r="A239" s="195"/>
      <c r="B239" s="196"/>
      <c r="C239" s="219"/>
      <c r="D239" s="232" t="s">
        <v>258</v>
      </c>
      <c r="E239" s="198"/>
      <c r="F239" s="329"/>
      <c r="G239" s="198"/>
      <c r="H239" s="260"/>
      <c r="I239" s="318"/>
    </row>
    <row r="240" spans="1:9" s="261" customFormat="1" ht="12.75" hidden="1" customHeight="1" x14ac:dyDescent="0.2">
      <c r="A240" s="195"/>
      <c r="B240" s="196"/>
      <c r="C240" s="231"/>
      <c r="D240" s="343" t="s">
        <v>333</v>
      </c>
      <c r="E240" s="198"/>
      <c r="F240" s="329"/>
      <c r="G240" s="198"/>
      <c r="H240" s="298"/>
    </row>
    <row r="241" spans="1:9" s="261" customFormat="1" ht="12.75" hidden="1" customHeight="1" x14ac:dyDescent="0.2">
      <c r="A241" s="195"/>
      <c r="B241" s="196"/>
      <c r="C241" s="219"/>
      <c r="D241" s="278" t="s">
        <v>364</v>
      </c>
      <c r="E241" s="198"/>
      <c r="F241" s="329"/>
      <c r="G241" s="198"/>
      <c r="H241" s="298"/>
    </row>
    <row r="242" spans="1:9" s="261" customFormat="1" ht="12.75" customHeight="1" x14ac:dyDescent="0.2">
      <c r="A242" s="199">
        <f>A232+1</f>
        <v>25</v>
      </c>
      <c r="B242" s="200" t="s">
        <v>181</v>
      </c>
      <c r="C242" s="220" t="s">
        <v>192</v>
      </c>
      <c r="D242" s="279" t="str">
        <f>$D$5</f>
        <v>FTE April  2024</v>
      </c>
      <c r="E242" s="201">
        <f>'3941'!I$145</f>
        <v>178109.88</v>
      </c>
      <c r="F242" s="328"/>
      <c r="G242" s="201">
        <f>SUBTOTAL(109,E242:F251)</f>
        <v>178109.88</v>
      </c>
      <c r="H242" s="298"/>
    </row>
    <row r="243" spans="1:9" s="261" customFormat="1" ht="12.75" hidden="1" customHeight="1" x14ac:dyDescent="0.2">
      <c r="A243" s="199"/>
      <c r="B243" s="200"/>
      <c r="C243" s="220"/>
      <c r="D243" s="233" t="s">
        <v>279</v>
      </c>
      <c r="E243" s="201"/>
      <c r="F243" s="328"/>
      <c r="G243" s="201"/>
      <c r="H243" s="298"/>
    </row>
    <row r="244" spans="1:9" s="261" customFormat="1" ht="12.75" hidden="1" customHeight="1" x14ac:dyDescent="0.2">
      <c r="A244" s="199"/>
      <c r="B244" s="200"/>
      <c r="C244" s="220"/>
      <c r="D244" s="374" t="s">
        <v>470</v>
      </c>
      <c r="E244" s="201"/>
      <c r="F244" s="328"/>
      <c r="G244" s="201"/>
      <c r="H244" s="298"/>
      <c r="I244" s="196"/>
    </row>
    <row r="245" spans="1:9" s="261" customFormat="1" ht="12.75" hidden="1" customHeight="1" x14ac:dyDescent="0.2">
      <c r="A245" s="199"/>
      <c r="B245" s="200"/>
      <c r="C245" s="220"/>
      <c r="D245" s="233" t="s">
        <v>281</v>
      </c>
      <c r="E245" s="201"/>
      <c r="F245" s="328"/>
      <c r="G245" s="201"/>
      <c r="H245" s="298"/>
      <c r="I245" s="196"/>
    </row>
    <row r="246" spans="1:9" s="261" customFormat="1" ht="12.75" hidden="1" customHeight="1" x14ac:dyDescent="0.2">
      <c r="A246" s="199"/>
      <c r="B246" s="200"/>
      <c r="C246" s="220"/>
      <c r="D246" s="233" t="s">
        <v>280</v>
      </c>
      <c r="E246" s="201"/>
      <c r="F246" s="328"/>
      <c r="G246" s="201"/>
      <c r="H246" s="298"/>
    </row>
    <row r="247" spans="1:9" s="261" customFormat="1" ht="12.75" hidden="1" customHeight="1" x14ac:dyDescent="0.2">
      <c r="A247" s="199"/>
      <c r="B247" s="200"/>
      <c r="C247" s="220"/>
      <c r="D247" s="233" t="s">
        <v>289</v>
      </c>
      <c r="E247" s="201"/>
      <c r="F247" s="328"/>
      <c r="G247" s="201"/>
      <c r="H247" s="298"/>
    </row>
    <row r="248" spans="1:9" s="261" customFormat="1" ht="12.75" hidden="1" customHeight="1" x14ac:dyDescent="0.2">
      <c r="A248" s="199"/>
      <c r="B248" s="200"/>
      <c r="C248" s="220"/>
      <c r="D248" s="233" t="s">
        <v>258</v>
      </c>
      <c r="E248" s="201"/>
      <c r="F248" s="328"/>
      <c r="G248" s="201"/>
      <c r="H248" s="298"/>
    </row>
    <row r="249" spans="1:9" s="261" customFormat="1" ht="12.75" hidden="1" customHeight="1" x14ac:dyDescent="0.2">
      <c r="A249" s="199"/>
      <c r="B249" s="200"/>
      <c r="C249" s="220"/>
      <c r="D249" s="233" t="s">
        <v>314</v>
      </c>
      <c r="E249" s="201"/>
      <c r="F249" s="328"/>
      <c r="G249" s="201"/>
      <c r="H249" s="298"/>
      <c r="I249" s="318"/>
    </row>
    <row r="250" spans="1:9" s="261" customFormat="1" ht="12.75" hidden="1" customHeight="1" x14ac:dyDescent="0.2">
      <c r="A250" s="199"/>
      <c r="B250" s="200"/>
      <c r="C250" s="220"/>
      <c r="D250" s="233" t="s">
        <v>333</v>
      </c>
      <c r="E250" s="201"/>
      <c r="F250" s="328"/>
      <c r="G250" s="201"/>
      <c r="H250" s="298"/>
      <c r="I250" s="323"/>
    </row>
    <row r="251" spans="1:9" s="261" customFormat="1" ht="12.75" hidden="1" customHeight="1" x14ac:dyDescent="0.2">
      <c r="A251" s="199"/>
      <c r="B251" s="200"/>
      <c r="C251" s="220"/>
      <c r="D251" s="233"/>
      <c r="E251" s="201"/>
      <c r="F251" s="328"/>
      <c r="G251" s="201"/>
      <c r="H251" s="298"/>
      <c r="I251" s="318"/>
    </row>
    <row r="252" spans="1:9" s="261" customFormat="1" ht="12.75" customHeight="1" x14ac:dyDescent="0.2">
      <c r="A252" s="195">
        <f>A242+1</f>
        <v>26</v>
      </c>
      <c r="B252" s="196" t="s">
        <v>182</v>
      </c>
      <c r="C252" s="219" t="s">
        <v>202</v>
      </c>
      <c r="D252" s="495" t="str">
        <f>$D$5</f>
        <v>FTE April  2024</v>
      </c>
      <c r="E252" s="198">
        <f>'3961'!I$145</f>
        <v>206314.95</v>
      </c>
      <c r="F252" s="329"/>
      <c r="G252" s="198">
        <f>SUBTOTAL(109,E252:F259)</f>
        <v>206314.95</v>
      </c>
      <c r="H252" s="298"/>
    </row>
    <row r="253" spans="1:9" s="261" customFormat="1" ht="12.75" hidden="1" customHeight="1" x14ac:dyDescent="0.2">
      <c r="A253" s="195"/>
      <c r="B253" s="196"/>
      <c r="C253" s="219"/>
      <c r="D253" s="232" t="s">
        <v>279</v>
      </c>
      <c r="E253" s="198"/>
      <c r="F253" s="329"/>
      <c r="G253" s="198"/>
      <c r="H253" s="298"/>
    </row>
    <row r="254" spans="1:9" s="261" customFormat="1" ht="12.75" hidden="1" customHeight="1" x14ac:dyDescent="0.2">
      <c r="A254" s="195"/>
      <c r="B254" s="196"/>
      <c r="C254" s="219"/>
      <c r="D254" s="342" t="s">
        <v>470</v>
      </c>
      <c r="E254" s="198"/>
      <c r="F254" s="329"/>
      <c r="G254" s="198"/>
      <c r="H254" s="298"/>
      <c r="I254" s="196"/>
    </row>
    <row r="255" spans="1:9" s="261" customFormat="1" ht="12.75" hidden="1" customHeight="1" x14ac:dyDescent="0.2">
      <c r="A255" s="195"/>
      <c r="B255" s="196"/>
      <c r="C255" s="219"/>
      <c r="D255" s="232" t="s">
        <v>281</v>
      </c>
      <c r="E255" s="198"/>
      <c r="F255" s="329"/>
      <c r="G255" s="198"/>
      <c r="H255" s="298"/>
    </row>
    <row r="256" spans="1:9" s="261" customFormat="1" ht="12.75" hidden="1" customHeight="1" x14ac:dyDescent="0.2">
      <c r="A256" s="195"/>
      <c r="B256" s="196"/>
      <c r="C256" s="219"/>
      <c r="D256" s="232" t="s">
        <v>280</v>
      </c>
      <c r="E256" s="198"/>
      <c r="F256" s="329"/>
      <c r="G256" s="198"/>
      <c r="H256" s="298"/>
    </row>
    <row r="257" spans="1:9" s="261" customFormat="1" ht="12.75" hidden="1" customHeight="1" x14ac:dyDescent="0.2">
      <c r="A257" s="195"/>
      <c r="B257" s="196"/>
      <c r="C257" s="219"/>
      <c r="D257" s="232" t="s">
        <v>289</v>
      </c>
      <c r="E257" s="198"/>
      <c r="F257" s="329"/>
      <c r="G257" s="198"/>
      <c r="H257" s="298"/>
    </row>
    <row r="258" spans="1:9" s="261" customFormat="1" ht="12.75" hidden="1" customHeight="1" x14ac:dyDescent="0.2">
      <c r="A258" s="195"/>
      <c r="B258" s="196"/>
      <c r="C258" s="219"/>
      <c r="D258" s="232" t="s">
        <v>258</v>
      </c>
      <c r="E258" s="198"/>
      <c r="F258" s="329"/>
      <c r="G258" s="198"/>
      <c r="H258" s="260"/>
      <c r="I258" s="318"/>
    </row>
    <row r="259" spans="1:9" s="261" customFormat="1" ht="12.75" hidden="1" customHeight="1" x14ac:dyDescent="0.2">
      <c r="A259" s="195"/>
      <c r="B259" s="196"/>
      <c r="C259" s="231"/>
      <c r="D259" s="278" t="s">
        <v>334</v>
      </c>
      <c r="E259" s="198"/>
      <c r="F259" s="329"/>
      <c r="G259" s="198"/>
      <c r="H259" s="260"/>
      <c r="I259" s="318"/>
    </row>
    <row r="260" spans="1:9" s="261" customFormat="1" ht="12.75" customHeight="1" x14ac:dyDescent="0.2">
      <c r="A260" s="199">
        <f>A252+1</f>
        <v>27</v>
      </c>
      <c r="B260" s="200" t="s">
        <v>183</v>
      </c>
      <c r="C260" s="220" t="s">
        <v>315</v>
      </c>
      <c r="D260" s="279" t="str">
        <f>$D$5</f>
        <v>FTE April  2024</v>
      </c>
      <c r="E260" s="201">
        <f>'3971'!I$145</f>
        <v>556520.71</v>
      </c>
      <c r="F260" s="328"/>
      <c r="G260" s="201">
        <f>SUBTOTAL(109,E260:F267)</f>
        <v>556520.71</v>
      </c>
      <c r="H260" s="260"/>
      <c r="I260" s="318"/>
    </row>
    <row r="261" spans="1:9" s="261" customFormat="1" ht="12.75" hidden="1" customHeight="1" x14ac:dyDescent="0.2">
      <c r="A261" s="199"/>
      <c r="B261" s="200"/>
      <c r="C261" s="220"/>
      <c r="D261" s="233" t="s">
        <v>279</v>
      </c>
      <c r="E261" s="201"/>
      <c r="F261" s="328"/>
      <c r="G261" s="201"/>
      <c r="H261" s="298"/>
    </row>
    <row r="262" spans="1:9" s="261" customFormat="1" ht="12.75" hidden="1" customHeight="1" x14ac:dyDescent="0.2">
      <c r="A262" s="199"/>
      <c r="B262" s="200"/>
      <c r="C262" s="220"/>
      <c r="D262" s="374" t="s">
        <v>470</v>
      </c>
      <c r="E262" s="201"/>
      <c r="F262" s="328"/>
      <c r="G262" s="201"/>
      <c r="H262" s="298"/>
    </row>
    <row r="263" spans="1:9" s="261" customFormat="1" ht="12.75" hidden="1" customHeight="1" x14ac:dyDescent="0.2">
      <c r="A263" s="199"/>
      <c r="B263" s="200"/>
      <c r="C263" s="220"/>
      <c r="D263" s="233" t="s">
        <v>281</v>
      </c>
      <c r="E263" s="201"/>
      <c r="F263" s="328"/>
      <c r="G263" s="201"/>
      <c r="H263" s="298"/>
    </row>
    <row r="264" spans="1:9" s="261" customFormat="1" ht="12.75" hidden="1" customHeight="1" x14ac:dyDescent="0.2">
      <c r="A264" s="199"/>
      <c r="B264" s="200"/>
      <c r="C264" s="220"/>
      <c r="D264" s="233" t="s">
        <v>280</v>
      </c>
      <c r="E264" s="201"/>
      <c r="F264" s="328"/>
      <c r="G264" s="201"/>
      <c r="H264" s="298"/>
      <c r="I264" s="196"/>
    </row>
    <row r="265" spans="1:9" s="261" customFormat="1" ht="12.75" hidden="1" customHeight="1" x14ac:dyDescent="0.2">
      <c r="A265" s="199"/>
      <c r="B265" s="200"/>
      <c r="C265" s="220"/>
      <c r="D265" s="233" t="s">
        <v>289</v>
      </c>
      <c r="E265" s="201"/>
      <c r="F265" s="328"/>
      <c r="G265" s="201"/>
      <c r="H265" s="298"/>
    </row>
    <row r="266" spans="1:9" s="261" customFormat="1" ht="12.75" hidden="1" customHeight="1" x14ac:dyDescent="0.2">
      <c r="A266" s="199"/>
      <c r="B266" s="200"/>
      <c r="C266" s="220"/>
      <c r="D266" s="233" t="s">
        <v>258</v>
      </c>
      <c r="E266" s="201"/>
      <c r="F266" s="328"/>
      <c r="G266" s="201"/>
      <c r="H266" s="298"/>
    </row>
    <row r="267" spans="1:9" s="261" customFormat="1" ht="12.75" hidden="1" customHeight="1" x14ac:dyDescent="0.2">
      <c r="A267" s="199"/>
      <c r="B267" s="200"/>
      <c r="C267" s="220"/>
      <c r="D267" s="280" t="s">
        <v>340</v>
      </c>
      <c r="E267" s="201"/>
      <c r="F267" s="328"/>
      <c r="G267" s="201"/>
      <c r="H267" s="298"/>
      <c r="I267" s="188"/>
    </row>
    <row r="268" spans="1:9" s="261" customFormat="1" ht="12.75" customHeight="1" x14ac:dyDescent="0.2">
      <c r="A268" s="195">
        <f>A260+1</f>
        <v>28</v>
      </c>
      <c r="B268" s="196" t="s">
        <v>184</v>
      </c>
      <c r="C268" s="219" t="s">
        <v>220</v>
      </c>
      <c r="D268" s="495" t="str">
        <f>$D$5</f>
        <v>FTE April  2024</v>
      </c>
      <c r="E268" s="366">
        <f>'4001'!I$145</f>
        <v>491331.78</v>
      </c>
      <c r="F268" s="329"/>
      <c r="G268" s="198">
        <f>SUBTOTAL(109,E268:F276)</f>
        <v>491331.78</v>
      </c>
      <c r="H268" s="298"/>
      <c r="I268" s="318"/>
    </row>
    <row r="269" spans="1:9" ht="12.75" hidden="1" customHeight="1" x14ac:dyDescent="0.2">
      <c r="A269" s="195"/>
      <c r="B269" s="196"/>
      <c r="C269" s="219"/>
      <c r="D269" s="232" t="s">
        <v>279</v>
      </c>
      <c r="E269" s="198"/>
      <c r="F269" s="329"/>
      <c r="G269" s="198"/>
      <c r="H269" s="299"/>
      <c r="I269" s="261"/>
    </row>
    <row r="270" spans="1:9" s="261" customFormat="1" ht="12.75" hidden="1" customHeight="1" x14ac:dyDescent="0.2">
      <c r="A270" s="195"/>
      <c r="B270" s="196"/>
      <c r="C270" s="219"/>
      <c r="D270" s="342" t="s">
        <v>470</v>
      </c>
      <c r="E270" s="198"/>
      <c r="F270" s="329"/>
      <c r="G270" s="198"/>
      <c r="H270" s="298"/>
    </row>
    <row r="271" spans="1:9" s="261" customFormat="1" ht="12.75" hidden="1" customHeight="1" x14ac:dyDescent="0.2">
      <c r="A271" s="195"/>
      <c r="B271" s="196"/>
      <c r="C271" s="219"/>
      <c r="D271" s="232" t="s">
        <v>281</v>
      </c>
      <c r="E271" s="198"/>
      <c r="F271" s="329"/>
      <c r="G271" s="198"/>
      <c r="H271" s="298"/>
    </row>
    <row r="272" spans="1:9" s="261" customFormat="1" ht="12.75" hidden="1" customHeight="1" x14ac:dyDescent="0.2">
      <c r="A272" s="195"/>
      <c r="B272" s="196"/>
      <c r="C272" s="219"/>
      <c r="D272" s="232" t="s">
        <v>280</v>
      </c>
      <c r="E272" s="198"/>
      <c r="F272" s="329"/>
      <c r="G272" s="198"/>
      <c r="H272" s="298"/>
      <c r="I272" s="196"/>
    </row>
    <row r="273" spans="1:9" s="261" customFormat="1" ht="12.75" hidden="1" customHeight="1" x14ac:dyDescent="0.2">
      <c r="A273" s="195"/>
      <c r="B273" s="196"/>
      <c r="C273" s="219"/>
      <c r="D273" s="232" t="s">
        <v>289</v>
      </c>
      <c r="E273" s="198"/>
      <c r="F273" s="329"/>
      <c r="G273" s="198"/>
      <c r="H273" s="298"/>
    </row>
    <row r="274" spans="1:9" s="261" customFormat="1" ht="12.75" hidden="1" customHeight="1" x14ac:dyDescent="0.2">
      <c r="A274" s="195"/>
      <c r="B274" s="196"/>
      <c r="C274" s="219"/>
      <c r="D274" s="232" t="s">
        <v>258</v>
      </c>
      <c r="E274" s="198"/>
      <c r="F274" s="329"/>
      <c r="G274" s="198"/>
      <c r="H274" s="298"/>
    </row>
    <row r="275" spans="1:9" s="261" customFormat="1" ht="12.75" hidden="1" customHeight="1" x14ac:dyDescent="0.2">
      <c r="A275" s="195"/>
      <c r="B275" s="196"/>
      <c r="C275" s="219"/>
      <c r="D275" s="232" t="s">
        <v>333</v>
      </c>
      <c r="E275" s="198"/>
      <c r="F275" s="329"/>
      <c r="G275" s="198"/>
      <c r="H275" s="298"/>
    </row>
    <row r="276" spans="1:9" s="261" customFormat="1" ht="12.75" hidden="1" customHeight="1" x14ac:dyDescent="0.2">
      <c r="A276" s="195"/>
      <c r="B276" s="196"/>
      <c r="C276" s="219"/>
      <c r="D276" s="278" t="s">
        <v>319</v>
      </c>
      <c r="E276" s="198"/>
      <c r="F276" s="329"/>
      <c r="G276" s="198"/>
      <c r="H276" s="260"/>
      <c r="I276" s="318"/>
    </row>
    <row r="277" spans="1:9" s="261" customFormat="1" ht="12.75" customHeight="1" x14ac:dyDescent="0.2">
      <c r="A277" s="199">
        <f>A268+1</f>
        <v>29</v>
      </c>
      <c r="B277" s="200">
        <v>4002</v>
      </c>
      <c r="C277" s="220" t="s">
        <v>219</v>
      </c>
      <c r="D277" s="279" t="str">
        <f>$D$5</f>
        <v>FTE April  2024</v>
      </c>
      <c r="E277" s="201">
        <f>'4002'!I$145</f>
        <v>679995.13</v>
      </c>
      <c r="F277" s="328"/>
      <c r="G277" s="201">
        <f>SUBTOTAL(109,E277:F286)</f>
        <v>679995.13</v>
      </c>
      <c r="H277" s="298"/>
    </row>
    <row r="278" spans="1:9" s="261" customFormat="1" ht="12.75" hidden="1" customHeight="1" x14ac:dyDescent="0.2">
      <c r="A278" s="199"/>
      <c r="B278" s="200"/>
      <c r="C278" s="220"/>
      <c r="D278" s="233" t="s">
        <v>279</v>
      </c>
      <c r="E278" s="201"/>
      <c r="F278" s="328"/>
      <c r="G278" s="201"/>
      <c r="H278" s="298"/>
    </row>
    <row r="279" spans="1:9" s="261" customFormat="1" ht="12.75" hidden="1" customHeight="1" x14ac:dyDescent="0.2">
      <c r="A279" s="199"/>
      <c r="B279" s="200"/>
      <c r="C279" s="220"/>
      <c r="D279" s="374" t="s">
        <v>470</v>
      </c>
      <c r="E279" s="201"/>
      <c r="F279" s="328"/>
      <c r="G279" s="201"/>
      <c r="H279" s="298"/>
    </row>
    <row r="280" spans="1:9" s="261" customFormat="1" ht="12.75" hidden="1" customHeight="1" x14ac:dyDescent="0.2">
      <c r="A280" s="199"/>
      <c r="B280" s="200"/>
      <c r="C280" s="220"/>
      <c r="D280" s="233" t="s">
        <v>281</v>
      </c>
      <c r="E280" s="201"/>
      <c r="F280" s="328"/>
      <c r="G280" s="201"/>
      <c r="H280" s="298"/>
      <c r="I280" s="196"/>
    </row>
    <row r="281" spans="1:9" s="261" customFormat="1" ht="12.75" hidden="1" customHeight="1" x14ac:dyDescent="0.2">
      <c r="A281" s="199"/>
      <c r="B281" s="200"/>
      <c r="C281" s="220"/>
      <c r="D281" s="233" t="s">
        <v>280</v>
      </c>
      <c r="E281" s="201"/>
      <c r="F281" s="328"/>
      <c r="G281" s="201"/>
      <c r="H281" s="298"/>
    </row>
    <row r="282" spans="1:9" s="261" customFormat="1" ht="12.75" hidden="1" customHeight="1" x14ac:dyDescent="0.2">
      <c r="A282" s="199"/>
      <c r="B282" s="200"/>
      <c r="C282" s="220"/>
      <c r="D282" s="233" t="s">
        <v>289</v>
      </c>
      <c r="E282" s="201"/>
      <c r="F282" s="328"/>
      <c r="G282" s="201"/>
      <c r="H282" s="298"/>
    </row>
    <row r="283" spans="1:9" s="261" customFormat="1" ht="12.75" hidden="1" customHeight="1" x14ac:dyDescent="0.2">
      <c r="A283" s="199"/>
      <c r="B283" s="200"/>
      <c r="C283" s="220"/>
      <c r="D283" s="233" t="s">
        <v>258</v>
      </c>
      <c r="E283" s="201"/>
      <c r="F283" s="328"/>
      <c r="G283" s="201"/>
      <c r="H283" s="298"/>
    </row>
    <row r="284" spans="1:9" s="261" customFormat="1" ht="12.75" hidden="1" customHeight="1" x14ac:dyDescent="0.2">
      <c r="A284" s="199"/>
      <c r="B284" s="200"/>
      <c r="C284" s="220"/>
      <c r="D284" s="233" t="s">
        <v>332</v>
      </c>
      <c r="E284" s="201"/>
      <c r="F284" s="328"/>
      <c r="G284" s="201"/>
      <c r="H284" s="260"/>
      <c r="I284" s="318"/>
    </row>
    <row r="285" spans="1:9" s="261" customFormat="1" ht="12.75" hidden="1" customHeight="1" x14ac:dyDescent="0.2">
      <c r="A285" s="199"/>
      <c r="B285" s="200"/>
      <c r="C285" s="220"/>
      <c r="D285" s="233" t="s">
        <v>333</v>
      </c>
      <c r="E285" s="201"/>
      <c r="F285" s="328"/>
      <c r="G285" s="201"/>
      <c r="H285" s="298"/>
      <c r="I285" s="318"/>
    </row>
    <row r="286" spans="1:9" s="261" customFormat="1" ht="12.75" hidden="1" customHeight="1" x14ac:dyDescent="0.2">
      <c r="A286" s="199"/>
      <c r="B286" s="200"/>
      <c r="C286" s="220"/>
      <c r="D286" s="233" t="s">
        <v>329</v>
      </c>
      <c r="E286" s="201"/>
      <c r="F286" s="328"/>
      <c r="G286" s="201"/>
      <c r="H286" s="298"/>
    </row>
    <row r="287" spans="1:9" s="261" customFormat="1" ht="12.75" customHeight="1" x14ac:dyDescent="0.2">
      <c r="A287" s="195">
        <f>A277+1</f>
        <v>30</v>
      </c>
      <c r="B287" s="196">
        <v>4012</v>
      </c>
      <c r="C287" s="219" t="s">
        <v>222</v>
      </c>
      <c r="D287" s="495" t="str">
        <f>$D$5</f>
        <v>FTE April  2024</v>
      </c>
      <c r="E287" s="198">
        <f>'4012'!I$145</f>
        <v>423433.32</v>
      </c>
      <c r="F287" s="329"/>
      <c r="G287" s="198">
        <f>SUBTOTAL(109,E287:F294)</f>
        <v>423433.32</v>
      </c>
      <c r="H287" s="298"/>
    </row>
    <row r="288" spans="1:9" s="261" customFormat="1" ht="12.75" hidden="1" customHeight="1" x14ac:dyDescent="0.2">
      <c r="A288" s="195"/>
      <c r="B288" s="196"/>
      <c r="C288" s="219"/>
      <c r="D288" s="232" t="s">
        <v>279</v>
      </c>
      <c r="E288" s="198"/>
      <c r="F288" s="329"/>
      <c r="G288" s="198"/>
      <c r="H288" s="298"/>
    </row>
    <row r="289" spans="1:9" s="261" customFormat="1" ht="12.75" hidden="1" customHeight="1" x14ac:dyDescent="0.2">
      <c r="A289" s="195"/>
      <c r="B289" s="196"/>
      <c r="C289" s="219"/>
      <c r="D289" s="232" t="s">
        <v>470</v>
      </c>
      <c r="E289" s="198"/>
      <c r="F289" s="329"/>
      <c r="G289" s="198"/>
      <c r="H289" s="298"/>
      <c r="I289" s="196"/>
    </row>
    <row r="290" spans="1:9" s="261" customFormat="1" ht="12.75" hidden="1" customHeight="1" x14ac:dyDescent="0.2">
      <c r="A290" s="195"/>
      <c r="B290" s="196"/>
      <c r="C290" s="219"/>
      <c r="D290" s="232" t="s">
        <v>328</v>
      </c>
      <c r="E290" s="198"/>
      <c r="F290" s="329"/>
      <c r="G290" s="198"/>
      <c r="H290" s="298"/>
    </row>
    <row r="291" spans="1:9" s="261" customFormat="1" ht="12.75" hidden="1" customHeight="1" x14ac:dyDescent="0.2">
      <c r="A291" s="195"/>
      <c r="B291" s="196"/>
      <c r="C291" s="219"/>
      <c r="D291" s="232" t="s">
        <v>289</v>
      </c>
      <c r="E291" s="198"/>
      <c r="F291" s="329"/>
      <c r="G291" s="198"/>
      <c r="H291" s="298"/>
    </row>
    <row r="292" spans="1:9" s="261" customFormat="1" ht="12.75" hidden="1" customHeight="1" x14ac:dyDescent="0.2">
      <c r="A292" s="195"/>
      <c r="B292" s="196"/>
      <c r="C292" s="219"/>
      <c r="D292" s="232" t="s">
        <v>258</v>
      </c>
      <c r="E292" s="198"/>
      <c r="F292" s="329"/>
      <c r="G292" s="198"/>
      <c r="H292" s="298"/>
    </row>
    <row r="293" spans="1:9" s="261" customFormat="1" ht="12.75" hidden="1" customHeight="1" x14ac:dyDescent="0.2">
      <c r="A293" s="195"/>
      <c r="B293" s="196"/>
      <c r="C293" s="219"/>
      <c r="D293" s="232" t="s">
        <v>290</v>
      </c>
      <c r="E293" s="198"/>
      <c r="F293" s="329"/>
      <c r="G293" s="198"/>
      <c r="H293" s="298"/>
    </row>
    <row r="294" spans="1:9" s="261" customFormat="1" ht="12.75" hidden="1" customHeight="1" x14ac:dyDescent="0.2">
      <c r="A294" s="195"/>
      <c r="B294" s="196"/>
      <c r="C294" s="219"/>
      <c r="D294" s="278" t="s">
        <v>319</v>
      </c>
      <c r="E294" s="198"/>
      <c r="F294" s="329"/>
      <c r="G294" s="198"/>
      <c r="H294" s="298"/>
      <c r="I294" s="320"/>
    </row>
    <row r="295" spans="1:9" s="261" customFormat="1" ht="12.75" customHeight="1" x14ac:dyDescent="0.2">
      <c r="A295" s="199">
        <f>A287+1</f>
        <v>31</v>
      </c>
      <c r="B295" s="200">
        <v>4013</v>
      </c>
      <c r="C295" s="220" t="s">
        <v>224</v>
      </c>
      <c r="D295" s="279" t="str">
        <f>$D$5</f>
        <v>FTE April  2024</v>
      </c>
      <c r="E295" s="201">
        <f>'4013'!I$145</f>
        <v>601803.25</v>
      </c>
      <c r="F295" s="328"/>
      <c r="G295" s="201">
        <f>SUBTOTAL(109,E295:F303)</f>
        <v>601803.25</v>
      </c>
      <c r="H295" s="298"/>
      <c r="I295" s="320"/>
    </row>
    <row r="296" spans="1:9" s="261" customFormat="1" ht="12.75" hidden="1" customHeight="1" x14ac:dyDescent="0.2">
      <c r="A296" s="199"/>
      <c r="B296" s="200"/>
      <c r="C296" s="220"/>
      <c r="D296" s="233" t="s">
        <v>279</v>
      </c>
      <c r="E296" s="201"/>
      <c r="F296" s="328"/>
      <c r="G296" s="201"/>
      <c r="H296" s="298"/>
    </row>
    <row r="297" spans="1:9" s="261" customFormat="1" ht="12.75" hidden="1" customHeight="1" x14ac:dyDescent="0.2">
      <c r="A297" s="199"/>
      <c r="B297" s="200"/>
      <c r="C297" s="220"/>
      <c r="D297" s="374" t="s">
        <v>470</v>
      </c>
      <c r="E297" s="201"/>
      <c r="F297" s="328"/>
      <c r="G297" s="201"/>
      <c r="H297" s="298"/>
    </row>
    <row r="298" spans="1:9" s="261" customFormat="1" ht="12.75" hidden="1" customHeight="1" x14ac:dyDescent="0.2">
      <c r="A298" s="199"/>
      <c r="B298" s="200"/>
      <c r="C298" s="220"/>
      <c r="D298" s="233" t="s">
        <v>281</v>
      </c>
      <c r="E298" s="201"/>
      <c r="F298" s="328"/>
      <c r="G298" s="201"/>
      <c r="H298" s="298"/>
    </row>
    <row r="299" spans="1:9" s="261" customFormat="1" ht="12.75" hidden="1" customHeight="1" x14ac:dyDescent="0.2">
      <c r="A299" s="199"/>
      <c r="B299" s="200"/>
      <c r="C299" s="220"/>
      <c r="D299" s="233" t="s">
        <v>328</v>
      </c>
      <c r="E299" s="201"/>
      <c r="F299" s="328"/>
      <c r="G299" s="201"/>
      <c r="H299" s="298"/>
    </row>
    <row r="300" spans="1:9" s="261" customFormat="1" ht="12.75" hidden="1" customHeight="1" x14ac:dyDescent="0.2">
      <c r="A300" s="199"/>
      <c r="B300" s="200"/>
      <c r="C300" s="220"/>
      <c r="D300" s="233" t="s">
        <v>289</v>
      </c>
      <c r="E300" s="201"/>
      <c r="F300" s="328"/>
      <c r="G300" s="201"/>
      <c r="H300" s="298"/>
    </row>
    <row r="301" spans="1:9" s="261" customFormat="1" ht="12.75" hidden="1" customHeight="1" x14ac:dyDescent="0.2">
      <c r="A301" s="199"/>
      <c r="B301" s="200"/>
      <c r="C301" s="220"/>
      <c r="D301" s="233" t="s">
        <v>258</v>
      </c>
      <c r="E301" s="201"/>
      <c r="F301" s="328"/>
      <c r="G301" s="201"/>
      <c r="H301" s="298"/>
    </row>
    <row r="302" spans="1:9" s="261" customFormat="1" ht="12.75" hidden="1" customHeight="1" x14ac:dyDescent="0.2">
      <c r="A302" s="199"/>
      <c r="B302" s="200"/>
      <c r="C302" s="220"/>
      <c r="D302" s="233" t="s">
        <v>333</v>
      </c>
      <c r="E302" s="201"/>
      <c r="F302" s="328"/>
      <c r="G302" s="201"/>
      <c r="H302" s="260"/>
      <c r="I302" s="318"/>
    </row>
    <row r="303" spans="1:9" s="261" customFormat="1" ht="12.75" hidden="1" customHeight="1" x14ac:dyDescent="0.2">
      <c r="A303" s="199"/>
      <c r="B303" s="200"/>
      <c r="C303" s="220"/>
      <c r="D303" s="233" t="s">
        <v>319</v>
      </c>
      <c r="E303" s="201"/>
      <c r="F303" s="328"/>
      <c r="G303" s="201"/>
      <c r="H303" s="298"/>
      <c r="I303" s="308"/>
    </row>
    <row r="304" spans="1:9" s="261" customFormat="1" ht="12.75" customHeight="1" x14ac:dyDescent="0.2">
      <c r="A304" s="195">
        <f>A295+1</f>
        <v>32</v>
      </c>
      <c r="B304" s="196">
        <v>4020</v>
      </c>
      <c r="C304" s="262" t="s">
        <v>321</v>
      </c>
      <c r="D304" s="495" t="str">
        <f>$D$5</f>
        <v>FTE April  2024</v>
      </c>
      <c r="E304" s="198">
        <f>'4020'!I$145</f>
        <v>752095.55</v>
      </c>
      <c r="F304" s="329"/>
      <c r="G304" s="198">
        <f>SUBTOTAL(109,E304:F312)</f>
        <v>752095.55</v>
      </c>
      <c r="H304" s="298"/>
      <c r="I304" s="308"/>
    </row>
    <row r="305" spans="1:9" s="261" customFormat="1" ht="12.75" hidden="1" customHeight="1" x14ac:dyDescent="0.2">
      <c r="A305" s="195"/>
      <c r="B305" s="196"/>
      <c r="C305" s="219"/>
      <c r="D305" s="232" t="s">
        <v>279</v>
      </c>
      <c r="E305" s="198"/>
      <c r="F305" s="329"/>
      <c r="G305" s="198"/>
      <c r="H305" s="298"/>
    </row>
    <row r="306" spans="1:9" s="261" customFormat="1" ht="12.75" hidden="1" customHeight="1" x14ac:dyDescent="0.2">
      <c r="A306" s="195"/>
      <c r="B306" s="196"/>
      <c r="C306" s="219"/>
      <c r="D306" s="342" t="s">
        <v>470</v>
      </c>
      <c r="E306" s="198"/>
      <c r="F306" s="329"/>
      <c r="G306" s="198"/>
      <c r="H306" s="298"/>
    </row>
    <row r="307" spans="1:9" s="261" customFormat="1" ht="12.75" hidden="1" customHeight="1" x14ac:dyDescent="0.2">
      <c r="A307" s="195"/>
      <c r="B307" s="196"/>
      <c r="C307" s="219"/>
      <c r="D307" s="232" t="s">
        <v>281</v>
      </c>
      <c r="E307" s="198"/>
      <c r="F307" s="329"/>
      <c r="G307" s="198"/>
      <c r="H307" s="298"/>
      <c r="I307" s="196"/>
    </row>
    <row r="308" spans="1:9" s="261" customFormat="1" ht="12.75" hidden="1" customHeight="1" x14ac:dyDescent="0.2">
      <c r="A308" s="195"/>
      <c r="B308" s="196"/>
      <c r="C308" s="219"/>
      <c r="D308" s="232" t="s">
        <v>328</v>
      </c>
      <c r="E308" s="198"/>
      <c r="F308" s="329"/>
      <c r="G308" s="198"/>
      <c r="H308" s="298"/>
    </row>
    <row r="309" spans="1:9" s="261" customFormat="1" ht="12.75" hidden="1" customHeight="1" x14ac:dyDescent="0.2">
      <c r="A309" s="195"/>
      <c r="B309" s="196"/>
      <c r="C309" s="219"/>
      <c r="D309" s="232" t="s">
        <v>289</v>
      </c>
      <c r="E309" s="198"/>
      <c r="F309" s="329"/>
      <c r="G309" s="198"/>
      <c r="H309" s="298"/>
    </row>
    <row r="310" spans="1:9" s="261" customFormat="1" ht="12.75" hidden="1" customHeight="1" x14ac:dyDescent="0.2">
      <c r="A310" s="195"/>
      <c r="B310" s="196"/>
      <c r="C310" s="219"/>
      <c r="D310" s="232" t="s">
        <v>258</v>
      </c>
      <c r="E310" s="198"/>
      <c r="F310" s="329"/>
      <c r="G310" s="198"/>
      <c r="H310" s="298"/>
    </row>
    <row r="311" spans="1:9" s="261" customFormat="1" ht="12.75" hidden="1" customHeight="1" x14ac:dyDescent="0.2">
      <c r="A311" s="195"/>
      <c r="B311" s="196"/>
      <c r="C311" s="219"/>
      <c r="D311" s="232" t="s">
        <v>332</v>
      </c>
      <c r="E311" s="198"/>
      <c r="F311" s="329"/>
      <c r="G311" s="198"/>
      <c r="H311" s="298"/>
    </row>
    <row r="312" spans="1:9" s="261" customFormat="1" ht="12.75" hidden="1" customHeight="1" x14ac:dyDescent="0.2">
      <c r="A312" s="195"/>
      <c r="B312" s="196"/>
      <c r="C312" s="219"/>
      <c r="D312" s="278" t="s">
        <v>319</v>
      </c>
      <c r="E312" s="198"/>
      <c r="F312" s="329"/>
      <c r="G312" s="198"/>
      <c r="H312" s="298"/>
      <c r="I312" s="320"/>
    </row>
    <row r="313" spans="1:9" s="261" customFormat="1" ht="12.75" customHeight="1" x14ac:dyDescent="0.2">
      <c r="A313" s="199">
        <f>A304+1</f>
        <v>33</v>
      </c>
      <c r="B313" s="200">
        <v>4030</v>
      </c>
      <c r="C313" s="220" t="s">
        <v>310</v>
      </c>
      <c r="D313" s="279" t="str">
        <f>$D$5</f>
        <v>FTE April  2024</v>
      </c>
      <c r="E313" s="201">
        <f>'4030'!I$145</f>
        <v>216573.99</v>
      </c>
      <c r="F313" s="328"/>
      <c r="G313" s="201">
        <f>SUBTOTAL(109,E313:F322)</f>
        <v>216573.99</v>
      </c>
      <c r="H313" s="298"/>
    </row>
    <row r="314" spans="1:9" s="261" customFormat="1" ht="12.75" hidden="1" customHeight="1" x14ac:dyDescent="0.2">
      <c r="A314" s="199"/>
      <c r="B314" s="200"/>
      <c r="C314" s="220"/>
      <c r="D314" s="233" t="s">
        <v>279</v>
      </c>
      <c r="E314" s="201"/>
      <c r="F314" s="328"/>
      <c r="G314" s="201"/>
      <c r="H314" s="298"/>
    </row>
    <row r="315" spans="1:9" s="261" customFormat="1" ht="12.75" hidden="1" customHeight="1" x14ac:dyDescent="0.2">
      <c r="A315" s="199"/>
      <c r="B315" s="200"/>
      <c r="C315" s="220"/>
      <c r="D315" s="374" t="s">
        <v>470</v>
      </c>
      <c r="E315" s="201"/>
      <c r="F315" s="328"/>
      <c r="G315" s="201"/>
      <c r="H315" s="298"/>
    </row>
    <row r="316" spans="1:9" s="261" customFormat="1" ht="12.75" hidden="1" customHeight="1" x14ac:dyDescent="0.2">
      <c r="A316" s="199"/>
      <c r="B316" s="200"/>
      <c r="C316" s="220"/>
      <c r="D316" s="374" t="s">
        <v>336</v>
      </c>
      <c r="E316" s="201"/>
      <c r="F316" s="328"/>
      <c r="G316" s="201"/>
      <c r="H316" s="298"/>
      <c r="I316" s="196"/>
    </row>
    <row r="317" spans="1:9" s="261" customFormat="1" ht="12.75" hidden="1" customHeight="1" x14ac:dyDescent="0.2">
      <c r="A317" s="199"/>
      <c r="B317" s="200"/>
      <c r="C317" s="220"/>
      <c r="D317" s="233" t="s">
        <v>281</v>
      </c>
      <c r="E317" s="201"/>
      <c r="F317" s="328"/>
      <c r="G317" s="201"/>
      <c r="H317" s="298"/>
    </row>
    <row r="318" spans="1:9" s="261" customFormat="1" ht="12.75" hidden="1" customHeight="1" x14ac:dyDescent="0.2">
      <c r="A318" s="199"/>
      <c r="B318" s="200"/>
      <c r="C318" s="220"/>
      <c r="D318" s="233" t="s">
        <v>280</v>
      </c>
      <c r="E318" s="201"/>
      <c r="F318" s="328"/>
      <c r="G318" s="201"/>
      <c r="H318" s="298"/>
    </row>
    <row r="319" spans="1:9" s="261" customFormat="1" ht="12.75" hidden="1" customHeight="1" x14ac:dyDescent="0.2">
      <c r="A319" s="199"/>
      <c r="B319" s="200"/>
      <c r="C319" s="220"/>
      <c r="D319" s="233" t="s">
        <v>289</v>
      </c>
      <c r="E319" s="201"/>
      <c r="F319" s="328"/>
      <c r="G319" s="201"/>
      <c r="H319" s="298"/>
    </row>
    <row r="320" spans="1:9" s="261" customFormat="1" ht="12.75" hidden="1" customHeight="1" x14ac:dyDescent="0.2">
      <c r="A320" s="199"/>
      <c r="B320" s="200"/>
      <c r="C320" s="220"/>
      <c r="D320" s="233" t="s">
        <v>258</v>
      </c>
      <c r="E320" s="201"/>
      <c r="F320" s="328"/>
      <c r="G320" s="201"/>
      <c r="H320" s="260"/>
      <c r="I320" s="318"/>
    </row>
    <row r="321" spans="1:9" s="261" customFormat="1" ht="12.75" hidden="1" customHeight="1" x14ac:dyDescent="0.2">
      <c r="A321" s="199"/>
      <c r="B321" s="200"/>
      <c r="C321" s="220"/>
      <c r="D321" s="233" t="s">
        <v>333</v>
      </c>
      <c r="E321" s="201"/>
      <c r="F321" s="328"/>
      <c r="G321" s="201"/>
      <c r="H321" s="298"/>
      <c r="I321" s="320"/>
    </row>
    <row r="322" spans="1:9" s="261" customFormat="1" ht="12.75" hidden="1" customHeight="1" x14ac:dyDescent="0.2">
      <c r="A322" s="199"/>
      <c r="B322" s="200"/>
      <c r="C322" s="220"/>
      <c r="D322" s="233" t="s">
        <v>319</v>
      </c>
      <c r="E322" s="201"/>
      <c r="F322" s="328"/>
      <c r="G322" s="201"/>
      <c r="H322" s="298"/>
    </row>
    <row r="323" spans="1:9" s="261" customFormat="1" ht="12.75" customHeight="1" x14ac:dyDescent="0.2">
      <c r="A323" s="195">
        <f>A313+1</f>
        <v>34</v>
      </c>
      <c r="B323" s="196">
        <v>4031</v>
      </c>
      <c r="C323" s="262" t="s">
        <v>326</v>
      </c>
      <c r="D323" s="495" t="str">
        <f>$D$5</f>
        <v>FTE April  2024</v>
      </c>
      <c r="E323" s="198">
        <f>'4031'!I$145</f>
        <v>402275.37</v>
      </c>
      <c r="F323" s="329"/>
      <c r="G323" s="198">
        <f>SUBTOTAL(109,E323:F332)</f>
        <v>402275.37</v>
      </c>
      <c r="H323" s="298"/>
    </row>
    <row r="324" spans="1:9" s="261" customFormat="1" ht="12.75" hidden="1" customHeight="1" x14ac:dyDescent="0.2">
      <c r="A324" s="195"/>
      <c r="B324" s="196"/>
      <c r="C324" s="219"/>
      <c r="D324" s="232" t="s">
        <v>279</v>
      </c>
      <c r="E324" s="198"/>
      <c r="F324" s="329"/>
      <c r="G324" s="198"/>
      <c r="H324" s="298"/>
    </row>
    <row r="325" spans="1:9" s="261" customFormat="1" ht="12.75" hidden="1" customHeight="1" x14ac:dyDescent="0.2">
      <c r="A325" s="195"/>
      <c r="B325" s="196"/>
      <c r="C325" s="219"/>
      <c r="D325" s="342" t="s">
        <v>470</v>
      </c>
      <c r="E325" s="198"/>
      <c r="F325" s="329"/>
      <c r="G325" s="198"/>
      <c r="H325" s="298"/>
      <c r="I325" s="196"/>
    </row>
    <row r="326" spans="1:9" s="261" customFormat="1" ht="12.75" hidden="1" customHeight="1" x14ac:dyDescent="0.2">
      <c r="A326" s="195"/>
      <c r="B326" s="196"/>
      <c r="C326" s="219"/>
      <c r="D326" s="342" t="s">
        <v>336</v>
      </c>
      <c r="E326" s="198"/>
      <c r="F326" s="329"/>
      <c r="G326" s="198"/>
      <c r="H326" s="298"/>
      <c r="I326" s="196"/>
    </row>
    <row r="327" spans="1:9" s="261" customFormat="1" ht="12.75" hidden="1" customHeight="1" x14ac:dyDescent="0.2">
      <c r="A327" s="195"/>
      <c r="B327" s="196"/>
      <c r="C327" s="219"/>
      <c r="D327" s="232" t="s">
        <v>281</v>
      </c>
      <c r="E327" s="198"/>
      <c r="F327" s="329"/>
      <c r="G327" s="198"/>
      <c r="H327" s="298"/>
    </row>
    <row r="328" spans="1:9" s="261" customFormat="1" ht="12.75" hidden="1" customHeight="1" x14ac:dyDescent="0.2">
      <c r="A328" s="195"/>
      <c r="B328" s="196"/>
      <c r="C328" s="219"/>
      <c r="D328" s="232" t="s">
        <v>280</v>
      </c>
      <c r="E328" s="198"/>
      <c r="F328" s="329"/>
      <c r="G328" s="198"/>
      <c r="H328" s="298"/>
    </row>
    <row r="329" spans="1:9" s="261" customFormat="1" ht="12.75" hidden="1" customHeight="1" x14ac:dyDescent="0.2">
      <c r="A329" s="195"/>
      <c r="B329" s="196"/>
      <c r="C329" s="219"/>
      <c r="D329" s="232" t="s">
        <v>289</v>
      </c>
      <c r="E329" s="198"/>
      <c r="F329" s="329"/>
      <c r="G329" s="198"/>
      <c r="H329" s="298"/>
    </row>
    <row r="330" spans="1:9" s="261" customFormat="1" ht="12.75" hidden="1" customHeight="1" x14ac:dyDescent="0.2">
      <c r="A330" s="195"/>
      <c r="B330" s="196"/>
      <c r="C330" s="219"/>
      <c r="D330" s="232" t="s">
        <v>258</v>
      </c>
      <c r="E330" s="198"/>
      <c r="F330" s="329"/>
      <c r="G330" s="198"/>
      <c r="H330" s="298"/>
    </row>
    <row r="331" spans="1:9" s="261" customFormat="1" ht="12.75" hidden="1" customHeight="1" x14ac:dyDescent="0.2">
      <c r="A331" s="195"/>
      <c r="B331" s="196"/>
      <c r="C331" s="219"/>
      <c r="D331" s="232" t="s">
        <v>333</v>
      </c>
      <c r="E331" s="198"/>
      <c r="F331" s="329"/>
      <c r="G331" s="198"/>
      <c r="H331" s="298"/>
      <c r="I331" s="320"/>
    </row>
    <row r="332" spans="1:9" s="261" customFormat="1" ht="12.75" hidden="1" customHeight="1" x14ac:dyDescent="0.2">
      <c r="A332" s="195"/>
      <c r="B332" s="196"/>
      <c r="C332" s="219"/>
      <c r="D332" s="278" t="s">
        <v>319</v>
      </c>
      <c r="E332" s="198"/>
      <c r="F332" s="329"/>
      <c r="G332" s="198"/>
      <c r="H332" s="298"/>
    </row>
    <row r="333" spans="1:9" s="261" customFormat="1" ht="12.75" customHeight="1" x14ac:dyDescent="0.2">
      <c r="A333" s="199">
        <f>A323+1</f>
        <v>35</v>
      </c>
      <c r="B333" s="200">
        <v>4041</v>
      </c>
      <c r="C333" s="220" t="s">
        <v>226</v>
      </c>
      <c r="D333" s="279" t="str">
        <f>$D$5</f>
        <v>FTE April  2024</v>
      </c>
      <c r="E333" s="201">
        <f>'4041'!I$145</f>
        <v>65160.67</v>
      </c>
      <c r="F333" s="328"/>
      <c r="G333" s="201">
        <f>SUBTOTAL(109,E333:F343)</f>
        <v>65160.67</v>
      </c>
      <c r="H333" s="298"/>
    </row>
    <row r="334" spans="1:9" s="261" customFormat="1" ht="12.75" hidden="1" customHeight="1" x14ac:dyDescent="0.2">
      <c r="A334" s="199"/>
      <c r="B334" s="200"/>
      <c r="C334" s="220"/>
      <c r="D334" s="233" t="s">
        <v>279</v>
      </c>
      <c r="E334" s="201"/>
      <c r="F334" s="328"/>
      <c r="G334" s="201"/>
      <c r="H334" s="298"/>
    </row>
    <row r="335" spans="1:9" s="261" customFormat="1" ht="12.75" hidden="1" customHeight="1" x14ac:dyDescent="0.2">
      <c r="A335" s="199"/>
      <c r="B335" s="200"/>
      <c r="C335" s="220"/>
      <c r="D335" s="374" t="s">
        <v>470</v>
      </c>
      <c r="E335" s="201"/>
      <c r="F335" s="328"/>
      <c r="G335" s="201"/>
      <c r="H335" s="298"/>
      <c r="I335" s="196"/>
    </row>
    <row r="336" spans="1:9" s="261" customFormat="1" ht="12.75" hidden="1" customHeight="1" x14ac:dyDescent="0.2">
      <c r="A336" s="199"/>
      <c r="B336" s="200"/>
      <c r="C336" s="220"/>
      <c r="D336" s="374" t="s">
        <v>336</v>
      </c>
      <c r="E336" s="201"/>
      <c r="F336" s="328"/>
      <c r="G336" s="201"/>
      <c r="H336" s="298"/>
      <c r="I336" s="196"/>
    </row>
    <row r="337" spans="1:9" s="261" customFormat="1" ht="12.75" hidden="1" customHeight="1" x14ac:dyDescent="0.2">
      <c r="A337" s="199"/>
      <c r="B337" s="200"/>
      <c r="C337" s="220"/>
      <c r="D337" s="233" t="s">
        <v>281</v>
      </c>
      <c r="E337" s="201"/>
      <c r="F337" s="328"/>
      <c r="G337" s="201"/>
      <c r="H337" s="298"/>
    </row>
    <row r="338" spans="1:9" s="261" customFormat="1" ht="12.75" hidden="1" customHeight="1" x14ac:dyDescent="0.2">
      <c r="A338" s="199"/>
      <c r="B338" s="200"/>
      <c r="C338" s="220"/>
      <c r="D338" s="233" t="s">
        <v>280</v>
      </c>
      <c r="E338" s="201"/>
      <c r="F338" s="328"/>
      <c r="G338" s="201"/>
      <c r="H338" s="298"/>
    </row>
    <row r="339" spans="1:9" s="261" customFormat="1" ht="12.75" hidden="1" customHeight="1" x14ac:dyDescent="0.2">
      <c r="A339" s="199"/>
      <c r="B339" s="200"/>
      <c r="C339" s="220"/>
      <c r="D339" s="233" t="s">
        <v>289</v>
      </c>
      <c r="E339" s="201"/>
      <c r="F339" s="328"/>
      <c r="G339" s="201"/>
      <c r="H339" s="298"/>
      <c r="I339" s="196"/>
    </row>
    <row r="340" spans="1:9" s="261" customFormat="1" ht="12.75" hidden="1" customHeight="1" x14ac:dyDescent="0.2">
      <c r="A340" s="199"/>
      <c r="B340" s="200"/>
      <c r="C340" s="220"/>
      <c r="D340" s="233" t="s">
        <v>258</v>
      </c>
      <c r="E340" s="201"/>
      <c r="F340" s="328"/>
      <c r="G340" s="201"/>
      <c r="H340" s="298"/>
      <c r="I340" s="318"/>
    </row>
    <row r="341" spans="1:9" s="261" customFormat="1" ht="12.75" hidden="1" customHeight="1" x14ac:dyDescent="0.2">
      <c r="A341" s="199"/>
      <c r="B341" s="200"/>
      <c r="C341" s="220"/>
      <c r="D341" s="233" t="s">
        <v>290</v>
      </c>
      <c r="E341" s="201"/>
      <c r="F341" s="328"/>
      <c r="G341" s="201"/>
      <c r="H341" s="298"/>
      <c r="I341" s="320"/>
    </row>
    <row r="342" spans="1:9" s="261" customFormat="1" ht="12.75" hidden="1" customHeight="1" x14ac:dyDescent="0.2">
      <c r="A342" s="199"/>
      <c r="B342" s="200"/>
      <c r="C342" s="220"/>
      <c r="D342" s="233" t="s">
        <v>333</v>
      </c>
      <c r="E342" s="201"/>
      <c r="F342" s="328"/>
      <c r="G342" s="201"/>
      <c r="H342" s="298"/>
    </row>
    <row r="343" spans="1:9" s="261" customFormat="1" ht="12.75" hidden="1" customHeight="1" x14ac:dyDescent="0.2">
      <c r="A343" s="199"/>
      <c r="B343" s="200"/>
      <c r="C343" s="220"/>
      <c r="D343" s="233" t="s">
        <v>319</v>
      </c>
      <c r="E343" s="201"/>
      <c r="F343" s="328"/>
      <c r="G343" s="201"/>
      <c r="H343" s="298"/>
    </row>
    <row r="344" spans="1:9" s="261" customFormat="1" ht="12.75" customHeight="1" x14ac:dyDescent="0.2">
      <c r="A344" s="195">
        <f>A333+1</f>
        <v>36</v>
      </c>
      <c r="B344" s="264">
        <v>4050</v>
      </c>
      <c r="C344" s="265" t="s">
        <v>217</v>
      </c>
      <c r="D344" s="495" t="str">
        <f>$D$5</f>
        <v>FTE April  2024</v>
      </c>
      <c r="E344" s="198">
        <f>'4050'!I$145</f>
        <v>508021.03</v>
      </c>
      <c r="F344" s="329"/>
      <c r="G344" s="198">
        <f>SUBTOTAL(109,E344:F350)</f>
        <v>508021.03</v>
      </c>
      <c r="H344" s="298"/>
    </row>
    <row r="345" spans="1:9" s="261" customFormat="1" ht="12.75" hidden="1" customHeight="1" x14ac:dyDescent="0.2">
      <c r="A345" s="195"/>
      <c r="B345" s="264"/>
      <c r="C345" s="265"/>
      <c r="D345" s="232" t="s">
        <v>279</v>
      </c>
      <c r="E345" s="198"/>
      <c r="F345" s="329"/>
      <c r="G345" s="198"/>
      <c r="H345" s="298"/>
      <c r="I345" s="196"/>
    </row>
    <row r="346" spans="1:9" s="261" customFormat="1" ht="12.75" hidden="1" customHeight="1" x14ac:dyDescent="0.2">
      <c r="A346" s="195"/>
      <c r="B346" s="264"/>
      <c r="C346" s="265"/>
      <c r="D346" s="232" t="s">
        <v>470</v>
      </c>
      <c r="E346" s="198"/>
      <c r="F346" s="329"/>
      <c r="G346" s="198"/>
      <c r="H346" s="298"/>
      <c r="I346" s="196"/>
    </row>
    <row r="347" spans="1:9" s="261" customFormat="1" ht="12.75" hidden="1" customHeight="1" x14ac:dyDescent="0.2">
      <c r="A347" s="195"/>
      <c r="B347" s="196"/>
      <c r="C347" s="219"/>
      <c r="D347" s="232" t="s">
        <v>280</v>
      </c>
      <c r="E347" s="198"/>
      <c r="F347" s="329"/>
      <c r="G347" s="198"/>
      <c r="H347" s="298"/>
    </row>
    <row r="348" spans="1:9" s="261" customFormat="1" ht="12.75" hidden="1" customHeight="1" x14ac:dyDescent="0.2">
      <c r="A348" s="195"/>
      <c r="B348" s="196"/>
      <c r="C348" s="219"/>
      <c r="D348" s="232" t="s">
        <v>289</v>
      </c>
      <c r="E348" s="198"/>
      <c r="F348" s="329"/>
      <c r="G348" s="198"/>
      <c r="H348" s="298"/>
    </row>
    <row r="349" spans="1:9" s="261" customFormat="1" ht="12.75" hidden="1" customHeight="1" x14ac:dyDescent="0.2">
      <c r="A349" s="195"/>
      <c r="B349" s="196"/>
      <c r="C349" s="219"/>
      <c r="D349" s="232" t="s">
        <v>258</v>
      </c>
      <c r="E349" s="198"/>
      <c r="F349" s="329"/>
      <c r="G349" s="198"/>
      <c r="H349" s="298"/>
    </row>
    <row r="350" spans="1:9" s="261" customFormat="1" ht="12.75" hidden="1" customHeight="1" x14ac:dyDescent="0.2">
      <c r="A350" s="195"/>
      <c r="B350" s="196"/>
      <c r="C350" s="219"/>
      <c r="D350" s="278" t="s">
        <v>319</v>
      </c>
      <c r="E350" s="198"/>
      <c r="F350" s="329"/>
      <c r="G350" s="198"/>
      <c r="H350" s="298"/>
    </row>
    <row r="351" spans="1:9" s="261" customFormat="1" ht="12.75" customHeight="1" x14ac:dyDescent="0.2">
      <c r="A351" s="199">
        <f>A344+1</f>
        <v>37</v>
      </c>
      <c r="B351" s="200">
        <v>4051</v>
      </c>
      <c r="C351" s="220" t="s">
        <v>215</v>
      </c>
      <c r="D351" s="279" t="str">
        <f>$D$5</f>
        <v>FTE April  2024</v>
      </c>
      <c r="E351" s="201">
        <f>'4051'!I$145</f>
        <v>609091.92000000004</v>
      </c>
      <c r="F351" s="328"/>
      <c r="G351" s="201">
        <f>SUBTOTAL(109,E351:F359)</f>
        <v>609091.92000000004</v>
      </c>
      <c r="H351" s="298"/>
    </row>
    <row r="352" spans="1:9" s="261" customFormat="1" ht="12.75" hidden="1" customHeight="1" x14ac:dyDescent="0.2">
      <c r="A352" s="199"/>
      <c r="B352" s="200"/>
      <c r="C352" s="220"/>
      <c r="D352" s="233" t="s">
        <v>279</v>
      </c>
      <c r="E352" s="201"/>
      <c r="F352" s="328"/>
      <c r="G352" s="201"/>
      <c r="H352" s="298"/>
      <c r="I352" s="320"/>
    </row>
    <row r="353" spans="1:9" s="261" customFormat="1" ht="12.75" hidden="1" customHeight="1" x14ac:dyDescent="0.2">
      <c r="A353" s="199"/>
      <c r="B353" s="200"/>
      <c r="C353" s="220"/>
      <c r="D353" s="233" t="s">
        <v>470</v>
      </c>
      <c r="E353" s="201"/>
      <c r="F353" s="328"/>
      <c r="G353" s="201"/>
      <c r="H353" s="298"/>
    </row>
    <row r="354" spans="1:9" s="261" customFormat="1" ht="12.75" hidden="1" customHeight="1" x14ac:dyDescent="0.2">
      <c r="A354" s="199"/>
      <c r="B354" s="200"/>
      <c r="C354" s="220"/>
      <c r="D354" s="233" t="s">
        <v>280</v>
      </c>
      <c r="E354" s="201"/>
      <c r="F354" s="328"/>
      <c r="G354" s="201"/>
      <c r="H354" s="298"/>
    </row>
    <row r="355" spans="1:9" s="261" customFormat="1" ht="12.75" hidden="1" customHeight="1" x14ac:dyDescent="0.2">
      <c r="A355" s="199"/>
      <c r="B355" s="200"/>
      <c r="C355" s="220"/>
      <c r="D355" s="233" t="s">
        <v>289</v>
      </c>
      <c r="E355" s="201"/>
      <c r="F355" s="328"/>
      <c r="G355" s="201"/>
      <c r="H355" s="298"/>
    </row>
    <row r="356" spans="1:9" s="261" customFormat="1" ht="12.75" hidden="1" customHeight="1" x14ac:dyDescent="0.2">
      <c r="A356" s="199"/>
      <c r="B356" s="200"/>
      <c r="C356" s="220"/>
      <c r="D356" s="233" t="s">
        <v>258</v>
      </c>
      <c r="E356" s="201"/>
      <c r="F356" s="328"/>
      <c r="G356" s="201"/>
      <c r="H356" s="298"/>
    </row>
    <row r="357" spans="1:9" s="261" customFormat="1" ht="12.75" hidden="1" customHeight="1" x14ac:dyDescent="0.2">
      <c r="A357" s="199"/>
      <c r="B357" s="200"/>
      <c r="C357" s="220"/>
      <c r="D357" s="233" t="s">
        <v>290</v>
      </c>
      <c r="E357" s="201"/>
      <c r="F357" s="328"/>
      <c r="G357" s="201"/>
      <c r="H357" s="298"/>
    </row>
    <row r="358" spans="1:9" s="261" customFormat="1" ht="12.75" hidden="1" customHeight="1" x14ac:dyDescent="0.2">
      <c r="A358" s="199"/>
      <c r="B358" s="200"/>
      <c r="C358" s="220"/>
      <c r="D358" s="233" t="s">
        <v>332</v>
      </c>
      <c r="E358" s="201"/>
      <c r="F358" s="328"/>
      <c r="G358" s="201"/>
      <c r="H358" s="298"/>
    </row>
    <row r="359" spans="1:9" s="261" customFormat="1" ht="12.75" hidden="1" customHeight="1" x14ac:dyDescent="0.2">
      <c r="A359" s="199"/>
      <c r="B359" s="200"/>
      <c r="C359" s="220"/>
      <c r="D359" s="233" t="s">
        <v>330</v>
      </c>
      <c r="E359" s="201"/>
      <c r="F359" s="328"/>
      <c r="G359" s="201"/>
      <c r="H359" s="298"/>
      <c r="I359" s="318"/>
    </row>
    <row r="360" spans="1:9" s="261" customFormat="1" ht="12.75" customHeight="1" x14ac:dyDescent="0.2">
      <c r="A360" s="195">
        <f>A351+1</f>
        <v>38</v>
      </c>
      <c r="B360" s="264">
        <v>4061</v>
      </c>
      <c r="C360" s="266" t="s">
        <v>323</v>
      </c>
      <c r="D360" s="495" t="str">
        <f>$D$5</f>
        <v>FTE April  2024</v>
      </c>
      <c r="E360" s="198">
        <f>'4061'!I$145</f>
        <v>616024.11</v>
      </c>
      <c r="F360" s="329"/>
      <c r="G360" s="198">
        <f>SUBTOTAL(109,E360:F368)</f>
        <v>616024.11</v>
      </c>
      <c r="H360" s="298"/>
    </row>
    <row r="361" spans="1:9" s="261" customFormat="1" ht="12.75" hidden="1" customHeight="1" x14ac:dyDescent="0.2">
      <c r="A361" s="195"/>
      <c r="B361" s="264"/>
      <c r="C361" s="265"/>
      <c r="D361" s="232" t="s">
        <v>279</v>
      </c>
      <c r="E361" s="198"/>
      <c r="F361" s="329"/>
      <c r="G361" s="198"/>
      <c r="H361" s="298"/>
    </row>
    <row r="362" spans="1:9" s="261" customFormat="1" ht="12.75" hidden="1" customHeight="1" x14ac:dyDescent="0.2">
      <c r="A362" s="195"/>
      <c r="B362" s="196"/>
      <c r="C362" s="219"/>
      <c r="D362" s="342" t="s">
        <v>470</v>
      </c>
      <c r="E362" s="198"/>
      <c r="F362" s="329"/>
      <c r="G362" s="198"/>
      <c r="H362" s="298"/>
    </row>
    <row r="363" spans="1:9" s="261" customFormat="1" ht="12.75" hidden="1" customHeight="1" x14ac:dyDescent="0.2">
      <c r="A363" s="195"/>
      <c r="B363" s="264"/>
      <c r="C363" s="265"/>
      <c r="D363" s="232" t="s">
        <v>279</v>
      </c>
      <c r="E363" s="198"/>
      <c r="F363" s="329"/>
      <c r="G363" s="198"/>
      <c r="H363" s="298"/>
    </row>
    <row r="364" spans="1:9" s="261" customFormat="1" ht="12.75" hidden="1" customHeight="1" x14ac:dyDescent="0.2">
      <c r="A364" s="195"/>
      <c r="B364" s="264"/>
      <c r="C364" s="265"/>
      <c r="D364" s="232" t="s">
        <v>281</v>
      </c>
      <c r="E364" s="198"/>
      <c r="F364" s="329"/>
      <c r="G364" s="198"/>
      <c r="H364" s="298"/>
    </row>
    <row r="365" spans="1:9" s="261" customFormat="1" ht="12.75" hidden="1" customHeight="1" x14ac:dyDescent="0.2">
      <c r="A365" s="195"/>
      <c r="B365" s="196"/>
      <c r="C365" s="219"/>
      <c r="D365" s="232" t="s">
        <v>280</v>
      </c>
      <c r="E365" s="198"/>
      <c r="F365" s="329"/>
      <c r="G365" s="198"/>
      <c r="H365" s="298"/>
    </row>
    <row r="366" spans="1:9" s="261" customFormat="1" ht="12.75" hidden="1" customHeight="1" x14ac:dyDescent="0.2">
      <c r="A366" s="195"/>
      <c r="B366" s="196"/>
      <c r="C366" s="219"/>
      <c r="D366" s="232" t="s">
        <v>289</v>
      </c>
      <c r="E366" s="198"/>
      <c r="F366" s="329"/>
      <c r="G366" s="198"/>
      <c r="H366" s="298"/>
    </row>
    <row r="367" spans="1:9" s="261" customFormat="1" ht="12.75" hidden="1" customHeight="1" x14ac:dyDescent="0.2">
      <c r="A367" s="195"/>
      <c r="B367" s="196"/>
      <c r="C367" s="219"/>
      <c r="D367" s="232" t="s">
        <v>258</v>
      </c>
      <c r="E367" s="198"/>
      <c r="F367" s="329"/>
      <c r="G367" s="198"/>
      <c r="H367" s="298"/>
    </row>
    <row r="368" spans="1:9" s="261" customFormat="1" ht="12.75" hidden="1" customHeight="1" x14ac:dyDescent="0.2">
      <c r="A368" s="195"/>
      <c r="B368" s="196"/>
      <c r="C368" s="219"/>
      <c r="D368" s="438" t="s">
        <v>433</v>
      </c>
      <c r="E368" s="437"/>
      <c r="F368" s="329"/>
      <c r="G368" s="198"/>
      <c r="H368" s="298"/>
      <c r="I368" s="320"/>
    </row>
    <row r="369" spans="1:9" s="261" customFormat="1" ht="12.75" customHeight="1" x14ac:dyDescent="0.2">
      <c r="A369" s="199">
        <f>A360+1</f>
        <v>39</v>
      </c>
      <c r="B369" s="200">
        <v>4080</v>
      </c>
      <c r="C369" s="220" t="s">
        <v>238</v>
      </c>
      <c r="D369" s="279" t="str">
        <f>$D$5</f>
        <v>FTE April  2024</v>
      </c>
      <c r="E369" s="201">
        <f>'4080'!I$145</f>
        <v>187654.75</v>
      </c>
      <c r="F369" s="328"/>
      <c r="G369" s="201">
        <f>SUBTOTAL(109,E369:F375)</f>
        <v>187654.75</v>
      </c>
      <c r="H369" s="298"/>
    </row>
    <row r="370" spans="1:9" s="261" customFormat="1" ht="12.75" hidden="1" customHeight="1" x14ac:dyDescent="0.2">
      <c r="A370" s="199"/>
      <c r="B370" s="200"/>
      <c r="C370" s="220"/>
      <c r="D370" s="233" t="s">
        <v>279</v>
      </c>
      <c r="E370" s="201"/>
      <c r="F370" s="328"/>
      <c r="G370" s="201"/>
      <c r="H370" s="298"/>
    </row>
    <row r="371" spans="1:9" s="261" customFormat="1" ht="12.75" hidden="1" customHeight="1" x14ac:dyDescent="0.2">
      <c r="A371" s="199"/>
      <c r="B371" s="200"/>
      <c r="C371" s="220"/>
      <c r="D371" s="233" t="s">
        <v>470</v>
      </c>
      <c r="E371" s="201"/>
      <c r="F371" s="328"/>
      <c r="G371" s="201"/>
      <c r="H371" s="298"/>
    </row>
    <row r="372" spans="1:9" s="261" customFormat="1" ht="12.75" hidden="1" customHeight="1" x14ac:dyDescent="0.2">
      <c r="A372" s="199"/>
      <c r="B372" s="200"/>
      <c r="C372" s="220"/>
      <c r="D372" s="233" t="s">
        <v>280</v>
      </c>
      <c r="E372" s="201"/>
      <c r="F372" s="328"/>
      <c r="G372" s="201"/>
      <c r="H372" s="298"/>
      <c r="I372" s="196"/>
    </row>
    <row r="373" spans="1:9" s="261" customFormat="1" ht="12.75" hidden="1" customHeight="1" x14ac:dyDescent="0.2">
      <c r="A373" s="199"/>
      <c r="B373" s="200"/>
      <c r="C373" s="220"/>
      <c r="D373" s="233" t="s">
        <v>289</v>
      </c>
      <c r="E373" s="201"/>
      <c r="F373" s="328"/>
      <c r="G373" s="201"/>
      <c r="H373" s="298"/>
    </row>
    <row r="374" spans="1:9" s="261" customFormat="1" ht="12.75" hidden="1" customHeight="1" x14ac:dyDescent="0.2">
      <c r="A374" s="199"/>
      <c r="B374" s="200"/>
      <c r="C374" s="220"/>
      <c r="D374" s="233" t="s">
        <v>258</v>
      </c>
      <c r="E374" s="201"/>
      <c r="F374" s="328"/>
      <c r="G374" s="201"/>
      <c r="H374" s="298"/>
    </row>
    <row r="375" spans="1:9" s="261" customFormat="1" ht="12.75" hidden="1" customHeight="1" x14ac:dyDescent="0.2">
      <c r="A375" s="199"/>
      <c r="B375" s="200"/>
      <c r="C375" s="220"/>
      <c r="D375" s="233" t="s">
        <v>319</v>
      </c>
      <c r="E375" s="201"/>
      <c r="F375" s="328"/>
      <c r="G375" s="201"/>
      <c r="H375" s="298"/>
      <c r="I375" s="196"/>
    </row>
    <row r="376" spans="1:9" s="261" customFormat="1" ht="12.75" customHeight="1" x14ac:dyDescent="0.2">
      <c r="A376" s="195">
        <f>1+A369</f>
        <v>40</v>
      </c>
      <c r="B376" s="264">
        <v>4081</v>
      </c>
      <c r="C376" s="266" t="s">
        <v>235</v>
      </c>
      <c r="D376" s="495" t="str">
        <f>$D$5</f>
        <v>FTE April  2024</v>
      </c>
      <c r="E376" s="198">
        <f>'4081'!I$145</f>
        <v>77986.64</v>
      </c>
      <c r="F376" s="329"/>
      <c r="G376" s="198">
        <f>SUBTOTAL(109,E376:F384)</f>
        <v>77986.64</v>
      </c>
      <c r="H376" s="298"/>
    </row>
    <row r="377" spans="1:9" s="261" customFormat="1" ht="12.75" hidden="1" customHeight="1" x14ac:dyDescent="0.2">
      <c r="A377" s="195"/>
      <c r="B377" s="264"/>
      <c r="C377" s="266"/>
      <c r="D377" s="232" t="s">
        <v>279</v>
      </c>
      <c r="E377" s="198"/>
      <c r="F377" s="329"/>
      <c r="G377" s="198"/>
      <c r="H377" s="298"/>
      <c r="I377" s="318"/>
    </row>
    <row r="378" spans="1:9" s="261" customFormat="1" ht="12.75" hidden="1" customHeight="1" x14ac:dyDescent="0.2">
      <c r="A378" s="195"/>
      <c r="B378" s="196"/>
      <c r="C378" s="219"/>
      <c r="D378" s="342" t="s">
        <v>470</v>
      </c>
      <c r="E378" s="198"/>
      <c r="F378" s="329"/>
      <c r="G378" s="198"/>
      <c r="H378" s="298"/>
      <c r="I378" s="318"/>
    </row>
    <row r="379" spans="1:9" s="261" customFormat="1" ht="12.75" hidden="1" customHeight="1" x14ac:dyDescent="0.2">
      <c r="A379" s="195"/>
      <c r="B379" s="264"/>
      <c r="C379" s="266"/>
      <c r="D379" s="232" t="s">
        <v>281</v>
      </c>
      <c r="E379" s="198"/>
      <c r="F379" s="329"/>
      <c r="G379" s="198"/>
      <c r="H379" s="298"/>
    </row>
    <row r="380" spans="1:9" s="261" customFormat="1" ht="12.75" hidden="1" customHeight="1" x14ac:dyDescent="0.2">
      <c r="A380" s="195"/>
      <c r="B380" s="264"/>
      <c r="C380" s="266"/>
      <c r="D380" s="232" t="s">
        <v>280</v>
      </c>
      <c r="E380" s="198"/>
      <c r="F380" s="329"/>
      <c r="G380" s="198"/>
      <c r="H380" s="298"/>
    </row>
    <row r="381" spans="1:9" s="261" customFormat="1" ht="12.75" hidden="1" customHeight="1" x14ac:dyDescent="0.2">
      <c r="A381" s="195"/>
      <c r="B381" s="264"/>
      <c r="C381" s="266"/>
      <c r="D381" s="232" t="s">
        <v>289</v>
      </c>
      <c r="E381" s="198"/>
      <c r="F381" s="329"/>
      <c r="G381" s="198"/>
      <c r="H381" s="298"/>
    </row>
    <row r="382" spans="1:9" s="261" customFormat="1" ht="12.75" hidden="1" customHeight="1" x14ac:dyDescent="0.2">
      <c r="A382" s="195"/>
      <c r="B382" s="196"/>
      <c r="C382" s="219"/>
      <c r="D382" s="232" t="s">
        <v>258</v>
      </c>
      <c r="E382" s="198"/>
      <c r="F382" s="329"/>
      <c r="G382" s="198"/>
      <c r="H382" s="298"/>
    </row>
    <row r="383" spans="1:9" s="261" customFormat="1" ht="12.75" hidden="1" customHeight="1" x14ac:dyDescent="0.2">
      <c r="A383" s="195"/>
      <c r="B383" s="196"/>
      <c r="C383" s="219"/>
      <c r="D383" s="232" t="s">
        <v>333</v>
      </c>
      <c r="E383" s="198"/>
      <c r="F383" s="329"/>
      <c r="G383" s="198"/>
      <c r="H383" s="298"/>
    </row>
    <row r="384" spans="1:9" s="261" customFormat="1" ht="12.75" hidden="1" customHeight="1" x14ac:dyDescent="0.2">
      <c r="A384" s="195"/>
      <c r="B384" s="196"/>
      <c r="C384" s="219"/>
      <c r="D384" s="278" t="s">
        <v>319</v>
      </c>
      <c r="E384" s="198"/>
      <c r="F384" s="329"/>
      <c r="G384" s="198"/>
      <c r="H384" s="298"/>
    </row>
    <row r="385" spans="1:12" s="261" customFormat="1" ht="12.75" customHeight="1" x14ac:dyDescent="0.2">
      <c r="A385" s="199">
        <f>1+A376</f>
        <v>41</v>
      </c>
      <c r="B385" s="200">
        <v>4090</v>
      </c>
      <c r="C385" s="220" t="s">
        <v>275</v>
      </c>
      <c r="D385" s="279" t="str">
        <f>$D$5</f>
        <v>FTE April  2024</v>
      </c>
      <c r="E385" s="201">
        <f>'4090'!I$145</f>
        <v>223420.47</v>
      </c>
      <c r="F385" s="328"/>
      <c r="G385" s="201">
        <f>SUBTOTAL(109,E385:F394)</f>
        <v>223420.47</v>
      </c>
      <c r="H385" s="298"/>
    </row>
    <row r="386" spans="1:12" s="261" customFormat="1" ht="12.75" hidden="1" customHeight="1" x14ac:dyDescent="0.2">
      <c r="A386" s="199"/>
      <c r="B386" s="200"/>
      <c r="C386" s="220"/>
      <c r="D386" s="233" t="s">
        <v>279</v>
      </c>
      <c r="E386" s="201"/>
      <c r="F386" s="328"/>
      <c r="G386" s="201"/>
      <c r="H386" s="298"/>
      <c r="L386" s="319"/>
    </row>
    <row r="387" spans="1:12" s="261" customFormat="1" ht="12.75" hidden="1" customHeight="1" x14ac:dyDescent="0.2">
      <c r="A387" s="199"/>
      <c r="B387" s="200"/>
      <c r="C387" s="220"/>
      <c r="D387" s="374" t="s">
        <v>337</v>
      </c>
      <c r="E387" s="201"/>
      <c r="F387" s="328"/>
      <c r="G387" s="201"/>
      <c r="H387" s="298"/>
    </row>
    <row r="388" spans="1:12" s="261" customFormat="1" ht="12.75" hidden="1" customHeight="1" x14ac:dyDescent="0.2">
      <c r="A388" s="199"/>
      <c r="B388" s="200"/>
      <c r="C388" s="220"/>
      <c r="D388" s="374" t="s">
        <v>336</v>
      </c>
      <c r="E388" s="201"/>
      <c r="F388" s="328"/>
      <c r="G388" s="201"/>
      <c r="H388" s="298"/>
      <c r="I388" s="196"/>
    </row>
    <row r="389" spans="1:12" s="261" customFormat="1" ht="12.75" hidden="1" customHeight="1" x14ac:dyDescent="0.2">
      <c r="A389" s="199"/>
      <c r="B389" s="200"/>
      <c r="C389" s="220"/>
      <c r="D389" s="233" t="s">
        <v>281</v>
      </c>
      <c r="E389" s="201"/>
      <c r="F389" s="328"/>
      <c r="G389" s="201"/>
      <c r="H389" s="298"/>
    </row>
    <row r="390" spans="1:12" s="261" customFormat="1" ht="12.75" hidden="1" customHeight="1" x14ac:dyDescent="0.2">
      <c r="A390" s="199"/>
      <c r="B390" s="200"/>
      <c r="C390" s="220"/>
      <c r="D390" s="233" t="s">
        <v>280</v>
      </c>
      <c r="E390" s="201"/>
      <c r="F390" s="328"/>
      <c r="G390" s="201"/>
      <c r="H390" s="298"/>
    </row>
    <row r="391" spans="1:12" s="261" customFormat="1" ht="12.75" hidden="1" customHeight="1" x14ac:dyDescent="0.2">
      <c r="A391" s="199"/>
      <c r="B391" s="200"/>
      <c r="C391" s="220"/>
      <c r="D391" s="233" t="s">
        <v>289</v>
      </c>
      <c r="E391" s="201"/>
      <c r="F391" s="328"/>
      <c r="G391" s="201"/>
      <c r="H391" s="298"/>
    </row>
    <row r="392" spans="1:12" s="261" customFormat="1" ht="12.75" hidden="1" customHeight="1" x14ac:dyDescent="0.2">
      <c r="A392" s="199"/>
      <c r="B392" s="200"/>
      <c r="C392" s="220"/>
      <c r="D392" s="233" t="s">
        <v>258</v>
      </c>
      <c r="E392" s="201"/>
      <c r="F392" s="328"/>
      <c r="G392" s="201"/>
      <c r="H392" s="298"/>
      <c r="I392" s="318"/>
    </row>
    <row r="393" spans="1:12" s="261" customFormat="1" ht="12.75" hidden="1" customHeight="1" x14ac:dyDescent="0.2">
      <c r="A393" s="199"/>
      <c r="B393" s="200"/>
      <c r="C393" s="220"/>
      <c r="D393" s="233" t="s">
        <v>333</v>
      </c>
      <c r="E393" s="201"/>
      <c r="F393" s="328"/>
      <c r="G393" s="201"/>
      <c r="H393" s="298"/>
      <c r="I393" s="320"/>
    </row>
    <row r="394" spans="1:12" s="261" customFormat="1" ht="12.75" hidden="1" customHeight="1" x14ac:dyDescent="0.2">
      <c r="A394" s="199"/>
      <c r="B394" s="200"/>
      <c r="C394" s="220"/>
      <c r="D394" s="233" t="s">
        <v>471</v>
      </c>
      <c r="E394" s="201"/>
      <c r="F394" s="328"/>
      <c r="G394" s="201"/>
      <c r="H394" s="298"/>
      <c r="I394" s="318"/>
    </row>
    <row r="395" spans="1:12" s="261" customFormat="1" ht="12.75" customHeight="1" x14ac:dyDescent="0.2">
      <c r="A395" s="195">
        <f>1+A385</f>
        <v>42</v>
      </c>
      <c r="B395" s="264">
        <v>4091</v>
      </c>
      <c r="C395" s="266" t="s">
        <v>276</v>
      </c>
      <c r="D395" s="495" t="str">
        <f>$D$5</f>
        <v>FTE April  2024</v>
      </c>
      <c r="E395" s="198">
        <f>'4091'!I$145</f>
        <v>301816.63</v>
      </c>
      <c r="F395" s="329"/>
      <c r="G395" s="198">
        <f>SUBTOTAL(109,E395:F404)</f>
        <v>301816.63</v>
      </c>
      <c r="H395" s="298"/>
      <c r="L395" s="319"/>
    </row>
    <row r="396" spans="1:12" s="261" customFormat="1" ht="12.75" hidden="1" customHeight="1" x14ac:dyDescent="0.2">
      <c r="A396" s="195"/>
      <c r="B396" s="264"/>
      <c r="C396" s="266"/>
      <c r="D396" s="232" t="s">
        <v>279</v>
      </c>
      <c r="E396" s="198"/>
      <c r="F396" s="329"/>
      <c r="G396" s="198"/>
      <c r="H396" s="298"/>
    </row>
    <row r="397" spans="1:12" s="261" customFormat="1" ht="12.75" hidden="1" customHeight="1" x14ac:dyDescent="0.2">
      <c r="A397" s="195"/>
      <c r="B397" s="196"/>
      <c r="C397" s="219"/>
      <c r="D397" s="342" t="s">
        <v>470</v>
      </c>
      <c r="E397" s="198"/>
      <c r="F397" s="329"/>
      <c r="G397" s="198"/>
      <c r="H397" s="298"/>
      <c r="I397" s="196"/>
    </row>
    <row r="398" spans="1:12" s="261" customFormat="1" ht="12.75" hidden="1" customHeight="1" x14ac:dyDescent="0.2">
      <c r="A398" s="195"/>
      <c r="B398" s="264"/>
      <c r="C398" s="266"/>
      <c r="D398" s="232" t="s">
        <v>281</v>
      </c>
      <c r="E398" s="198"/>
      <c r="F398" s="329"/>
      <c r="G398" s="198"/>
      <c r="H398" s="298"/>
      <c r="I398" s="196"/>
    </row>
    <row r="399" spans="1:12" s="261" customFormat="1" ht="12.75" hidden="1" customHeight="1" x14ac:dyDescent="0.2">
      <c r="A399" s="195"/>
      <c r="B399" s="264"/>
      <c r="C399" s="266"/>
      <c r="D399" s="232" t="s">
        <v>280</v>
      </c>
      <c r="E399" s="198"/>
      <c r="F399" s="329"/>
      <c r="G399" s="198"/>
      <c r="H399" s="298"/>
    </row>
    <row r="400" spans="1:12" s="261" customFormat="1" ht="12.75" hidden="1" customHeight="1" x14ac:dyDescent="0.2">
      <c r="A400" s="195"/>
      <c r="B400" s="264"/>
      <c r="C400" s="266"/>
      <c r="D400" s="232" t="s">
        <v>289</v>
      </c>
      <c r="E400" s="198"/>
      <c r="F400" s="329"/>
      <c r="G400" s="198"/>
      <c r="H400" s="298"/>
    </row>
    <row r="401" spans="1:13" s="261" customFormat="1" ht="12.75" hidden="1" customHeight="1" x14ac:dyDescent="0.2">
      <c r="A401" s="195"/>
      <c r="B401" s="196"/>
      <c r="C401" s="219"/>
      <c r="D401" s="232" t="s">
        <v>258</v>
      </c>
      <c r="E401" s="198"/>
      <c r="F401" s="329"/>
      <c r="G401" s="198"/>
      <c r="H401" s="298"/>
    </row>
    <row r="402" spans="1:13" s="261" customFormat="1" ht="12.75" hidden="1" customHeight="1" x14ac:dyDescent="0.2">
      <c r="A402" s="195"/>
      <c r="B402" s="196"/>
      <c r="C402" s="219"/>
      <c r="D402" s="232" t="s">
        <v>333</v>
      </c>
      <c r="E402" s="198"/>
      <c r="F402" s="329"/>
      <c r="G402" s="198"/>
      <c r="H402" s="298"/>
    </row>
    <row r="403" spans="1:13" s="261" customFormat="1" ht="12.75" hidden="1" customHeight="1" x14ac:dyDescent="0.2">
      <c r="A403" s="195"/>
      <c r="B403" s="196"/>
      <c r="C403" s="219"/>
      <c r="D403" s="278" t="s">
        <v>472</v>
      </c>
      <c r="E403" s="198"/>
      <c r="F403" s="329"/>
      <c r="G403" s="198"/>
      <c r="H403" s="298"/>
    </row>
    <row r="404" spans="1:13" s="261" customFormat="1" ht="12.75" hidden="1" customHeight="1" x14ac:dyDescent="0.2">
      <c r="A404" s="195"/>
      <c r="B404" s="196"/>
      <c r="C404" s="219"/>
      <c r="D404" s="278" t="s">
        <v>365</v>
      </c>
      <c r="E404" s="198"/>
      <c r="F404" s="329"/>
      <c r="G404" s="198"/>
      <c r="H404" s="298"/>
    </row>
    <row r="405" spans="1:13" s="261" customFormat="1" ht="12.75" customHeight="1" x14ac:dyDescent="0.2">
      <c r="A405" s="199">
        <f>1+A395</f>
        <v>43</v>
      </c>
      <c r="B405" s="200">
        <v>4100</v>
      </c>
      <c r="C405" s="220" t="s">
        <v>268</v>
      </c>
      <c r="D405" s="279" t="str">
        <f>$D$5</f>
        <v>FTE April  2024</v>
      </c>
      <c r="E405" s="201">
        <f>'4100'!I$145</f>
        <v>265768.92</v>
      </c>
      <c r="F405" s="328"/>
      <c r="G405" s="201">
        <f>SUBTOTAL(109,E405:F413)</f>
        <v>265768.92</v>
      </c>
      <c r="H405" s="298"/>
      <c r="M405" s="319"/>
    </row>
    <row r="406" spans="1:13" s="261" customFormat="1" ht="12.75" hidden="1" customHeight="1" x14ac:dyDescent="0.2">
      <c r="A406" s="199"/>
      <c r="B406" s="200"/>
      <c r="C406" s="220"/>
      <c r="D406" s="233" t="s">
        <v>279</v>
      </c>
      <c r="E406" s="201"/>
      <c r="F406" s="328"/>
      <c r="G406" s="201"/>
      <c r="H406" s="298"/>
    </row>
    <row r="407" spans="1:13" s="261" customFormat="1" ht="12.75" hidden="1" customHeight="1" x14ac:dyDescent="0.2">
      <c r="A407" s="199"/>
      <c r="B407" s="200"/>
      <c r="C407" s="220"/>
      <c r="D407" s="374" t="s">
        <v>470</v>
      </c>
      <c r="E407" s="201"/>
      <c r="F407" s="328"/>
      <c r="G407" s="201"/>
      <c r="H407" s="298"/>
      <c r="I407" s="196"/>
    </row>
    <row r="408" spans="1:13" s="261" customFormat="1" ht="12.75" hidden="1" customHeight="1" x14ac:dyDescent="0.2">
      <c r="A408" s="199"/>
      <c r="B408" s="200"/>
      <c r="C408" s="220"/>
      <c r="D408" s="233" t="s">
        <v>281</v>
      </c>
      <c r="E408" s="201"/>
      <c r="F408" s="328"/>
      <c r="G408" s="201"/>
      <c r="H408" s="298"/>
    </row>
    <row r="409" spans="1:13" s="261" customFormat="1" ht="12.75" hidden="1" customHeight="1" x14ac:dyDescent="0.2">
      <c r="A409" s="199"/>
      <c r="B409" s="200"/>
      <c r="C409" s="220"/>
      <c r="D409" s="233" t="s">
        <v>280</v>
      </c>
      <c r="E409" s="201"/>
      <c r="F409" s="328"/>
      <c r="G409" s="201"/>
      <c r="H409" s="298"/>
    </row>
    <row r="410" spans="1:13" s="261" customFormat="1" ht="12.75" hidden="1" customHeight="1" x14ac:dyDescent="0.2">
      <c r="A410" s="199"/>
      <c r="B410" s="200"/>
      <c r="C410" s="220"/>
      <c r="D410" s="233" t="s">
        <v>289</v>
      </c>
      <c r="E410" s="201"/>
      <c r="F410" s="328"/>
      <c r="G410" s="201"/>
      <c r="H410" s="298"/>
    </row>
    <row r="411" spans="1:13" s="261" customFormat="1" ht="12.75" hidden="1" customHeight="1" x14ac:dyDescent="0.2">
      <c r="A411" s="199"/>
      <c r="B411" s="200"/>
      <c r="C411" s="220"/>
      <c r="D411" s="233" t="s">
        <v>258</v>
      </c>
      <c r="E411" s="201"/>
      <c r="F411" s="328"/>
      <c r="G411" s="201"/>
      <c r="H411" s="298"/>
      <c r="I411" s="318"/>
    </row>
    <row r="412" spans="1:13" s="261" customFormat="1" ht="12.75" hidden="1" customHeight="1" x14ac:dyDescent="0.2">
      <c r="A412" s="199"/>
      <c r="B412" s="200"/>
      <c r="C412" s="220"/>
      <c r="D412" s="233" t="s">
        <v>333</v>
      </c>
      <c r="E412" s="201"/>
      <c r="F412" s="328"/>
      <c r="G412" s="201"/>
      <c r="H412" s="298"/>
      <c r="I412" s="320"/>
    </row>
    <row r="413" spans="1:13" s="261" customFormat="1" ht="12.75" hidden="1" customHeight="1" x14ac:dyDescent="0.2">
      <c r="A413" s="199"/>
      <c r="B413" s="200"/>
      <c r="C413" s="220"/>
      <c r="D413" s="233" t="s">
        <v>319</v>
      </c>
      <c r="E413" s="201"/>
      <c r="F413" s="328"/>
      <c r="G413" s="201"/>
      <c r="H413" s="298"/>
    </row>
    <row r="414" spans="1:13" s="261" customFormat="1" ht="12.75" customHeight="1" x14ac:dyDescent="0.2">
      <c r="A414" s="195">
        <f>1+A405</f>
        <v>44</v>
      </c>
      <c r="B414" s="264">
        <v>4102</v>
      </c>
      <c r="C414" s="266" t="s">
        <v>283</v>
      </c>
      <c r="D414" s="495" t="str">
        <f>$D$5</f>
        <v>FTE April  2024</v>
      </c>
      <c r="E414" s="198">
        <f>'4102'!I$145</f>
        <v>38415.730000000003</v>
      </c>
      <c r="F414" s="329"/>
      <c r="G414" s="198">
        <f>SUBTOTAL(109,E414:F421)</f>
        <v>33352.550000000003</v>
      </c>
      <c r="H414" s="298"/>
    </row>
    <row r="415" spans="1:13" s="261" customFormat="1" ht="12.75" hidden="1" customHeight="1" x14ac:dyDescent="0.2">
      <c r="A415" s="195"/>
      <c r="B415" s="264"/>
      <c r="C415" s="266"/>
      <c r="D415" s="232" t="s">
        <v>279</v>
      </c>
      <c r="E415" s="198"/>
      <c r="F415" s="329"/>
      <c r="G415" s="198"/>
      <c r="H415" s="298"/>
    </row>
    <row r="416" spans="1:13" s="261" customFormat="1" ht="12.75" customHeight="1" x14ac:dyDescent="0.2">
      <c r="A416" s="195"/>
      <c r="B416" s="196"/>
      <c r="C416" s="219"/>
      <c r="D416" s="342" t="s">
        <v>488</v>
      </c>
      <c r="E416" s="437"/>
      <c r="F416" s="329">
        <v>-5063.18</v>
      </c>
      <c r="G416" s="198"/>
      <c r="H416" s="298"/>
    </row>
    <row r="417" spans="1:9" s="261" customFormat="1" ht="12.75" hidden="1" customHeight="1" x14ac:dyDescent="0.2">
      <c r="A417" s="195"/>
      <c r="B417" s="264"/>
      <c r="C417" s="266"/>
      <c r="D417" s="232" t="s">
        <v>281</v>
      </c>
      <c r="E417" s="198"/>
      <c r="F417" s="329"/>
      <c r="G417" s="198"/>
      <c r="H417" s="298"/>
      <c r="I417" s="196"/>
    </row>
    <row r="418" spans="1:9" s="261" customFormat="1" ht="12.75" hidden="1" customHeight="1" x14ac:dyDescent="0.2">
      <c r="A418" s="195"/>
      <c r="B418" s="264"/>
      <c r="C418" s="266"/>
      <c r="D418" s="232" t="s">
        <v>280</v>
      </c>
      <c r="E418" s="198"/>
      <c r="F418" s="329"/>
      <c r="G418" s="198"/>
      <c r="H418" s="298"/>
    </row>
    <row r="419" spans="1:9" s="261" customFormat="1" ht="12.75" hidden="1" customHeight="1" x14ac:dyDescent="0.2">
      <c r="A419" s="195"/>
      <c r="B419" s="264"/>
      <c r="C419" s="266"/>
      <c r="D419" s="232" t="s">
        <v>289</v>
      </c>
      <c r="E419" s="198"/>
      <c r="F419" s="329"/>
      <c r="G419" s="198"/>
      <c r="H419" s="298"/>
    </row>
    <row r="420" spans="1:9" s="261" customFormat="1" ht="12.75" hidden="1" customHeight="1" x14ac:dyDescent="0.2">
      <c r="A420" s="195"/>
      <c r="B420" s="196"/>
      <c r="C420" s="219"/>
      <c r="D420" s="232" t="s">
        <v>258</v>
      </c>
      <c r="E420" s="198"/>
      <c r="F420" s="329"/>
      <c r="G420" s="198"/>
      <c r="H420" s="298"/>
    </row>
    <row r="421" spans="1:9" s="261" customFormat="1" ht="12.75" hidden="1" customHeight="1" x14ac:dyDescent="0.2">
      <c r="A421" s="195"/>
      <c r="B421" s="196"/>
      <c r="C421" s="219"/>
      <c r="D421" s="278" t="s">
        <v>319</v>
      </c>
      <c r="E421" s="198"/>
      <c r="F421" s="329"/>
      <c r="G421" s="198"/>
      <c r="H421" s="298"/>
    </row>
    <row r="422" spans="1:9" s="261" customFormat="1" ht="12.75" customHeight="1" x14ac:dyDescent="0.2">
      <c r="A422" s="199">
        <f>A414+1</f>
        <v>45</v>
      </c>
      <c r="B422" s="200">
        <v>4103</v>
      </c>
      <c r="C422" s="220" t="s">
        <v>300</v>
      </c>
      <c r="D422" s="279" t="str">
        <f>$D$5</f>
        <v>FTE April  2024</v>
      </c>
      <c r="E422" s="201">
        <f>'4103'!I$145</f>
        <v>720051.84</v>
      </c>
      <c r="F422" s="328"/>
      <c r="G422" s="201">
        <f>SUBTOTAL(109,E422:F431)</f>
        <v>720051.84</v>
      </c>
      <c r="H422" s="298"/>
    </row>
    <row r="423" spans="1:9" s="261" customFormat="1" ht="12.75" hidden="1" customHeight="1" x14ac:dyDescent="0.2">
      <c r="A423" s="199"/>
      <c r="B423" s="200"/>
      <c r="C423" s="220"/>
      <c r="D423" s="233" t="s">
        <v>279</v>
      </c>
      <c r="E423" s="201"/>
      <c r="F423" s="328"/>
      <c r="G423" s="201"/>
      <c r="H423" s="298"/>
    </row>
    <row r="424" spans="1:9" s="261" customFormat="1" ht="12.75" hidden="1" customHeight="1" x14ac:dyDescent="0.2">
      <c r="A424" s="199"/>
      <c r="B424" s="200"/>
      <c r="C424" s="220"/>
      <c r="D424" s="374" t="s">
        <v>470</v>
      </c>
      <c r="E424" s="201"/>
      <c r="F424" s="328"/>
      <c r="G424" s="201"/>
      <c r="H424" s="298"/>
    </row>
    <row r="425" spans="1:9" s="261" customFormat="1" ht="12.75" hidden="1" customHeight="1" x14ac:dyDescent="0.2">
      <c r="A425" s="199"/>
      <c r="B425" s="200"/>
      <c r="C425" s="220"/>
      <c r="D425" s="374" t="s">
        <v>336</v>
      </c>
      <c r="E425" s="201"/>
      <c r="F425" s="328"/>
      <c r="G425" s="201"/>
      <c r="H425" s="298"/>
    </row>
    <row r="426" spans="1:9" s="261" customFormat="1" ht="12.75" hidden="1" customHeight="1" x14ac:dyDescent="0.2">
      <c r="A426" s="199"/>
      <c r="B426" s="200"/>
      <c r="C426" s="220"/>
      <c r="D426" s="233" t="s">
        <v>281</v>
      </c>
      <c r="E426" s="201"/>
      <c r="F426" s="328"/>
      <c r="G426" s="201"/>
      <c r="H426" s="298"/>
      <c r="I426" s="196"/>
    </row>
    <row r="427" spans="1:9" s="261" customFormat="1" ht="12.75" hidden="1" customHeight="1" x14ac:dyDescent="0.2">
      <c r="A427" s="199"/>
      <c r="B427" s="200"/>
      <c r="C427" s="220"/>
      <c r="D427" s="233" t="s">
        <v>280</v>
      </c>
      <c r="E427" s="201"/>
      <c r="F427" s="328"/>
      <c r="G427" s="201"/>
      <c r="H427" s="298"/>
    </row>
    <row r="428" spans="1:9" s="261" customFormat="1" ht="12.75" hidden="1" customHeight="1" x14ac:dyDescent="0.2">
      <c r="A428" s="199"/>
      <c r="B428" s="200"/>
      <c r="C428" s="220"/>
      <c r="D428" s="233" t="s">
        <v>289</v>
      </c>
      <c r="E428" s="201"/>
      <c r="F428" s="328"/>
      <c r="G428" s="201"/>
      <c r="H428" s="298"/>
    </row>
    <row r="429" spans="1:9" s="261" customFormat="1" ht="12.75" hidden="1" customHeight="1" x14ac:dyDescent="0.2">
      <c r="A429" s="199"/>
      <c r="B429" s="200"/>
      <c r="C429" s="220"/>
      <c r="D429" s="233" t="s">
        <v>258</v>
      </c>
      <c r="E429" s="201"/>
      <c r="F429" s="328"/>
      <c r="G429" s="201"/>
      <c r="H429" s="298"/>
      <c r="I429" s="188"/>
    </row>
    <row r="430" spans="1:9" s="261" customFormat="1" ht="12.75" hidden="1" customHeight="1" x14ac:dyDescent="0.2">
      <c r="A430" s="199"/>
      <c r="B430" s="200"/>
      <c r="C430" s="220"/>
      <c r="D430" s="233" t="s">
        <v>333</v>
      </c>
      <c r="E430" s="201"/>
      <c r="F430" s="328"/>
      <c r="G430" s="201"/>
      <c r="H430" s="298"/>
      <c r="I430" s="318"/>
    </row>
    <row r="431" spans="1:9" s="261" customFormat="1" ht="12.75" hidden="1" customHeight="1" x14ac:dyDescent="0.2">
      <c r="A431" s="199"/>
      <c r="B431" s="200"/>
      <c r="C431" s="220"/>
      <c r="D431" s="233" t="s">
        <v>319</v>
      </c>
      <c r="E431" s="201"/>
      <c r="F431" s="328"/>
      <c r="G431" s="201"/>
      <c r="H431" s="298"/>
      <c r="I431" s="318"/>
    </row>
    <row r="432" spans="1:9" s="261" customFormat="1" ht="12.75" customHeight="1" x14ac:dyDescent="0.2">
      <c r="A432" s="195">
        <f>1+A422</f>
        <v>46</v>
      </c>
      <c r="B432" s="264">
        <v>4111</v>
      </c>
      <c r="C432" s="266" t="s">
        <v>316</v>
      </c>
      <c r="D432" s="495" t="str">
        <f>$D$5</f>
        <v>FTE April  2024</v>
      </c>
      <c r="E432" s="198">
        <f>'4111'!I$145</f>
        <v>194202.77</v>
      </c>
      <c r="F432" s="329"/>
      <c r="G432" s="198">
        <f>SUBTOTAL(109,E432:F440)</f>
        <v>194202.77</v>
      </c>
      <c r="H432" s="298"/>
    </row>
    <row r="433" spans="1:9" s="261" customFormat="1" ht="12.75" hidden="1" customHeight="1" x14ac:dyDescent="0.2">
      <c r="A433" s="195"/>
      <c r="B433" s="264"/>
      <c r="C433" s="266"/>
      <c r="D433" s="232" t="s">
        <v>279</v>
      </c>
      <c r="E433" s="198"/>
      <c r="F433" s="329"/>
      <c r="G433" s="198"/>
      <c r="H433" s="298"/>
    </row>
    <row r="434" spans="1:9" s="261" customFormat="1" ht="12.75" hidden="1" customHeight="1" x14ac:dyDescent="0.2">
      <c r="A434" s="195"/>
      <c r="B434" s="196"/>
      <c r="C434" s="219"/>
      <c r="D434" s="342" t="s">
        <v>470</v>
      </c>
      <c r="E434" s="198"/>
      <c r="F434" s="329"/>
      <c r="G434" s="198"/>
      <c r="H434" s="298"/>
      <c r="I434" s="196"/>
    </row>
    <row r="435" spans="1:9" s="261" customFormat="1" ht="12.75" hidden="1" customHeight="1" x14ac:dyDescent="0.2">
      <c r="A435" s="195"/>
      <c r="B435" s="264"/>
      <c r="C435" s="266"/>
      <c r="D435" s="232" t="s">
        <v>281</v>
      </c>
      <c r="E435" s="198"/>
      <c r="F435" s="329"/>
      <c r="G435" s="198"/>
      <c r="H435" s="298"/>
      <c r="I435" s="196"/>
    </row>
    <row r="436" spans="1:9" s="261" customFormat="1" ht="12.75" hidden="1" customHeight="1" x14ac:dyDescent="0.2">
      <c r="A436" s="195"/>
      <c r="B436" s="264"/>
      <c r="C436" s="266"/>
      <c r="D436" s="232" t="s">
        <v>280</v>
      </c>
      <c r="E436" s="198"/>
      <c r="F436" s="329"/>
      <c r="G436" s="198"/>
      <c r="H436" s="298"/>
    </row>
    <row r="437" spans="1:9" s="261" customFormat="1" ht="12.75" hidden="1" customHeight="1" x14ac:dyDescent="0.2">
      <c r="A437" s="195"/>
      <c r="B437" s="264"/>
      <c r="C437" s="266"/>
      <c r="D437" s="232" t="s">
        <v>289</v>
      </c>
      <c r="E437" s="198"/>
      <c r="F437" s="329"/>
      <c r="G437" s="198"/>
      <c r="H437" s="298"/>
    </row>
    <row r="438" spans="1:9" s="261" customFormat="1" ht="12.75" hidden="1" customHeight="1" x14ac:dyDescent="0.2">
      <c r="A438" s="195"/>
      <c r="B438" s="196"/>
      <c r="C438" s="219"/>
      <c r="D438" s="232" t="s">
        <v>258</v>
      </c>
      <c r="E438" s="198"/>
      <c r="F438" s="329"/>
      <c r="G438" s="198"/>
      <c r="H438" s="298"/>
    </row>
    <row r="439" spans="1:9" s="261" customFormat="1" ht="12.75" hidden="1" customHeight="1" x14ac:dyDescent="0.2">
      <c r="A439" s="195"/>
      <c r="B439" s="196"/>
      <c r="C439" s="219"/>
      <c r="D439" s="232" t="s">
        <v>333</v>
      </c>
      <c r="E439" s="198"/>
      <c r="F439" s="329"/>
      <c r="G439" s="198"/>
      <c r="H439" s="298"/>
    </row>
    <row r="440" spans="1:9" s="261" customFormat="1" ht="1.5" customHeight="1" x14ac:dyDescent="0.2">
      <c r="A440" s="195"/>
      <c r="B440" s="196"/>
      <c r="C440" s="219"/>
      <c r="D440" s="278" t="s">
        <v>319</v>
      </c>
      <c r="E440" s="198"/>
      <c r="F440" s="329"/>
      <c r="G440" s="198"/>
      <c r="H440" s="298"/>
    </row>
    <row r="441" spans="1:9" s="261" customFormat="1" ht="12.75" customHeight="1" x14ac:dyDescent="0.2">
      <c r="A441" s="199">
        <f>1+A432</f>
        <v>47</v>
      </c>
      <c r="B441" s="380">
        <v>4131</v>
      </c>
      <c r="C441" s="381" t="s">
        <v>351</v>
      </c>
      <c r="D441" s="279" t="str">
        <f>$D$5</f>
        <v>FTE April  2024</v>
      </c>
      <c r="E441" s="201">
        <f>'4131'!I$145</f>
        <v>62554.81</v>
      </c>
      <c r="F441" s="328"/>
      <c r="G441" s="201">
        <f>SUBTOTAL(109,E441:F449)</f>
        <v>62554.81</v>
      </c>
      <c r="H441" s="298"/>
    </row>
    <row r="442" spans="1:9" s="261" customFormat="1" ht="12.75" hidden="1" customHeight="1" x14ac:dyDescent="0.2">
      <c r="A442" s="199"/>
      <c r="B442" s="380"/>
      <c r="C442" s="381"/>
      <c r="D442" s="233" t="s">
        <v>279</v>
      </c>
      <c r="E442" s="201"/>
      <c r="F442" s="328"/>
      <c r="G442" s="201"/>
      <c r="H442" s="298"/>
    </row>
    <row r="443" spans="1:9" s="261" customFormat="1" ht="12.75" hidden="1" customHeight="1" x14ac:dyDescent="0.2">
      <c r="A443" s="199"/>
      <c r="B443" s="200"/>
      <c r="C443" s="220"/>
      <c r="D443" s="374" t="s">
        <v>337</v>
      </c>
      <c r="E443" s="201"/>
      <c r="F443" s="328"/>
      <c r="G443" s="201"/>
      <c r="H443" s="298"/>
    </row>
    <row r="444" spans="1:9" s="261" customFormat="1" ht="12.75" hidden="1" customHeight="1" x14ac:dyDescent="0.2">
      <c r="A444" s="199"/>
      <c r="B444" s="380"/>
      <c r="C444" s="381"/>
      <c r="D444" s="233" t="s">
        <v>281</v>
      </c>
      <c r="E444" s="201"/>
      <c r="F444" s="328"/>
      <c r="G444" s="201"/>
      <c r="H444" s="298"/>
      <c r="I444" s="196"/>
    </row>
    <row r="445" spans="1:9" s="261" customFormat="1" ht="12.75" hidden="1" customHeight="1" x14ac:dyDescent="0.2">
      <c r="A445" s="199"/>
      <c r="B445" s="380"/>
      <c r="C445" s="381"/>
      <c r="D445" s="233" t="s">
        <v>280</v>
      </c>
      <c r="E445" s="201"/>
      <c r="F445" s="328"/>
      <c r="G445" s="201"/>
      <c r="H445" s="298"/>
    </row>
    <row r="446" spans="1:9" s="261" customFormat="1" ht="12.75" hidden="1" customHeight="1" x14ac:dyDescent="0.2">
      <c r="A446" s="199"/>
      <c r="B446" s="380"/>
      <c r="C446" s="381"/>
      <c r="D446" s="233" t="s">
        <v>289</v>
      </c>
      <c r="E446" s="201"/>
      <c r="F446" s="328"/>
      <c r="G446" s="201"/>
      <c r="H446" s="298"/>
    </row>
    <row r="447" spans="1:9" s="261" customFormat="1" ht="12.75" hidden="1" customHeight="1" x14ac:dyDescent="0.2">
      <c r="A447" s="199"/>
      <c r="B447" s="200"/>
      <c r="C447" s="220"/>
      <c r="D447" s="233" t="s">
        <v>258</v>
      </c>
      <c r="E447" s="201"/>
      <c r="F447" s="328"/>
      <c r="G447" s="201"/>
      <c r="H447" s="298"/>
      <c r="I447" s="188"/>
    </row>
    <row r="448" spans="1:9" s="261" customFormat="1" ht="12.75" hidden="1" customHeight="1" x14ac:dyDescent="0.2">
      <c r="A448" s="199"/>
      <c r="B448" s="200"/>
      <c r="C448" s="220"/>
      <c r="D448" s="233" t="s">
        <v>333</v>
      </c>
      <c r="E448" s="201"/>
      <c r="F448" s="328"/>
      <c r="G448" s="201"/>
      <c r="H448" s="298"/>
      <c r="I448" s="318"/>
    </row>
    <row r="449" spans="1:9" s="261" customFormat="1" ht="12.75" hidden="1" customHeight="1" x14ac:dyDescent="0.2">
      <c r="A449" s="199"/>
      <c r="B449" s="200"/>
      <c r="C449" s="220"/>
      <c r="D449" s="280" t="s">
        <v>319</v>
      </c>
      <c r="E449" s="201"/>
      <c r="F449" s="328"/>
      <c r="G449" s="201"/>
      <c r="H449" s="298"/>
      <c r="I449" s="320"/>
    </row>
    <row r="450" spans="1:9" s="261" customFormat="1" ht="12.75" customHeight="1" x14ac:dyDescent="0.2">
      <c r="A450" s="192"/>
      <c r="B450" s="188"/>
      <c r="C450" s="188"/>
      <c r="D450" s="282"/>
      <c r="E450" s="188"/>
      <c r="F450" s="330"/>
      <c r="G450" s="188"/>
      <c r="H450" s="298"/>
      <c r="I450" s="318"/>
    </row>
    <row r="451" spans="1:9" s="261" customFormat="1" ht="12.75" customHeight="1" thickBot="1" x14ac:dyDescent="0.25">
      <c r="A451" s="188"/>
      <c r="B451" s="191"/>
      <c r="C451" s="218"/>
      <c r="D451" s="282" t="s">
        <v>185</v>
      </c>
      <c r="E451" s="203">
        <f>SUBTOTAL(109,E5:E450)</f>
        <v>16783773.719999999</v>
      </c>
      <c r="F451" s="203">
        <f>SUBTOTAL(109,F5:F450)</f>
        <v>-92168.07</v>
      </c>
      <c r="G451" s="203">
        <f>ROUND(SUM(G5:G450),2)</f>
        <v>16691605.65</v>
      </c>
      <c r="H451" s="298"/>
    </row>
    <row r="452" spans="1:9" s="261" customFormat="1" ht="12.75" customHeight="1" thickTop="1" x14ac:dyDescent="0.2">
      <c r="A452" s="188"/>
      <c r="B452" s="191"/>
      <c r="C452" s="218"/>
      <c r="D452" s="188"/>
      <c r="E452" s="188"/>
      <c r="F452" s="239"/>
      <c r="G452" s="202">
        <f>ROUND(G451-E451-F451,2)</f>
        <v>0</v>
      </c>
      <c r="H452" s="298"/>
    </row>
    <row r="453" spans="1:9" s="261" customFormat="1" ht="12.75" customHeight="1" x14ac:dyDescent="0.2">
      <c r="A453" s="188"/>
      <c r="B453" s="191"/>
      <c r="C453" s="218"/>
      <c r="D453" s="188"/>
      <c r="E453" s="188"/>
      <c r="F453" s="239"/>
      <c r="G453" s="188"/>
      <c r="H453" s="298"/>
      <c r="I453" s="196"/>
    </row>
    <row r="454" spans="1:9" s="261" customFormat="1" ht="12.75" customHeight="1" x14ac:dyDescent="0.2">
      <c r="A454" s="188"/>
      <c r="B454" s="191"/>
      <c r="C454" s="218"/>
      <c r="D454" s="188"/>
      <c r="E454" s="188"/>
      <c r="F454" s="239"/>
      <c r="G454" s="188"/>
      <c r="H454" s="298"/>
    </row>
    <row r="455" spans="1:9" s="261" customFormat="1" ht="12.75" customHeight="1" x14ac:dyDescent="0.2">
      <c r="A455" s="188"/>
      <c r="B455" s="191"/>
      <c r="C455" s="218"/>
      <c r="D455" s="188"/>
      <c r="E455" s="188"/>
      <c r="F455" s="239"/>
      <c r="G455" s="188"/>
      <c r="H455" s="298"/>
    </row>
    <row r="456" spans="1:9" s="261" customFormat="1" ht="12.75" customHeight="1" x14ac:dyDescent="0.2">
      <c r="A456" s="188"/>
      <c r="B456" s="191"/>
      <c r="C456" s="218"/>
      <c r="D456" s="188"/>
      <c r="E456" s="188"/>
      <c r="F456" s="239"/>
      <c r="G456" s="188"/>
      <c r="H456" s="298"/>
      <c r="I456" s="188"/>
    </row>
    <row r="457" spans="1:9" s="261" customFormat="1" ht="12.75" customHeight="1" x14ac:dyDescent="0.2">
      <c r="A457" s="188"/>
      <c r="B457" s="191"/>
      <c r="C457" s="218"/>
      <c r="D457" s="188"/>
      <c r="E457" s="188"/>
      <c r="F457" s="239"/>
      <c r="G457" s="188"/>
      <c r="H457" s="298"/>
      <c r="I457" s="318"/>
    </row>
    <row r="458" spans="1:9" s="261" customFormat="1" ht="12.75" customHeight="1" x14ac:dyDescent="0.2">
      <c r="A458" s="270"/>
      <c r="B458" s="191"/>
      <c r="C458" s="242"/>
      <c r="D458" s="270" t="s">
        <v>255</v>
      </c>
      <c r="E458" s="202">
        <f>Consolidated!I143</f>
        <v>16783773.719999999</v>
      </c>
      <c r="F458" s="239"/>
      <c r="G458" s="202">
        <f t="shared" ref="G458:G463" si="0">E458+F458</f>
        <v>16783773.719999999</v>
      </c>
      <c r="H458" s="298"/>
      <c r="I458" s="320"/>
    </row>
    <row r="459" spans="1:9" s="261" customFormat="1" ht="12.75" hidden="1" customHeight="1" x14ac:dyDescent="0.2">
      <c r="A459" s="188"/>
      <c r="B459" s="188"/>
      <c r="C459" s="188"/>
      <c r="D459" s="197" t="s">
        <v>279</v>
      </c>
      <c r="E459" s="188"/>
      <c r="F459" s="260">
        <f>SUM(SUMIF(D$5:D$450,D459,F$5:F$450))</f>
        <v>0</v>
      </c>
      <c r="G459" s="202">
        <f t="shared" si="0"/>
        <v>0</v>
      </c>
      <c r="H459" s="298"/>
      <c r="I459" s="507"/>
    </row>
    <row r="460" spans="1:9" ht="12.75" hidden="1" customHeight="1" x14ac:dyDescent="0.2">
      <c r="D460" s="503" t="s">
        <v>470</v>
      </c>
      <c r="F460" s="260">
        <f t="shared" ref="F460:F477" si="1">SUM(SUMIF(D$5:D$450,D460,F$5:F$450))</f>
        <v>0</v>
      </c>
      <c r="G460" s="202">
        <f t="shared" si="0"/>
        <v>0</v>
      </c>
      <c r="H460" s="299"/>
    </row>
    <row r="461" spans="1:9" ht="12.75" hidden="1" customHeight="1" x14ac:dyDescent="0.2">
      <c r="D461" s="197" t="s">
        <v>338</v>
      </c>
      <c r="F461" s="260">
        <f t="shared" si="1"/>
        <v>0</v>
      </c>
      <c r="G461" s="202">
        <f t="shared" si="0"/>
        <v>0</v>
      </c>
    </row>
    <row r="462" spans="1:9" ht="12.75" hidden="1" customHeight="1" x14ac:dyDescent="0.2">
      <c r="D462" s="197" t="s">
        <v>339</v>
      </c>
      <c r="F462" s="260">
        <f t="shared" si="1"/>
        <v>0</v>
      </c>
      <c r="G462" s="202">
        <f t="shared" si="0"/>
        <v>0</v>
      </c>
    </row>
    <row r="463" spans="1:9" ht="12.75" hidden="1" customHeight="1" x14ac:dyDescent="0.2">
      <c r="D463" s="373" t="s">
        <v>336</v>
      </c>
      <c r="F463" s="260">
        <f t="shared" si="1"/>
        <v>0</v>
      </c>
      <c r="G463" s="202">
        <f t="shared" si="0"/>
        <v>0</v>
      </c>
    </row>
    <row r="464" spans="1:9" ht="12.75" hidden="1" customHeight="1" x14ac:dyDescent="0.2">
      <c r="D464" s="197" t="s">
        <v>281</v>
      </c>
      <c r="F464" s="260">
        <f t="shared" si="1"/>
        <v>0</v>
      </c>
      <c r="G464" s="202">
        <f t="shared" ref="G464:G469" si="2">E464+F464</f>
        <v>0</v>
      </c>
    </row>
    <row r="465" spans="1:10" ht="12.75" hidden="1" customHeight="1" x14ac:dyDescent="0.2">
      <c r="D465" s="197" t="s">
        <v>328</v>
      </c>
      <c r="F465" s="260">
        <f t="shared" si="1"/>
        <v>0</v>
      </c>
      <c r="G465" s="202">
        <f t="shared" si="2"/>
        <v>0</v>
      </c>
    </row>
    <row r="466" spans="1:10" ht="12.75" hidden="1" customHeight="1" x14ac:dyDescent="0.2">
      <c r="D466" s="188" t="s">
        <v>289</v>
      </c>
      <c r="F466" s="260">
        <f t="shared" si="1"/>
        <v>0</v>
      </c>
      <c r="G466" s="202">
        <f t="shared" si="2"/>
        <v>0</v>
      </c>
    </row>
    <row r="467" spans="1:10" ht="12.75" hidden="1" customHeight="1" x14ac:dyDescent="0.2">
      <c r="A467" s="195"/>
      <c r="B467" s="196"/>
      <c r="C467" s="219"/>
      <c r="D467" s="197" t="s">
        <v>258</v>
      </c>
      <c r="E467" s="198"/>
      <c r="F467" s="260">
        <f t="shared" si="1"/>
        <v>0</v>
      </c>
      <c r="G467" s="202">
        <f t="shared" si="2"/>
        <v>0</v>
      </c>
    </row>
    <row r="468" spans="1:10" ht="12.75" hidden="1" customHeight="1" x14ac:dyDescent="0.2">
      <c r="D468" s="314" t="s">
        <v>292</v>
      </c>
      <c r="F468" s="260">
        <f t="shared" si="1"/>
        <v>0</v>
      </c>
      <c r="G468" s="202">
        <f t="shared" si="2"/>
        <v>0</v>
      </c>
      <c r="J468" s="202"/>
    </row>
    <row r="469" spans="1:10" ht="12.75" customHeight="1" x14ac:dyDescent="0.2">
      <c r="D469" s="314" t="s">
        <v>285</v>
      </c>
      <c r="F469" s="260">
        <f t="shared" si="1"/>
        <v>-69513.88</v>
      </c>
      <c r="G469" s="202">
        <f t="shared" si="2"/>
        <v>-69513.88</v>
      </c>
      <c r="J469" s="202"/>
    </row>
    <row r="470" spans="1:10" ht="12.75" customHeight="1" x14ac:dyDescent="0.2">
      <c r="D470" s="188" t="s">
        <v>230</v>
      </c>
      <c r="F470" s="260">
        <f t="shared" si="1"/>
        <v>-16909</v>
      </c>
      <c r="G470" s="202">
        <f t="shared" ref="G470:G479" si="3">E470+F470</f>
        <v>-16909</v>
      </c>
      <c r="J470" s="202"/>
    </row>
    <row r="471" spans="1:10" ht="12.75" customHeight="1" x14ac:dyDescent="0.2">
      <c r="D471" s="188" t="s">
        <v>231</v>
      </c>
      <c r="F471" s="260">
        <f>SUM(SUMIF(D$5:D$450,D471,F$5:F$450))</f>
        <v>-293.15999999999997</v>
      </c>
      <c r="G471" s="202">
        <f t="shared" si="3"/>
        <v>-293.15999999999997</v>
      </c>
      <c r="J471" s="202"/>
    </row>
    <row r="472" spans="1:10" ht="12.75" customHeight="1" x14ac:dyDescent="0.2">
      <c r="D472" s="242" t="s">
        <v>431</v>
      </c>
      <c r="F472" s="260">
        <f t="shared" si="1"/>
        <v>-188.96</v>
      </c>
      <c r="G472" s="202">
        <f t="shared" si="3"/>
        <v>-188.96</v>
      </c>
      <c r="J472" s="202"/>
    </row>
    <row r="473" spans="1:10" ht="12.75" customHeight="1" x14ac:dyDescent="0.2">
      <c r="D473" s="188" t="s">
        <v>312</v>
      </c>
      <c r="F473" s="260">
        <f t="shared" si="1"/>
        <v>-180</v>
      </c>
      <c r="G473" s="202">
        <f t="shared" si="3"/>
        <v>-180</v>
      </c>
      <c r="J473" s="202"/>
    </row>
    <row r="474" spans="1:10" ht="12.75" hidden="1" customHeight="1" x14ac:dyDescent="0.2">
      <c r="A474" s="195"/>
      <c r="B474" s="196"/>
      <c r="C474" s="219"/>
      <c r="D474" s="197" t="s">
        <v>290</v>
      </c>
      <c r="E474" s="198"/>
      <c r="F474" s="260">
        <f t="shared" si="1"/>
        <v>0</v>
      </c>
      <c r="G474" s="202">
        <f t="shared" si="3"/>
        <v>0</v>
      </c>
    </row>
    <row r="475" spans="1:10" ht="12.75" hidden="1" customHeight="1" x14ac:dyDescent="0.2">
      <c r="D475" s="242" t="s">
        <v>332</v>
      </c>
      <c r="F475" s="260">
        <f t="shared" si="1"/>
        <v>0</v>
      </c>
      <c r="G475" s="202">
        <f t="shared" si="3"/>
        <v>0</v>
      </c>
    </row>
    <row r="476" spans="1:10" ht="12.75" hidden="1" customHeight="1" x14ac:dyDescent="0.2">
      <c r="D476" s="242" t="s">
        <v>331</v>
      </c>
      <c r="F476" s="260">
        <f t="shared" si="1"/>
        <v>0</v>
      </c>
      <c r="G476" s="202">
        <f t="shared" si="3"/>
        <v>0</v>
      </c>
    </row>
    <row r="477" spans="1:10" s="261" customFormat="1" ht="12.75" hidden="1" customHeight="1" x14ac:dyDescent="0.2">
      <c r="A477" s="188"/>
      <c r="B477" s="188"/>
      <c r="C477" s="188"/>
      <c r="D477" s="242" t="s">
        <v>333</v>
      </c>
      <c r="E477" s="188"/>
      <c r="F477" s="260">
        <f t="shared" si="1"/>
        <v>0</v>
      </c>
      <c r="G477" s="202">
        <f t="shared" si="3"/>
        <v>0</v>
      </c>
      <c r="H477" s="298"/>
      <c r="I477" s="318"/>
    </row>
    <row r="478" spans="1:10" ht="12.75" customHeight="1" x14ac:dyDescent="0.2">
      <c r="D478" s="197" t="s">
        <v>490</v>
      </c>
      <c r="F478" s="331">
        <f>SUM(SUMIF(D$5:D$450,"*WPB*",F$5:F$450))</f>
        <v>-19.89</v>
      </c>
      <c r="G478" s="202">
        <f t="shared" si="3"/>
        <v>-19.89</v>
      </c>
    </row>
    <row r="479" spans="1:10" ht="12.75" customHeight="1" x14ac:dyDescent="0.2">
      <c r="D479" s="197" t="s">
        <v>491</v>
      </c>
      <c r="F479" s="331">
        <f>SUM(SUMIF(D$5:D$450,"*Receivable Collection*",F$5:F$450))</f>
        <v>-5063.18</v>
      </c>
      <c r="G479" s="202">
        <f t="shared" si="3"/>
        <v>-5063.18</v>
      </c>
    </row>
    <row r="480" spans="1:10" ht="12.75" customHeight="1" thickBot="1" x14ac:dyDescent="0.25">
      <c r="D480" s="285" t="s">
        <v>250</v>
      </c>
      <c r="E480" s="203">
        <f>SUM(E458:E479)</f>
        <v>16783773.719999999</v>
      </c>
      <c r="F480" s="203">
        <f>SUM(F458:F479)</f>
        <v>-92168.07</v>
      </c>
      <c r="G480" s="203">
        <f>SUM(G458:G479)</f>
        <v>16691605.649999997</v>
      </c>
    </row>
    <row r="481" spans="1:9" ht="12.75" customHeight="1" thickTop="1" x14ac:dyDescent="0.2">
      <c r="D481" s="285"/>
      <c r="E481" s="504"/>
      <c r="F481" s="504"/>
      <c r="G481" s="504"/>
    </row>
    <row r="482" spans="1:9" ht="12.75" customHeight="1" x14ac:dyDescent="0.2">
      <c r="D482" s="285"/>
      <c r="E482" s="504"/>
      <c r="F482" s="504"/>
      <c r="G482" s="504"/>
    </row>
    <row r="483" spans="1:9" ht="12" customHeight="1" x14ac:dyDescent="0.2">
      <c r="D483" s="285"/>
      <c r="E483" s="504"/>
      <c r="F483" s="504"/>
      <c r="G483" s="504"/>
    </row>
    <row r="484" spans="1:9" ht="12.75" customHeight="1" thickBot="1" x14ac:dyDescent="0.25">
      <c r="E484" s="202"/>
      <c r="F484" s="202"/>
      <c r="G484" s="202"/>
    </row>
    <row r="485" spans="1:9" ht="12.75" customHeight="1" thickBot="1" x14ac:dyDescent="0.25">
      <c r="C485" s="522" t="s">
        <v>278</v>
      </c>
      <c r="D485" s="523"/>
      <c r="E485" s="523"/>
      <c r="F485" s="523"/>
      <c r="G485" s="524"/>
    </row>
    <row r="486" spans="1:9" s="261" customFormat="1" ht="12.75" customHeight="1" x14ac:dyDescent="0.2">
      <c r="A486" s="188"/>
      <c r="B486" s="188"/>
      <c r="C486" s="370"/>
      <c r="D486" s="371"/>
      <c r="E486" s="371"/>
      <c r="F486" s="498"/>
      <c r="G486" s="499"/>
      <c r="H486" s="298"/>
      <c r="I486" s="188"/>
    </row>
    <row r="487" spans="1:9" ht="12.75" customHeight="1" x14ac:dyDescent="0.2">
      <c r="C487" s="439" t="s">
        <v>493</v>
      </c>
      <c r="D487" s="508"/>
      <c r="E487" s="508"/>
      <c r="F487" s="498"/>
      <c r="G487" s="500"/>
    </row>
    <row r="488" spans="1:9" ht="12.75" customHeight="1" x14ac:dyDescent="0.2">
      <c r="C488" s="383" t="s">
        <v>494</v>
      </c>
      <c r="D488" s="508"/>
      <c r="E488" s="508"/>
      <c r="F488" s="498"/>
      <c r="G488" s="500"/>
    </row>
    <row r="489" spans="1:9" ht="12.75" customHeight="1" x14ac:dyDescent="0.2">
      <c r="C489" s="383" t="s">
        <v>492</v>
      </c>
      <c r="D489" s="371"/>
      <c r="E489" s="371"/>
      <c r="F489" s="498"/>
      <c r="G489" s="500"/>
    </row>
    <row r="490" spans="1:9" ht="12.75" customHeight="1" x14ac:dyDescent="0.2">
      <c r="C490" s="383"/>
      <c r="D490" s="371"/>
      <c r="E490" s="371"/>
      <c r="F490" s="498"/>
      <c r="G490" s="500"/>
    </row>
    <row r="491" spans="1:9" ht="12.75" customHeight="1" x14ac:dyDescent="0.2">
      <c r="C491" s="370" t="s">
        <v>495</v>
      </c>
      <c r="D491" s="371"/>
      <c r="E491" s="371"/>
      <c r="F491" s="498"/>
      <c r="G491" s="500"/>
      <c r="I491" s="309"/>
    </row>
    <row r="492" spans="1:9" ht="12.75" customHeight="1" x14ac:dyDescent="0.2">
      <c r="C492" s="383" t="s">
        <v>496</v>
      </c>
      <c r="D492" s="371"/>
      <c r="E492" s="371"/>
      <c r="F492" s="498"/>
      <c r="G492" s="500"/>
      <c r="H492" s="309"/>
      <c r="I492" s="261"/>
    </row>
    <row r="493" spans="1:9" ht="12.75" customHeight="1" x14ac:dyDescent="0.2">
      <c r="C493" s="383"/>
      <c r="D493" s="371"/>
      <c r="E493" s="371"/>
      <c r="F493" s="498"/>
      <c r="G493" s="500"/>
      <c r="H493" s="309"/>
      <c r="I493" s="261"/>
    </row>
    <row r="494" spans="1:9" ht="12.75" customHeight="1" x14ac:dyDescent="0.2">
      <c r="C494" s="383"/>
      <c r="D494" s="371"/>
      <c r="E494" s="371"/>
      <c r="F494" s="498"/>
      <c r="G494" s="500"/>
      <c r="H494" s="309"/>
      <c r="I494" s="261"/>
    </row>
    <row r="495" spans="1:9" ht="12.75" customHeight="1" x14ac:dyDescent="0.2">
      <c r="C495" s="383"/>
      <c r="D495" s="371"/>
      <c r="E495" s="371"/>
      <c r="F495" s="498"/>
      <c r="G495" s="500"/>
      <c r="H495" s="309"/>
      <c r="I495" s="261"/>
    </row>
    <row r="496" spans="1:9" ht="12.75" customHeight="1" x14ac:dyDescent="0.2">
      <c r="C496" s="383"/>
      <c r="D496" s="371"/>
      <c r="E496" s="371"/>
      <c r="F496" s="498"/>
      <c r="G496" s="500"/>
      <c r="H496" s="309"/>
      <c r="I496" s="261"/>
    </row>
    <row r="497" spans="3:9" ht="12.75" customHeight="1" x14ac:dyDescent="0.2">
      <c r="C497" s="383"/>
      <c r="D497" s="371"/>
      <c r="E497" s="371"/>
      <c r="F497" s="498"/>
      <c r="G497" s="500"/>
      <c r="H497" s="309"/>
      <c r="I497" s="261"/>
    </row>
    <row r="498" spans="3:9" ht="12.75" customHeight="1" x14ac:dyDescent="0.2">
      <c r="C498" s="383"/>
      <c r="D498" s="371"/>
      <c r="E498" s="371"/>
      <c r="F498" s="498"/>
      <c r="G498" s="500"/>
      <c r="H498" s="309"/>
      <c r="I498" s="261"/>
    </row>
    <row r="499" spans="3:9" ht="12.75" customHeight="1" x14ac:dyDescent="0.2">
      <c r="C499" s="383"/>
      <c r="D499" s="371"/>
      <c r="E499" s="371"/>
      <c r="F499" s="498"/>
      <c r="G499" s="500"/>
      <c r="H499" s="309"/>
      <c r="I499" s="261"/>
    </row>
    <row r="500" spans="3:9" ht="12.75" customHeight="1" x14ac:dyDescent="0.2">
      <c r="C500" s="383"/>
      <c r="D500" s="371"/>
      <c r="E500" s="371"/>
      <c r="F500" s="498"/>
      <c r="G500" s="500"/>
      <c r="H500" s="309"/>
      <c r="I500" s="261"/>
    </row>
    <row r="501" spans="3:9" ht="12.75" customHeight="1" x14ac:dyDescent="0.2">
      <c r="C501" s="383"/>
      <c r="D501" s="371"/>
      <c r="E501" s="371"/>
      <c r="F501" s="498"/>
      <c r="G501" s="500"/>
      <c r="H501" s="309"/>
      <c r="I501" s="261"/>
    </row>
    <row r="502" spans="3:9" ht="12.75" customHeight="1" x14ac:dyDescent="0.2">
      <c r="C502" s="383"/>
      <c r="D502" s="371"/>
      <c r="E502" s="371"/>
      <c r="F502" s="498"/>
      <c r="G502" s="500"/>
      <c r="H502" s="309"/>
      <c r="I502" s="261"/>
    </row>
    <row r="503" spans="3:9" ht="12.75" customHeight="1" x14ac:dyDescent="0.2">
      <c r="C503" s="383"/>
      <c r="D503" s="371"/>
      <c r="E503" s="371"/>
      <c r="F503" s="498"/>
      <c r="G503" s="500"/>
      <c r="H503" s="309"/>
      <c r="I503" s="261"/>
    </row>
    <row r="504" spans="3:9" ht="12.75" customHeight="1" x14ac:dyDescent="0.2">
      <c r="C504" s="383"/>
      <c r="D504" s="371"/>
      <c r="E504" s="371"/>
      <c r="F504" s="498"/>
      <c r="G504" s="500"/>
      <c r="H504" s="309"/>
      <c r="I504" s="261"/>
    </row>
    <row r="505" spans="3:9" ht="12.75" customHeight="1" x14ac:dyDescent="0.2">
      <c r="C505" s="383"/>
      <c r="D505" s="371"/>
      <c r="E505" s="371"/>
      <c r="F505" s="498"/>
      <c r="G505" s="500"/>
      <c r="H505" s="309"/>
      <c r="I505" s="261"/>
    </row>
    <row r="506" spans="3:9" ht="12.75" customHeight="1" x14ac:dyDescent="0.2">
      <c r="C506" s="439"/>
      <c r="D506" s="505"/>
      <c r="E506" s="505"/>
      <c r="F506" s="505"/>
      <c r="G506" s="506"/>
      <c r="H506" s="309"/>
      <c r="I506" s="261"/>
    </row>
    <row r="507" spans="3:9" ht="12.75" customHeight="1" x14ac:dyDescent="0.2">
      <c r="C507" s="439" t="s">
        <v>497</v>
      </c>
      <c r="D507" s="505"/>
      <c r="E507" s="505"/>
      <c r="F507" s="505"/>
      <c r="G507" s="506"/>
      <c r="H507" s="309"/>
      <c r="I507" s="261"/>
    </row>
    <row r="508" spans="3:9" ht="12.75" customHeight="1" x14ac:dyDescent="0.2">
      <c r="C508" s="383" t="s">
        <v>499</v>
      </c>
      <c r="D508" s="505"/>
      <c r="E508" s="505"/>
      <c r="F508" s="505"/>
      <c r="G508" s="506"/>
      <c r="H508" s="309"/>
      <c r="I508" s="261"/>
    </row>
    <row r="509" spans="3:9" ht="12.75" customHeight="1" x14ac:dyDescent="0.2">
      <c r="C509" s="383" t="s">
        <v>500</v>
      </c>
      <c r="D509" s="505"/>
      <c r="E509" s="505"/>
      <c r="F509" s="505"/>
      <c r="G509" s="506"/>
      <c r="H509" s="309"/>
      <c r="I509" s="261"/>
    </row>
    <row r="510" spans="3:9" ht="12.75" customHeight="1" x14ac:dyDescent="0.2">
      <c r="C510" s="383" t="s">
        <v>501</v>
      </c>
      <c r="D510" s="505"/>
      <c r="E510" s="505"/>
      <c r="F510" s="505"/>
      <c r="G510" s="506"/>
      <c r="H510" s="309"/>
      <c r="I510" s="261"/>
    </row>
    <row r="511" spans="3:9" ht="12.75" customHeight="1" x14ac:dyDescent="0.2">
      <c r="C511" s="370"/>
      <c r="D511" s="505"/>
      <c r="E511" s="505"/>
      <c r="F511" s="505"/>
      <c r="G511" s="506"/>
      <c r="H511" s="309"/>
      <c r="I511" s="261"/>
    </row>
    <row r="512" spans="3:9" ht="12.75" customHeight="1" x14ac:dyDescent="0.2">
      <c r="C512" s="439" t="s">
        <v>498</v>
      </c>
      <c r="D512" s="505"/>
      <c r="E512" s="505"/>
      <c r="F512" s="505"/>
      <c r="G512" s="506"/>
      <c r="H512" s="309"/>
      <c r="I512" s="261"/>
    </row>
    <row r="513" spans="3:9" ht="12.75" customHeight="1" x14ac:dyDescent="0.2">
      <c r="C513" s="383" t="s">
        <v>502</v>
      </c>
      <c r="D513" s="505"/>
      <c r="E513" s="505"/>
      <c r="F513" s="505"/>
      <c r="G513" s="506"/>
      <c r="H513" s="309"/>
      <c r="I513" s="261"/>
    </row>
    <row r="514" spans="3:9" ht="12.75" customHeight="1" x14ac:dyDescent="0.2">
      <c r="C514" s="383"/>
      <c r="D514" s="505"/>
      <c r="E514" s="505"/>
      <c r="F514" s="505"/>
      <c r="G514" s="506"/>
      <c r="H514" s="309"/>
      <c r="I514" s="261"/>
    </row>
    <row r="515" spans="3:9" ht="12.75" customHeight="1" x14ac:dyDescent="0.2">
      <c r="C515" s="383"/>
      <c r="D515" s="505"/>
      <c r="E515" s="505"/>
      <c r="F515" s="505"/>
      <c r="G515" s="506"/>
      <c r="H515" s="309"/>
      <c r="I515" s="261"/>
    </row>
    <row r="516" spans="3:9" ht="12.75" customHeight="1" x14ac:dyDescent="0.2">
      <c r="C516" s="383"/>
      <c r="D516" s="505"/>
      <c r="E516" s="505"/>
      <c r="F516" s="505"/>
      <c r="G516" s="506"/>
      <c r="H516" s="309"/>
      <c r="I516" s="261"/>
    </row>
    <row r="517" spans="3:9" ht="12.75" customHeight="1" x14ac:dyDescent="0.2">
      <c r="C517" s="497"/>
      <c r="D517" s="505"/>
      <c r="E517" s="505"/>
      <c r="F517" s="505"/>
      <c r="G517" s="506"/>
      <c r="H517" s="309"/>
      <c r="I517" s="261"/>
    </row>
    <row r="518" spans="3:9" ht="12.75" customHeight="1" x14ac:dyDescent="0.2">
      <c r="C518" s="509"/>
      <c r="D518" s="505"/>
      <c r="E518" s="505"/>
      <c r="F518" s="505"/>
      <c r="G518" s="506"/>
      <c r="H518" s="309"/>
      <c r="I518" s="261"/>
    </row>
    <row r="519" spans="3:9" ht="12.75" customHeight="1" x14ac:dyDescent="0.2">
      <c r="C519" s="383"/>
      <c r="D519" s="505"/>
      <c r="E519" s="505"/>
      <c r="F519" s="505"/>
      <c r="G519" s="506"/>
      <c r="H519" s="309"/>
      <c r="I519" s="261"/>
    </row>
    <row r="520" spans="3:9" ht="12.75" customHeight="1" x14ac:dyDescent="0.2">
      <c r="C520" s="383"/>
      <c r="D520" s="505"/>
      <c r="E520" s="505"/>
      <c r="F520" s="505"/>
      <c r="G520" s="506"/>
      <c r="H520" s="309"/>
      <c r="I520" s="261"/>
    </row>
    <row r="521" spans="3:9" ht="12.75" customHeight="1" x14ac:dyDescent="0.2">
      <c r="C521" s="383"/>
      <c r="D521" s="505"/>
      <c r="E521" s="505"/>
      <c r="F521" s="505"/>
      <c r="G521" s="506"/>
      <c r="H521" s="309"/>
      <c r="I521" s="261"/>
    </row>
    <row r="522" spans="3:9" ht="12.75" customHeight="1" thickBot="1" x14ac:dyDescent="0.25">
      <c r="C522" s="382"/>
      <c r="D522" s="372"/>
      <c r="E522" s="372"/>
      <c r="F522" s="372"/>
      <c r="G522" s="501"/>
      <c r="H522" s="309"/>
      <c r="I522" s="261"/>
    </row>
    <row r="523" spans="3:9" ht="12.75" customHeight="1" x14ac:dyDescent="0.2">
      <c r="H523" s="309"/>
      <c r="I523" s="261"/>
    </row>
    <row r="524" spans="3:9" ht="12.75" customHeight="1" x14ac:dyDescent="0.2">
      <c r="H524" s="309"/>
      <c r="I524" s="261"/>
    </row>
    <row r="525" spans="3:9" ht="12.75" customHeight="1" x14ac:dyDescent="0.2">
      <c r="H525" s="309"/>
      <c r="I525" s="261"/>
    </row>
    <row r="526" spans="3:9" ht="12.75" customHeight="1" x14ac:dyDescent="0.2">
      <c r="H526" s="309"/>
      <c r="I526" s="261"/>
    </row>
    <row r="527" spans="3:9" ht="12.75" customHeight="1" x14ac:dyDescent="0.2">
      <c r="H527" s="309"/>
      <c r="I527" s="261"/>
    </row>
    <row r="528" spans="3:9" ht="12.75" customHeight="1" x14ac:dyDescent="0.2">
      <c r="H528" s="309"/>
      <c r="I528" s="261"/>
    </row>
    <row r="529" spans="5:11" ht="12.75" customHeight="1" x14ac:dyDescent="0.2">
      <c r="H529" s="309"/>
      <c r="I529" s="261"/>
    </row>
    <row r="530" spans="5:11" ht="12.75" customHeight="1" x14ac:dyDescent="0.2">
      <c r="H530" s="309"/>
      <c r="I530" s="261"/>
    </row>
    <row r="531" spans="5:11" ht="12.75" customHeight="1" x14ac:dyDescent="0.2">
      <c r="H531" s="309"/>
      <c r="I531" s="261"/>
    </row>
    <row r="532" spans="5:11" ht="12.75" customHeight="1" x14ac:dyDescent="0.2">
      <c r="H532" s="252"/>
    </row>
    <row r="533" spans="5:11" ht="12.75" customHeight="1" x14ac:dyDescent="0.2">
      <c r="E533" s="297"/>
      <c r="F533" s="188"/>
    </row>
    <row r="534" spans="5:11" ht="12.75" customHeight="1" x14ac:dyDescent="0.2">
      <c r="E534" s="297"/>
      <c r="F534" s="188"/>
    </row>
    <row r="536" spans="5:11" ht="12.75" customHeight="1" x14ac:dyDescent="0.2">
      <c r="K536" s="297"/>
    </row>
    <row r="537" spans="5:11" ht="12.75" customHeight="1" x14ac:dyDescent="0.2">
      <c r="K537" s="297"/>
    </row>
    <row r="543" spans="5:11" ht="12.75" customHeight="1" x14ac:dyDescent="0.2">
      <c r="H543" s="188"/>
    </row>
    <row r="544" spans="5:11" ht="12.75" customHeight="1" x14ac:dyDescent="0.2">
      <c r="H544" s="188"/>
    </row>
  </sheetData>
  <mergeCells count="2">
    <mergeCell ref="F3:G3"/>
    <mergeCell ref="C485:G485"/>
  </mergeCells>
  <conditionalFormatting sqref="A5:A450">
    <cfRule type="cellIs" dxfId="8" priority="1" operator="equal">
      <formula>0</formula>
    </cfRule>
  </conditionalFormatting>
  <conditionalFormatting sqref="A467">
    <cfRule type="cellIs" dxfId="7" priority="178" operator="equal">
      <formula>0</formula>
    </cfRule>
  </conditionalFormatting>
  <conditionalFormatting sqref="A474">
    <cfRule type="cellIs" dxfId="6" priority="307" operator="equal">
      <formula>0</formula>
    </cfRule>
  </conditionalFormatting>
  <conditionalFormatting sqref="H469:H476 H478:H485">
    <cfRule type="cellIs" dxfId="5" priority="301" stopIfTrue="1" operator="notEqual">
      <formula>0</formula>
    </cfRule>
    <cfRule type="cellIs" dxfId="4" priority="302" stopIfTrue="1" operator="equal">
      <formula>0</formula>
    </cfRule>
  </conditionalFormatting>
  <conditionalFormatting sqref="H487:H489">
    <cfRule type="cellIs" dxfId="3" priority="299" stopIfTrue="1" operator="notEqual">
      <formula>0</formula>
    </cfRule>
    <cfRule type="cellIs" dxfId="2" priority="300" stopIfTrue="1" operator="equal">
      <formula>0</formula>
    </cfRule>
  </conditionalFormatting>
  <pageMargins left="1" right="0.1" top="0.5" bottom="0.5" header="0" footer="0.1"/>
  <pageSetup fitToHeight="0" orientation="landscape" r:id="rId1"/>
  <headerFooter>
    <oddFooter>&amp;L&amp;8&amp;Z&amp;F&amp;R&amp;8&amp;P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CCCC"/>
  </sheetPr>
  <dimension ref="A1:V221"/>
  <sheetViews>
    <sheetView topLeftCell="A99" workbookViewId="0">
      <selection activeCell="D66" sqref="D66"/>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114</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94.73</v>
      </c>
      <c r="D14" s="143">
        <v>93.79</v>
      </c>
      <c r="E14" s="187">
        <f>IF(D$30=0,C14*2,C14+D14)</f>
        <v>188.52</v>
      </c>
      <c r="F14" s="639">
        <f>'1461'!F14:G14</f>
        <v>1.1220000000000001</v>
      </c>
      <c r="G14" s="639"/>
      <c r="H14" s="145">
        <f>ROUND(E14*F14,4)</f>
        <v>211.51939999999999</v>
      </c>
      <c r="I14" s="111">
        <f>ROUND(ROUND(ROUND(H14*$C$8,4)*($H$8),2)*(MAX($H$9,1)),2)</f>
        <v>1135204.75</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21</v>
      </c>
      <c r="D15" s="143">
        <v>22</v>
      </c>
      <c r="E15" s="116">
        <f t="shared" ref="E15:E29" si="1">IF(D$30=0,C15*2,C15+D15)</f>
        <v>43</v>
      </c>
      <c r="F15" s="635">
        <f>'1461'!F15:G15</f>
        <v>1.1220000000000001</v>
      </c>
      <c r="G15" s="635"/>
      <c r="H15" s="80">
        <f t="shared" ref="H15:H29" si="2">ROUND(E15*F15,4)</f>
        <v>48.246000000000002</v>
      </c>
      <c r="I15" s="101">
        <f t="shared" ref="I15:I29" si="3">ROUND(ROUND(ROUND(H15*$C$8,4)*($H$8),2)*(MAX($H$9,1)),2)</f>
        <v>258931.75</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153.22999999999999</v>
      </c>
      <c r="D16" s="143">
        <v>156.32</v>
      </c>
      <c r="E16" s="116">
        <f t="shared" si="1"/>
        <v>309.54999999999995</v>
      </c>
      <c r="F16" s="635">
        <f>'1461'!F16:G16</f>
        <v>1</v>
      </c>
      <c r="G16" s="635"/>
      <c r="H16" s="80">
        <f t="shared" si="2"/>
        <v>309.55</v>
      </c>
      <c r="I16" s="101">
        <f t="shared" si="3"/>
        <v>1661325.77</v>
      </c>
      <c r="N16" s="573" t="s">
        <v>22</v>
      </c>
      <c r="O16" s="573"/>
      <c r="P16" s="614">
        <f t="shared" si="0"/>
        <v>0</v>
      </c>
      <c r="Q16" s="614"/>
      <c r="R16" s="619">
        <v>1</v>
      </c>
      <c r="S16" s="619"/>
      <c r="T16" s="95">
        <f t="shared" si="4"/>
        <v>0</v>
      </c>
      <c r="U16" s="474">
        <f t="shared" si="5"/>
        <v>0</v>
      </c>
    </row>
    <row r="17" spans="1:21" x14ac:dyDescent="0.25">
      <c r="A17" s="550" t="s">
        <v>23</v>
      </c>
      <c r="B17" s="550"/>
      <c r="C17" s="143">
        <v>43.9</v>
      </c>
      <c r="D17" s="143">
        <v>42.04</v>
      </c>
      <c r="E17" s="116">
        <f t="shared" si="1"/>
        <v>85.94</v>
      </c>
      <c r="F17" s="635">
        <f>'1461'!F17:G17</f>
        <v>1</v>
      </c>
      <c r="G17" s="635"/>
      <c r="H17" s="80">
        <f t="shared" si="2"/>
        <v>85.94</v>
      </c>
      <c r="I17" s="101">
        <f t="shared" si="3"/>
        <v>461231.91</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0</v>
      </c>
      <c r="D18" s="143">
        <v>0</v>
      </c>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0</v>
      </c>
      <c r="D19" s="143">
        <v>0</v>
      </c>
      <c r="E19" s="116">
        <f t="shared" si="1"/>
        <v>0</v>
      </c>
      <c r="F19" s="635">
        <f>'1461'!F19:G19</f>
        <v>0.98799999999999999</v>
      </c>
      <c r="G19" s="635"/>
      <c r="H19" s="80">
        <f t="shared" si="2"/>
        <v>0</v>
      </c>
      <c r="I19" s="101">
        <f t="shared" si="3"/>
        <v>0</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6.77</v>
      </c>
      <c r="D26" s="143">
        <v>6.45</v>
      </c>
      <c r="E26" s="116">
        <f t="shared" si="1"/>
        <v>13.219999999999999</v>
      </c>
      <c r="F26" s="635">
        <f>'1461'!F26:G26</f>
        <v>1.208</v>
      </c>
      <c r="G26" s="635"/>
      <c r="H26" s="80">
        <f t="shared" si="2"/>
        <v>15.969799999999999</v>
      </c>
      <c r="I26" s="101">
        <f t="shared" si="3"/>
        <v>85708.42</v>
      </c>
      <c r="N26" s="573" t="s">
        <v>85</v>
      </c>
      <c r="O26" s="573"/>
      <c r="P26" s="614">
        <f t="shared" si="0"/>
        <v>0</v>
      </c>
      <c r="Q26" s="614"/>
      <c r="R26" s="619">
        <v>1</v>
      </c>
      <c r="S26" s="619"/>
      <c r="T26" s="95">
        <f t="shared" si="4"/>
        <v>0</v>
      </c>
      <c r="U26" s="474">
        <f t="shared" si="5"/>
        <v>0</v>
      </c>
    </row>
    <row r="27" spans="1:21" x14ac:dyDescent="0.25">
      <c r="A27" s="550" t="s">
        <v>86</v>
      </c>
      <c r="B27" s="550"/>
      <c r="C27" s="143">
        <v>2.39</v>
      </c>
      <c r="D27" s="143">
        <v>0.97</v>
      </c>
      <c r="E27" s="116">
        <f t="shared" si="1"/>
        <v>3.3600000000000003</v>
      </c>
      <c r="F27" s="635">
        <f>'1461'!F27:G27</f>
        <v>1.208</v>
      </c>
      <c r="G27" s="635"/>
      <c r="H27" s="80">
        <f t="shared" si="2"/>
        <v>4.0589000000000004</v>
      </c>
      <c r="I27" s="101">
        <f t="shared" si="3"/>
        <v>21783.74</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322.01999999999992</v>
      </c>
      <c r="D30" s="94">
        <f>SUM(D14:D29)</f>
        <v>321.57000000000005</v>
      </c>
      <c r="E30" s="94">
        <f>SUM(E14:E29)</f>
        <v>643.59</v>
      </c>
      <c r="F30" s="554"/>
      <c r="G30" s="554"/>
      <c r="H30" s="99">
        <f>SUM(H14:H29)</f>
        <v>675.28409999999997</v>
      </c>
      <c r="I30" s="94">
        <f>SUM(I14:I29)</f>
        <v>3624186.3400000003</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675.28409999999997</v>
      </c>
      <c r="F46" s="34"/>
      <c r="G46" s="106"/>
      <c r="H46" s="107" t="s">
        <v>98</v>
      </c>
      <c r="I46" s="94">
        <f>SUM(I44,I30)</f>
        <v>3624186.3400000003</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3624186.3400000003</v>
      </c>
      <c r="G51" s="109" t="s">
        <v>6</v>
      </c>
      <c r="H51" s="402">
        <v>4.5199999999999997E-2</v>
      </c>
      <c r="I51" s="101">
        <f>ROUND(F51*H51,2)</f>
        <v>163813.22</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3624186.3400000003</v>
      </c>
      <c r="G52" s="109" t="s">
        <v>6</v>
      </c>
      <c r="H52" s="402">
        <v>1.41E-2</v>
      </c>
      <c r="I52" s="101">
        <f>ROUND(F52*H52,2)</f>
        <v>51101.03</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214914.25</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19</v>
      </c>
      <c r="D57" s="143">
        <v>19.899999999999999</v>
      </c>
      <c r="E57" s="116">
        <f t="shared" ref="E57:E65" si="10">IF(D$66=0,C57*2,C57+D57)</f>
        <v>38.9</v>
      </c>
      <c r="F57" s="444" t="s">
        <v>434</v>
      </c>
      <c r="G57" s="444">
        <v>251</v>
      </c>
      <c r="H57" s="458">
        <f>'1461'!H57</f>
        <v>1047</v>
      </c>
      <c r="I57" s="101">
        <f>ROUND(E57*H57,2)</f>
        <v>40728.300000000003</v>
      </c>
      <c r="N57" s="590" t="s">
        <v>442</v>
      </c>
      <c r="O57" s="590"/>
      <c r="P57" s="593"/>
      <c r="Q57" s="593"/>
      <c r="R57" s="450" t="s">
        <v>434</v>
      </c>
      <c r="S57" s="450">
        <v>251</v>
      </c>
      <c r="T57" s="461">
        <f>H57</f>
        <v>1047</v>
      </c>
      <c r="U57" s="475">
        <f>ROUND(P57*T57,2)</f>
        <v>0</v>
      </c>
      <c r="V57" s="425"/>
    </row>
    <row r="58" spans="1:22" x14ac:dyDescent="0.25">
      <c r="A58" s="561"/>
      <c r="B58" s="561"/>
      <c r="C58" s="143">
        <v>2</v>
      </c>
      <c r="D58" s="143">
        <v>2.1</v>
      </c>
      <c r="E58" s="116">
        <f t="shared" si="10"/>
        <v>4.0999999999999996</v>
      </c>
      <c r="F58" s="444" t="s">
        <v>434</v>
      </c>
      <c r="G58" s="444">
        <v>252</v>
      </c>
      <c r="H58" s="458">
        <f>'1461'!H58</f>
        <v>3380</v>
      </c>
      <c r="I58" s="101">
        <f t="shared" ref="I58:I65" si="11">ROUND(E58*H58,2)</f>
        <v>13858</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36.380000000000003</v>
      </c>
      <c r="D60" s="143">
        <v>34.840000000000003</v>
      </c>
      <c r="E60" s="116">
        <f t="shared" si="10"/>
        <v>71.22</v>
      </c>
      <c r="F60" s="445" t="s">
        <v>13</v>
      </c>
      <c r="G60" s="444">
        <v>251</v>
      </c>
      <c r="H60" s="458">
        <f>'1461'!H60</f>
        <v>1173</v>
      </c>
      <c r="I60" s="101">
        <f t="shared" si="11"/>
        <v>83541.06</v>
      </c>
      <c r="N60" s="591"/>
      <c r="O60" s="591"/>
      <c r="P60" s="594"/>
      <c r="Q60" s="594"/>
      <c r="R60" s="40" t="s">
        <v>13</v>
      </c>
      <c r="S60" s="450">
        <v>251</v>
      </c>
      <c r="T60" s="461">
        <f t="shared" si="12"/>
        <v>1173</v>
      </c>
      <c r="U60" s="475">
        <f t="shared" si="13"/>
        <v>0</v>
      </c>
      <c r="V60" s="425"/>
    </row>
    <row r="61" spans="1:22" x14ac:dyDescent="0.25">
      <c r="A61" s="561"/>
      <c r="B61" s="561"/>
      <c r="C61" s="143">
        <v>7.02</v>
      </c>
      <c r="D61" s="143">
        <v>6.72</v>
      </c>
      <c r="E61" s="116">
        <f t="shared" si="10"/>
        <v>13.739999999999998</v>
      </c>
      <c r="F61" s="445" t="s">
        <v>13</v>
      </c>
      <c r="G61" s="444">
        <v>252</v>
      </c>
      <c r="H61" s="458">
        <f>'1461'!H61</f>
        <v>3506</v>
      </c>
      <c r="I61" s="101">
        <f t="shared" si="11"/>
        <v>48172.44</v>
      </c>
      <c r="N61" s="591"/>
      <c r="O61" s="591"/>
      <c r="P61" s="594"/>
      <c r="Q61" s="594"/>
      <c r="R61" s="40" t="s">
        <v>13</v>
      </c>
      <c r="S61" s="450">
        <v>252</v>
      </c>
      <c r="T61" s="461">
        <f t="shared" si="12"/>
        <v>3506</v>
      </c>
      <c r="U61" s="475">
        <f t="shared" si="13"/>
        <v>0</v>
      </c>
      <c r="V61" s="425"/>
    </row>
    <row r="62" spans="1:22" x14ac:dyDescent="0.25">
      <c r="A62" s="561"/>
      <c r="B62" s="561"/>
      <c r="C62" s="143">
        <v>0.5</v>
      </c>
      <c r="D62" s="143">
        <v>0.48</v>
      </c>
      <c r="E62" s="116">
        <f t="shared" si="10"/>
        <v>0.98</v>
      </c>
      <c r="F62" s="445" t="s">
        <v>13</v>
      </c>
      <c r="G62" s="444">
        <v>253</v>
      </c>
      <c r="H62" s="458">
        <f>'1461'!H62</f>
        <v>7023</v>
      </c>
      <c r="I62" s="101">
        <f t="shared" si="11"/>
        <v>6882.54</v>
      </c>
      <c r="N62" s="591"/>
      <c r="O62" s="591"/>
      <c r="P62" s="594"/>
      <c r="Q62" s="594"/>
      <c r="R62" s="40" t="s">
        <v>13</v>
      </c>
      <c r="S62" s="450">
        <v>253</v>
      </c>
      <c r="T62" s="461">
        <f t="shared" si="12"/>
        <v>7023</v>
      </c>
      <c r="U62" s="475">
        <f t="shared" si="13"/>
        <v>0</v>
      </c>
      <c r="V62" s="425"/>
    </row>
    <row r="63" spans="1:22" x14ac:dyDescent="0.25">
      <c r="A63" s="561"/>
      <c r="B63" s="561"/>
      <c r="C63" s="143">
        <v>0</v>
      </c>
      <c r="D63" s="143">
        <v>0</v>
      </c>
      <c r="E63" s="116">
        <f t="shared" si="10"/>
        <v>0</v>
      </c>
      <c r="F63" s="445" t="s">
        <v>14</v>
      </c>
      <c r="G63" s="444">
        <v>251</v>
      </c>
      <c r="H63" s="458">
        <f>'1461'!H63</f>
        <v>835</v>
      </c>
      <c r="I63" s="101">
        <f t="shared" si="11"/>
        <v>0</v>
      </c>
      <c r="N63" s="591"/>
      <c r="O63" s="591"/>
      <c r="P63" s="594"/>
      <c r="Q63" s="594"/>
      <c r="R63" s="40" t="s">
        <v>14</v>
      </c>
      <c r="S63" s="450">
        <v>251</v>
      </c>
      <c r="T63" s="461">
        <f t="shared" si="12"/>
        <v>835</v>
      </c>
      <c r="U63" s="475">
        <f t="shared" si="13"/>
        <v>0</v>
      </c>
      <c r="V63" s="425"/>
    </row>
    <row r="64" spans="1:22" x14ac:dyDescent="0.25">
      <c r="A64" s="561"/>
      <c r="B64" s="561"/>
      <c r="C64" s="143">
        <v>0</v>
      </c>
      <c r="D64" s="143">
        <v>0</v>
      </c>
      <c r="E64" s="116">
        <f t="shared" si="10"/>
        <v>0</v>
      </c>
      <c r="F64" s="445" t="s">
        <v>14</v>
      </c>
      <c r="G64" s="444">
        <v>252</v>
      </c>
      <c r="H64" s="458">
        <f>'1461'!H64</f>
        <v>3168</v>
      </c>
      <c r="I64" s="101">
        <f t="shared" si="11"/>
        <v>0</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64.900000000000006</v>
      </c>
      <c r="D66" s="97">
        <f>SUM(D57:D65)</f>
        <v>64.040000000000006</v>
      </c>
      <c r="E66" s="97">
        <f>SUM(E57:E65)</f>
        <v>128.94</v>
      </c>
      <c r="F66" s="562" t="s">
        <v>443</v>
      </c>
      <c r="G66" s="562"/>
      <c r="H66" s="562"/>
      <c r="I66" s="97">
        <f>SUM(I57:I65)</f>
        <v>193182.34</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643.59</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3.189E-3</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675.28409999999997</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2.9740000000000001E-3</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643.59</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3.4520000000000002E-3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643.59</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3.1949999999999999E-3</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643.59</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3.4580000000000001E-3</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3.1949999999999999E-3</v>
      </c>
      <c r="I85" s="101">
        <f>ROUND(F85*H85,2)</f>
        <v>141568.18</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3.189E-3</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3.4580000000000001E-3</v>
      </c>
      <c r="I90" s="101">
        <f>ROUND(F90*H90,2)</f>
        <v>56281.3</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3.4520000000000002E-3</v>
      </c>
      <c r="I92" s="101">
        <f t="shared" ref="I92:I96" si="14">ROUND(F92*H92,2)</f>
        <v>34961.99</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2.9740000000000001E-3</v>
      </c>
      <c r="I94" s="101">
        <f t="shared" si="14"/>
        <v>710779.08</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2.9740000000000001E-3</v>
      </c>
      <c r="I96" s="101">
        <f t="shared" si="14"/>
        <v>0</v>
      </c>
      <c r="N96" s="572" t="s">
        <v>418</v>
      </c>
      <c r="O96" s="573"/>
      <c r="P96" s="573"/>
      <c r="Q96" s="44"/>
      <c r="R96" s="420">
        <f t="shared" si="15"/>
        <v>0</v>
      </c>
      <c r="S96" s="38" t="s">
        <v>6</v>
      </c>
      <c r="T96" s="422">
        <f>T73</f>
        <v>0</v>
      </c>
      <c r="U96" s="474">
        <f>ROUND(R96*T96,2)</f>
        <v>0</v>
      </c>
    </row>
    <row r="97" spans="1:21" x14ac:dyDescent="0.25">
      <c r="A97" s="513"/>
      <c r="B97" s="512"/>
      <c r="C97" s="512"/>
      <c r="D97" s="512"/>
      <c r="E97" s="510"/>
      <c r="F97" s="117"/>
      <c r="G97" s="511"/>
      <c r="H97" s="423"/>
      <c r="I97" s="101"/>
      <c r="N97" s="516"/>
      <c r="O97" s="515"/>
      <c r="P97" s="515"/>
      <c r="Q97" s="44"/>
      <c r="R97" s="518"/>
      <c r="S97" s="517"/>
      <c r="T97" s="422"/>
      <c r="U97" s="478"/>
    </row>
    <row r="98" spans="1:21" x14ac:dyDescent="0.25">
      <c r="A98" s="513" t="s">
        <v>475</v>
      </c>
      <c r="B98" s="512"/>
      <c r="C98" s="512"/>
      <c r="D98" s="512"/>
      <c r="E98" s="510" t="s">
        <v>3</v>
      </c>
      <c r="F98" s="291">
        <v>0</v>
      </c>
      <c r="G98" s="511" t="s">
        <v>6</v>
      </c>
      <c r="H98" s="423">
        <f>H70</f>
        <v>3.189E-3</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275.73520000000002</v>
      </c>
      <c r="D104" s="568"/>
      <c r="E104" s="46">
        <f>H8</f>
        <v>1.0442</v>
      </c>
      <c r="F104" s="304">
        <f>'1461'!F104</f>
        <v>947.59</v>
      </c>
      <c r="G104" s="39" t="s">
        <v>12</v>
      </c>
      <c r="H104" s="101">
        <f>ROUND(C104*E104*F104,2)</f>
        <v>272832.67</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399.5489</v>
      </c>
      <c r="D105" s="568"/>
      <c r="E105" s="46">
        <f>H8</f>
        <v>1.0442</v>
      </c>
      <c r="F105" s="304">
        <f>'1461'!F105</f>
        <v>904.74</v>
      </c>
      <c r="G105" s="39" t="s">
        <v>12</v>
      </c>
      <c r="H105" s="101">
        <f>ROUND(C105*E105*F105,2)</f>
        <v>377465.64</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0</v>
      </c>
      <c r="D106" s="568"/>
      <c r="E106" s="46">
        <f>H8</f>
        <v>1.0442</v>
      </c>
      <c r="F106" s="304">
        <f>'1461'!F106</f>
        <v>906.93</v>
      </c>
      <c r="G106" s="39" t="s">
        <v>12</v>
      </c>
      <c r="H106" s="94">
        <f>ROUND(C106*E106*F106,2)</f>
        <v>0</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675.28410000000008</v>
      </c>
      <c r="D107" s="558"/>
      <c r="E107" s="123"/>
      <c r="F107" s="123"/>
      <c r="G107" s="123"/>
      <c r="H107" s="124" t="s">
        <v>100</v>
      </c>
      <c r="I107" s="101">
        <f>IF(A1=75,0,H106+H105+H104)</f>
        <v>650298.31000000006</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1</v>
      </c>
      <c r="D113" s="143">
        <v>0</v>
      </c>
      <c r="E113" s="116">
        <f>C113</f>
        <v>1</v>
      </c>
      <c r="F113" s="126" t="s">
        <v>30</v>
      </c>
      <c r="G113" s="305">
        <f>'1461'!G113</f>
        <v>548</v>
      </c>
      <c r="I113" s="101">
        <f>ROUND(G113*E113,2)</f>
        <v>548</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16">
        <f>C114</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5411805.540000001</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5196891.290000001</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5196891.290000001</v>
      </c>
      <c r="I135" s="94">
        <f>ROUND(IF(E30=0,0,IF(E30&gt;250,-(((250/E30)*H135)*IF(G135="H",0.02,0.05)),IF(G135="H",-0.02*H135,-0.05*H135))),2)</f>
        <v>-40374.239999999998</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5371431.3000000007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-812140.91-395461.3-395461.3-395461.3-395461.3-494960.71-496612.89-498381.8</f>
        <v>-3883941.51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1487489.790000001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495829.93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63563.585800000023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CCCC"/>
  </sheetPr>
  <dimension ref="A1:V221"/>
  <sheetViews>
    <sheetView topLeftCell="A111" workbookViewId="0">
      <selection activeCell="E63" sqref="E6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115</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0</v>
      </c>
      <c r="D14" s="143">
        <v>0</v>
      </c>
      <c r="E14" s="187">
        <f>IF(D$30=0,C14*2,C14+D14)</f>
        <v>0</v>
      </c>
      <c r="F14" s="639">
        <f>'1461'!F14:G14</f>
        <v>1.1220000000000001</v>
      </c>
      <c r="G14" s="639"/>
      <c r="H14" s="145">
        <f>ROUND(E14*F14,4)</f>
        <v>0</v>
      </c>
      <c r="I14" s="111">
        <f>ROUND(ROUND(ROUND(H14*$C$8,4)*($H$8),2)*(MAX($H$9,1)),2)</f>
        <v>0</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7</v>
      </c>
      <c r="D15" s="143">
        <v>7</v>
      </c>
      <c r="E15" s="116">
        <f t="shared" ref="E15:E29" si="1">IF(D$30=0,C15*2,C15+D15)</f>
        <v>14</v>
      </c>
      <c r="F15" s="635">
        <f>'1461'!F15:G15</f>
        <v>1.1220000000000001</v>
      </c>
      <c r="G15" s="635"/>
      <c r="H15" s="80">
        <f t="shared" ref="H15:H29" si="2">ROUND(E15*F15,4)</f>
        <v>15.708</v>
      </c>
      <c r="I15" s="101">
        <f t="shared" ref="I15:I29" si="3">ROUND(ROUND(ROUND(H15*$C$8,4)*($H$8),2)*(MAX($H$9,1)),2)</f>
        <v>84303.360000000001</v>
      </c>
      <c r="J15" s="65" t="str">
        <f>IF(ROUND(E15,2)=ROUND(SUM(E57:E59),2)," ","CHECK PK-3 LINES BELOW")</f>
        <v xml:space="preserve"> </v>
      </c>
      <c r="N15" s="573" t="s">
        <v>21</v>
      </c>
      <c r="O15" s="573"/>
      <c r="P15" s="614">
        <f t="shared" si="0"/>
        <v>14</v>
      </c>
      <c r="Q15" s="614"/>
      <c r="R15" s="619">
        <v>1</v>
      </c>
      <c r="S15" s="619"/>
      <c r="T15" s="95">
        <f t="shared" ref="T15:T29" si="4">ROUND(P15*R15,4)</f>
        <v>14</v>
      </c>
      <c r="U15" s="474">
        <f t="shared" ref="U15:U29" si="5">ROUND(ROUND(ROUND(T15*$C$8,4)*($H$8),2)*(MAX($H$9,1)),2)</f>
        <v>75136.679999999993</v>
      </c>
    </row>
    <row r="16" spans="1:21" x14ac:dyDescent="0.25">
      <c r="A16" s="550" t="s">
        <v>22</v>
      </c>
      <c r="B16" s="550"/>
      <c r="C16" s="143">
        <v>0</v>
      </c>
      <c r="D16" s="143">
        <v>0</v>
      </c>
      <c r="E16" s="116">
        <f t="shared" si="1"/>
        <v>0</v>
      </c>
      <c r="F16" s="635">
        <f>'1461'!F16:G16</f>
        <v>1</v>
      </c>
      <c r="G16" s="635"/>
      <c r="H16" s="80">
        <f t="shared" si="2"/>
        <v>0</v>
      </c>
      <c r="I16" s="101">
        <f t="shared" si="3"/>
        <v>0</v>
      </c>
      <c r="N16" s="573" t="s">
        <v>22</v>
      </c>
      <c r="O16" s="573"/>
      <c r="P16" s="614">
        <f t="shared" si="0"/>
        <v>0</v>
      </c>
      <c r="Q16" s="614"/>
      <c r="R16" s="619">
        <v>1</v>
      </c>
      <c r="S16" s="619"/>
      <c r="T16" s="95">
        <f t="shared" si="4"/>
        <v>0</v>
      </c>
      <c r="U16" s="474">
        <f t="shared" si="5"/>
        <v>0</v>
      </c>
    </row>
    <row r="17" spans="1:21" x14ac:dyDescent="0.25">
      <c r="A17" s="550" t="s">
        <v>23</v>
      </c>
      <c r="B17" s="550"/>
      <c r="C17" s="143">
        <v>9</v>
      </c>
      <c r="D17" s="143">
        <v>11.5</v>
      </c>
      <c r="E17" s="116">
        <f t="shared" si="1"/>
        <v>20.5</v>
      </c>
      <c r="F17" s="635">
        <f>'1461'!F17:G17</f>
        <v>1</v>
      </c>
      <c r="G17" s="635"/>
      <c r="H17" s="80">
        <f t="shared" si="2"/>
        <v>20.5</v>
      </c>
      <c r="I17" s="101">
        <f t="shared" si="3"/>
        <v>110021.57</v>
      </c>
      <c r="J17" s="65" t="str">
        <f>IF(ROUND(E17,2)=ROUND(SUM(E60:E62),2)," ","CHECK 4-8 LINES BELOW")</f>
        <v xml:space="preserve"> </v>
      </c>
      <c r="N17" s="573" t="s">
        <v>23</v>
      </c>
      <c r="O17" s="573"/>
      <c r="P17" s="614">
        <f t="shared" si="0"/>
        <v>20.5</v>
      </c>
      <c r="Q17" s="614"/>
      <c r="R17" s="619">
        <v>1</v>
      </c>
      <c r="S17" s="619"/>
      <c r="T17" s="95">
        <f t="shared" si="4"/>
        <v>20.5</v>
      </c>
      <c r="U17" s="474">
        <f t="shared" si="5"/>
        <v>110021.57</v>
      </c>
    </row>
    <row r="18" spans="1:21" x14ac:dyDescent="0.25">
      <c r="A18" s="550" t="s">
        <v>24</v>
      </c>
      <c r="B18" s="550"/>
      <c r="C18" s="143">
        <v>0</v>
      </c>
      <c r="D18" s="143">
        <v>0</v>
      </c>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23.5</v>
      </c>
      <c r="D19" s="143">
        <v>29</v>
      </c>
      <c r="E19" s="116">
        <f t="shared" si="1"/>
        <v>52.5</v>
      </c>
      <c r="F19" s="635">
        <f>'1461'!F19:G19</f>
        <v>0.98799999999999999</v>
      </c>
      <c r="G19" s="635"/>
      <c r="H19" s="80">
        <f t="shared" si="2"/>
        <v>51.87</v>
      </c>
      <c r="I19" s="101">
        <f t="shared" si="3"/>
        <v>278381.42</v>
      </c>
      <c r="J19" s="65" t="str">
        <f>IF(ROUND(E19,2)=ROUND(SUM(E63:E65),2)," ","CHECK 4-8 LINES BELOW")</f>
        <v xml:space="preserve"> </v>
      </c>
      <c r="N19" s="573" t="s">
        <v>25</v>
      </c>
      <c r="O19" s="573"/>
      <c r="P19" s="614">
        <f t="shared" si="0"/>
        <v>52.5</v>
      </c>
      <c r="Q19" s="614"/>
      <c r="R19" s="619">
        <v>1</v>
      </c>
      <c r="S19" s="619"/>
      <c r="T19" s="95">
        <f t="shared" si="4"/>
        <v>52.5</v>
      </c>
      <c r="U19" s="473">
        <f t="shared" si="5"/>
        <v>281762.57</v>
      </c>
    </row>
    <row r="20" spans="1:21" x14ac:dyDescent="0.25">
      <c r="A20" s="550" t="s">
        <v>79</v>
      </c>
      <c r="B20" s="550"/>
      <c r="C20" s="143">
        <v>47.5</v>
      </c>
      <c r="D20" s="143">
        <v>39</v>
      </c>
      <c r="E20" s="116">
        <f t="shared" si="1"/>
        <v>86.5</v>
      </c>
      <c r="F20" s="635">
        <f>'1461'!F20:G20</f>
        <v>3.706</v>
      </c>
      <c r="G20" s="635"/>
      <c r="H20" s="80">
        <f t="shared" si="2"/>
        <v>320.56900000000002</v>
      </c>
      <c r="I20" s="101">
        <f t="shared" si="3"/>
        <v>1720463.71</v>
      </c>
      <c r="N20" s="573" t="s">
        <v>79</v>
      </c>
      <c r="O20" s="573"/>
      <c r="P20" s="614">
        <f t="shared" si="0"/>
        <v>86.5</v>
      </c>
      <c r="Q20" s="614"/>
      <c r="R20" s="619">
        <v>1</v>
      </c>
      <c r="S20" s="619"/>
      <c r="T20" s="95">
        <f t="shared" si="4"/>
        <v>86.5</v>
      </c>
      <c r="U20" s="474">
        <f t="shared" si="5"/>
        <v>464237.37</v>
      </c>
    </row>
    <row r="21" spans="1:21" x14ac:dyDescent="0.25">
      <c r="A21" s="550" t="s">
        <v>80</v>
      </c>
      <c r="B21" s="550"/>
      <c r="C21" s="143">
        <v>36</v>
      </c>
      <c r="D21" s="143">
        <v>33.5</v>
      </c>
      <c r="E21" s="116">
        <f t="shared" si="1"/>
        <v>69.5</v>
      </c>
      <c r="F21" s="635">
        <f>'1461'!F21:G21</f>
        <v>3.706</v>
      </c>
      <c r="G21" s="635"/>
      <c r="H21" s="80">
        <f t="shared" si="2"/>
        <v>257.56700000000001</v>
      </c>
      <c r="I21" s="101">
        <f t="shared" si="3"/>
        <v>1382337.89</v>
      </c>
      <c r="N21" s="573" t="s">
        <v>80</v>
      </c>
      <c r="O21" s="573"/>
      <c r="P21" s="614">
        <f t="shared" si="0"/>
        <v>69.5</v>
      </c>
      <c r="Q21" s="614"/>
      <c r="R21" s="619">
        <v>1</v>
      </c>
      <c r="S21" s="619"/>
      <c r="T21" s="95">
        <f t="shared" si="4"/>
        <v>69.5</v>
      </c>
      <c r="U21" s="474">
        <f t="shared" si="5"/>
        <v>372999.97</v>
      </c>
    </row>
    <row r="22" spans="1:21" x14ac:dyDescent="0.25">
      <c r="A22" s="550" t="s">
        <v>81</v>
      </c>
      <c r="B22" s="550"/>
      <c r="C22" s="143">
        <v>31</v>
      </c>
      <c r="D22" s="143">
        <v>25.5</v>
      </c>
      <c r="E22" s="116">
        <f t="shared" si="1"/>
        <v>56.5</v>
      </c>
      <c r="F22" s="635">
        <f>'1461'!F22:G22</f>
        <v>3.706</v>
      </c>
      <c r="G22" s="635"/>
      <c r="H22" s="80">
        <f t="shared" si="2"/>
        <v>209.38900000000001</v>
      </c>
      <c r="I22" s="101">
        <f t="shared" si="3"/>
        <v>1123771.0900000001</v>
      </c>
      <c r="N22" s="573" t="s">
        <v>81</v>
      </c>
      <c r="O22" s="573"/>
      <c r="P22" s="614">
        <f t="shared" si="0"/>
        <v>56.5</v>
      </c>
      <c r="Q22" s="614"/>
      <c r="R22" s="619">
        <v>1</v>
      </c>
      <c r="S22" s="619"/>
      <c r="T22" s="95">
        <f t="shared" si="4"/>
        <v>56.5</v>
      </c>
      <c r="U22" s="474">
        <f t="shared" si="5"/>
        <v>303230.19</v>
      </c>
    </row>
    <row r="23" spans="1:21" x14ac:dyDescent="0.25">
      <c r="A23" s="550" t="s">
        <v>82</v>
      </c>
      <c r="B23" s="550"/>
      <c r="C23" s="143">
        <v>3</v>
      </c>
      <c r="D23" s="143">
        <v>12</v>
      </c>
      <c r="E23" s="116">
        <f t="shared" si="1"/>
        <v>15</v>
      </c>
      <c r="F23" s="635">
        <f>'1461'!F23:G23</f>
        <v>5.7069999999999999</v>
      </c>
      <c r="G23" s="635"/>
      <c r="H23" s="80">
        <f t="shared" si="2"/>
        <v>85.605000000000004</v>
      </c>
      <c r="I23" s="101">
        <f t="shared" si="3"/>
        <v>459433.99</v>
      </c>
      <c r="N23" s="573" t="s">
        <v>82</v>
      </c>
      <c r="O23" s="573"/>
      <c r="P23" s="614">
        <f t="shared" si="0"/>
        <v>15</v>
      </c>
      <c r="Q23" s="614"/>
      <c r="R23" s="619">
        <v>1</v>
      </c>
      <c r="S23" s="619"/>
      <c r="T23" s="95">
        <f t="shared" si="4"/>
        <v>15</v>
      </c>
      <c r="U23" s="474">
        <f t="shared" si="5"/>
        <v>80503.59</v>
      </c>
    </row>
    <row r="24" spans="1:21" x14ac:dyDescent="0.25">
      <c r="A24" s="550" t="s">
        <v>83</v>
      </c>
      <c r="B24" s="550"/>
      <c r="C24" s="143">
        <v>17.5</v>
      </c>
      <c r="D24" s="143">
        <v>15.5</v>
      </c>
      <c r="E24" s="116">
        <f t="shared" si="1"/>
        <v>33</v>
      </c>
      <c r="F24" s="635">
        <f>'1461'!F24:G24</f>
        <v>5.7069999999999999</v>
      </c>
      <c r="G24" s="635"/>
      <c r="H24" s="80">
        <f t="shared" si="2"/>
        <v>188.33099999999999</v>
      </c>
      <c r="I24" s="101">
        <f t="shared" si="3"/>
        <v>1010754.79</v>
      </c>
      <c r="N24" s="573" t="s">
        <v>83</v>
      </c>
      <c r="O24" s="573"/>
      <c r="P24" s="614">
        <f t="shared" si="0"/>
        <v>33</v>
      </c>
      <c r="Q24" s="614"/>
      <c r="R24" s="619">
        <v>1</v>
      </c>
      <c r="S24" s="619"/>
      <c r="T24" s="95">
        <f t="shared" si="4"/>
        <v>33</v>
      </c>
      <c r="U24" s="474">
        <f t="shared" si="5"/>
        <v>177107.9</v>
      </c>
    </row>
    <row r="25" spans="1:21" x14ac:dyDescent="0.25">
      <c r="A25" s="550" t="s">
        <v>84</v>
      </c>
      <c r="B25" s="550"/>
      <c r="C25" s="143">
        <v>11</v>
      </c>
      <c r="D25" s="143">
        <v>11</v>
      </c>
      <c r="E25" s="116">
        <f t="shared" si="1"/>
        <v>22</v>
      </c>
      <c r="F25" s="635">
        <f>'1461'!F25:G25</f>
        <v>5.7069999999999999</v>
      </c>
      <c r="G25" s="635"/>
      <c r="H25" s="80">
        <f t="shared" si="2"/>
        <v>125.554</v>
      </c>
      <c r="I25" s="101">
        <f t="shared" si="3"/>
        <v>673836.52</v>
      </c>
      <c r="N25" s="573" t="s">
        <v>84</v>
      </c>
      <c r="O25" s="573"/>
      <c r="P25" s="614">
        <f t="shared" si="0"/>
        <v>22</v>
      </c>
      <c r="Q25" s="614"/>
      <c r="R25" s="619">
        <v>1</v>
      </c>
      <c r="S25" s="619"/>
      <c r="T25" s="95">
        <f t="shared" si="4"/>
        <v>22</v>
      </c>
      <c r="U25" s="474">
        <f t="shared" si="5"/>
        <v>118071.93</v>
      </c>
    </row>
    <row r="26" spans="1:21" x14ac:dyDescent="0.25">
      <c r="A26" s="550" t="s">
        <v>85</v>
      </c>
      <c r="B26" s="550"/>
      <c r="C26" s="143">
        <v>0</v>
      </c>
      <c r="D26" s="143">
        <v>0</v>
      </c>
      <c r="E26" s="116">
        <f t="shared" si="1"/>
        <v>0</v>
      </c>
      <c r="F26" s="635">
        <f>'1461'!F26:G26</f>
        <v>1.208</v>
      </c>
      <c r="G26" s="635"/>
      <c r="H26" s="80">
        <f t="shared" si="2"/>
        <v>0</v>
      </c>
      <c r="I26" s="101">
        <f t="shared" si="3"/>
        <v>0</v>
      </c>
      <c r="N26" s="573" t="s">
        <v>85</v>
      </c>
      <c r="O26" s="573"/>
      <c r="P26" s="614">
        <f t="shared" si="0"/>
        <v>0</v>
      </c>
      <c r="Q26" s="614"/>
      <c r="R26" s="619">
        <v>1</v>
      </c>
      <c r="S26" s="619"/>
      <c r="T26" s="95">
        <f t="shared" si="4"/>
        <v>0</v>
      </c>
      <c r="U26" s="474">
        <f t="shared" si="5"/>
        <v>0</v>
      </c>
    </row>
    <row r="27" spans="1:21" x14ac:dyDescent="0.25">
      <c r="A27" s="550" t="s">
        <v>86</v>
      </c>
      <c r="B27" s="550"/>
      <c r="C27" s="143">
        <v>0</v>
      </c>
      <c r="D27" s="143">
        <v>0</v>
      </c>
      <c r="E27" s="116">
        <f t="shared" si="1"/>
        <v>0</v>
      </c>
      <c r="F27" s="635">
        <f>'1461'!F27:G27</f>
        <v>1.208</v>
      </c>
      <c r="G27" s="635"/>
      <c r="H27" s="80">
        <f t="shared" si="2"/>
        <v>0</v>
      </c>
      <c r="I27" s="101">
        <f t="shared" si="3"/>
        <v>0</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185.5</v>
      </c>
      <c r="D30" s="94">
        <f>SUM(D14:D29)</f>
        <v>184</v>
      </c>
      <c r="E30" s="94">
        <f>SUM(E14:E29)</f>
        <v>369.5</v>
      </c>
      <c r="F30" s="554"/>
      <c r="G30" s="554"/>
      <c r="H30" s="99">
        <f>SUM(H14:H29)</f>
        <v>1275.0930000000001</v>
      </c>
      <c r="I30" s="94">
        <f>SUM(I14:I29)</f>
        <v>6843304.3399999999</v>
      </c>
      <c r="N30" s="616" t="s">
        <v>5</v>
      </c>
      <c r="O30" s="616"/>
      <c r="P30" s="617">
        <f>SUM(P14:P29)</f>
        <v>369.5</v>
      </c>
      <c r="Q30" s="617"/>
      <c r="R30" s="589"/>
      <c r="S30" s="589"/>
      <c r="T30" s="100">
        <f>SUM(T14:T29)</f>
        <v>369.5</v>
      </c>
      <c r="U30" s="474">
        <f>SUM(U14:U29)</f>
        <v>1983071.7699999998</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1275.0930000000001</v>
      </c>
      <c r="F46" s="34"/>
      <c r="G46" s="106"/>
      <c r="H46" s="107" t="s">
        <v>98</v>
      </c>
      <c r="I46" s="94">
        <f>SUM(I44,I30)</f>
        <v>6843304.3399999999</v>
      </c>
      <c r="N46" s="575" t="s">
        <v>44</v>
      </c>
      <c r="O46" s="575"/>
      <c r="P46" s="575"/>
      <c r="Q46" s="575"/>
      <c r="R46" s="35">
        <f>R44+T30</f>
        <v>369.5</v>
      </c>
      <c r="S46" s="589" t="s">
        <v>42</v>
      </c>
      <c r="T46" s="589"/>
      <c r="U46" s="108">
        <f>SUM(U44,U30)</f>
        <v>1983071.7699999998</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6843304.3399999999</v>
      </c>
      <c r="G51" s="109" t="s">
        <v>6</v>
      </c>
      <c r="H51" s="402">
        <v>4.5199999999999997E-2</v>
      </c>
      <c r="I51" s="101">
        <f>ROUND(F51*H51,2)</f>
        <v>309317.36</v>
      </c>
      <c r="N51" s="407"/>
      <c r="O51" s="408" t="s">
        <v>394</v>
      </c>
      <c r="P51" s="28"/>
      <c r="Q51" s="44" t="s">
        <v>395</v>
      </c>
      <c r="R51" s="409">
        <f>U30</f>
        <v>1983071.7699999998</v>
      </c>
      <c r="S51" s="410" t="s">
        <v>6</v>
      </c>
      <c r="T51" s="411">
        <v>4.5199999999999997E-2</v>
      </c>
      <c r="U51" s="403">
        <f>ROUND(R51*T51,2)</f>
        <v>89634.84</v>
      </c>
    </row>
    <row r="52" spans="1:22" x14ac:dyDescent="0.25">
      <c r="A52" s="26"/>
      <c r="B52" s="81" t="s">
        <v>396</v>
      </c>
      <c r="C52" s="26"/>
      <c r="D52" s="26"/>
      <c r="E52" s="43" t="s">
        <v>395</v>
      </c>
      <c r="F52" s="401">
        <f>I46</f>
        <v>6843304.3399999999</v>
      </c>
      <c r="G52" s="109" t="s">
        <v>6</v>
      </c>
      <c r="H52" s="402">
        <v>1.41E-2</v>
      </c>
      <c r="I52" s="101">
        <f>ROUND(F52*H52,2)</f>
        <v>96490.59</v>
      </c>
      <c r="N52" s="28"/>
      <c r="O52" s="384" t="s">
        <v>396</v>
      </c>
      <c r="P52" s="28"/>
      <c r="Q52" s="44" t="s">
        <v>395</v>
      </c>
      <c r="R52" s="409">
        <f>U30</f>
        <v>1983071.7699999998</v>
      </c>
      <c r="S52" s="410" t="s">
        <v>6</v>
      </c>
      <c r="T52" s="411">
        <v>1.41E-2</v>
      </c>
      <c r="U52" s="412">
        <f>ROUND(R52*T52,2)</f>
        <v>27961.31</v>
      </c>
    </row>
    <row r="53" spans="1:22" x14ac:dyDescent="0.25">
      <c r="A53" s="26"/>
      <c r="B53" s="81" t="s">
        <v>397</v>
      </c>
      <c r="C53" s="26"/>
      <c r="D53" s="26"/>
      <c r="E53" s="43"/>
      <c r="F53" s="401"/>
      <c r="G53" s="109"/>
      <c r="H53" s="402"/>
      <c r="I53" s="97">
        <f>SUM(I51:I52)</f>
        <v>405807.94999999995</v>
      </c>
      <c r="N53" s="28"/>
      <c r="O53" s="384" t="s">
        <v>397</v>
      </c>
      <c r="P53" s="28"/>
      <c r="Q53" s="44"/>
      <c r="R53" s="409"/>
      <c r="S53" s="410"/>
      <c r="T53" s="411"/>
      <c r="U53" s="403">
        <f>SUM(U51:U52)</f>
        <v>117596.15</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0</v>
      </c>
      <c r="D57" s="143">
        <v>0</v>
      </c>
      <c r="E57" s="116">
        <f t="shared" ref="E57:E65" si="10">IF(D$66=0,C57*2,C57+D57)</f>
        <v>0</v>
      </c>
      <c r="F57" s="444" t="s">
        <v>434</v>
      </c>
      <c r="G57" s="444">
        <v>251</v>
      </c>
      <c r="H57" s="458">
        <f>'1461'!H57</f>
        <v>1047</v>
      </c>
      <c r="I57" s="101">
        <f>ROUND(E57*H57,2)</f>
        <v>0</v>
      </c>
      <c r="N57" s="590" t="s">
        <v>442</v>
      </c>
      <c r="O57" s="590"/>
      <c r="P57" s="593"/>
      <c r="Q57" s="593"/>
      <c r="R57" s="450" t="s">
        <v>434</v>
      </c>
      <c r="S57" s="450">
        <v>251</v>
      </c>
      <c r="T57" s="461">
        <f>H57</f>
        <v>1047</v>
      </c>
      <c r="U57" s="475">
        <f>ROUND(P57*T57,2)</f>
        <v>0</v>
      </c>
      <c r="V57" s="425"/>
    </row>
    <row r="58" spans="1:22" x14ac:dyDescent="0.25">
      <c r="A58" s="561"/>
      <c r="B58" s="561"/>
      <c r="C58" s="143">
        <v>0</v>
      </c>
      <c r="D58" s="143">
        <v>0</v>
      </c>
      <c r="E58" s="116">
        <f t="shared" si="10"/>
        <v>0</v>
      </c>
      <c r="F58" s="444" t="s">
        <v>434</v>
      </c>
      <c r="G58" s="444">
        <v>252</v>
      </c>
      <c r="H58" s="458">
        <f>'1461'!H58</f>
        <v>3380</v>
      </c>
      <c r="I58" s="101">
        <f t="shared" ref="I58:I65" si="11">ROUND(E58*H58,2)</f>
        <v>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7</v>
      </c>
      <c r="D59" s="143">
        <v>7</v>
      </c>
      <c r="E59" s="116">
        <f t="shared" si="10"/>
        <v>14</v>
      </c>
      <c r="F59" s="444" t="s">
        <v>434</v>
      </c>
      <c r="G59" s="444">
        <v>253</v>
      </c>
      <c r="H59" s="458">
        <f>'1461'!H59</f>
        <v>6896</v>
      </c>
      <c r="I59" s="101">
        <f t="shared" si="11"/>
        <v>96544</v>
      </c>
      <c r="N59" s="591"/>
      <c r="O59" s="591"/>
      <c r="P59" s="594"/>
      <c r="Q59" s="594"/>
      <c r="R59" s="450" t="s">
        <v>434</v>
      </c>
      <c r="S59" s="450">
        <v>253</v>
      </c>
      <c r="T59" s="461">
        <f t="shared" si="12"/>
        <v>6896</v>
      </c>
      <c r="U59" s="475">
        <f t="shared" si="13"/>
        <v>0</v>
      </c>
      <c r="V59" s="425"/>
    </row>
    <row r="60" spans="1:22" x14ac:dyDescent="0.25">
      <c r="A60" s="561"/>
      <c r="B60" s="561"/>
      <c r="C60" s="143">
        <v>0</v>
      </c>
      <c r="D60" s="143">
        <v>0</v>
      </c>
      <c r="E60" s="116">
        <f t="shared" si="10"/>
        <v>0</v>
      </c>
      <c r="F60" s="445" t="s">
        <v>13</v>
      </c>
      <c r="G60" s="444">
        <v>251</v>
      </c>
      <c r="H60" s="458">
        <f>'1461'!H60</f>
        <v>1173</v>
      </c>
      <c r="I60" s="101">
        <f t="shared" si="11"/>
        <v>0</v>
      </c>
      <c r="N60" s="591"/>
      <c r="O60" s="591"/>
      <c r="P60" s="594"/>
      <c r="Q60" s="594"/>
      <c r="R60" s="40" t="s">
        <v>13</v>
      </c>
      <c r="S60" s="450">
        <v>251</v>
      </c>
      <c r="T60" s="461">
        <f t="shared" si="12"/>
        <v>1173</v>
      </c>
      <c r="U60" s="475">
        <f t="shared" si="13"/>
        <v>0</v>
      </c>
      <c r="V60" s="425"/>
    </row>
    <row r="61" spans="1:22" x14ac:dyDescent="0.25">
      <c r="A61" s="561"/>
      <c r="B61" s="561"/>
      <c r="C61" s="143">
        <v>0</v>
      </c>
      <c r="D61" s="143">
        <v>0</v>
      </c>
      <c r="E61" s="116">
        <f t="shared" si="10"/>
        <v>0</v>
      </c>
      <c r="F61" s="445" t="s">
        <v>13</v>
      </c>
      <c r="G61" s="444">
        <v>252</v>
      </c>
      <c r="H61" s="458">
        <f>'1461'!H61</f>
        <v>3506</v>
      </c>
      <c r="I61" s="101">
        <f t="shared" si="11"/>
        <v>0</v>
      </c>
      <c r="N61" s="591"/>
      <c r="O61" s="591"/>
      <c r="P61" s="594"/>
      <c r="Q61" s="594"/>
      <c r="R61" s="40" t="s">
        <v>13</v>
      </c>
      <c r="S61" s="450">
        <v>252</v>
      </c>
      <c r="T61" s="461">
        <f t="shared" si="12"/>
        <v>3506</v>
      </c>
      <c r="U61" s="475">
        <f t="shared" si="13"/>
        <v>0</v>
      </c>
      <c r="V61" s="425"/>
    </row>
    <row r="62" spans="1:22" x14ac:dyDescent="0.25">
      <c r="A62" s="561"/>
      <c r="B62" s="561"/>
      <c r="C62" s="143">
        <v>9</v>
      </c>
      <c r="D62" s="143">
        <v>11.5</v>
      </c>
      <c r="E62" s="116">
        <f>IF(D$66=0,C62*2,C62+D62)</f>
        <v>20.5</v>
      </c>
      <c r="F62" s="445" t="s">
        <v>13</v>
      </c>
      <c r="G62" s="444">
        <v>253</v>
      </c>
      <c r="H62" s="458">
        <f>'1461'!H62</f>
        <v>7023</v>
      </c>
      <c r="I62" s="101">
        <f t="shared" si="11"/>
        <v>143971.5</v>
      </c>
      <c r="N62" s="591"/>
      <c r="O62" s="591"/>
      <c r="P62" s="594"/>
      <c r="Q62" s="594"/>
      <c r="R62" s="40" t="s">
        <v>13</v>
      </c>
      <c r="S62" s="450">
        <v>253</v>
      </c>
      <c r="T62" s="461">
        <f t="shared" si="12"/>
        <v>7023</v>
      </c>
      <c r="U62" s="475">
        <f t="shared" si="13"/>
        <v>0</v>
      </c>
      <c r="V62" s="425"/>
    </row>
    <row r="63" spans="1:22" x14ac:dyDescent="0.25">
      <c r="A63" s="561"/>
      <c r="B63" s="561"/>
      <c r="C63" s="143">
        <v>0</v>
      </c>
      <c r="D63" s="143">
        <v>0</v>
      </c>
      <c r="E63" s="116">
        <f t="shared" si="10"/>
        <v>0</v>
      </c>
      <c r="F63" s="445" t="s">
        <v>14</v>
      </c>
      <c r="G63" s="444">
        <v>251</v>
      </c>
      <c r="H63" s="458">
        <f>'1461'!H63</f>
        <v>835</v>
      </c>
      <c r="I63" s="101">
        <f t="shared" si="11"/>
        <v>0</v>
      </c>
      <c r="N63" s="591"/>
      <c r="O63" s="591"/>
      <c r="P63" s="594"/>
      <c r="Q63" s="594"/>
      <c r="R63" s="40" t="s">
        <v>14</v>
      </c>
      <c r="S63" s="450">
        <v>251</v>
      </c>
      <c r="T63" s="461">
        <f t="shared" si="12"/>
        <v>835</v>
      </c>
      <c r="U63" s="475">
        <f t="shared" si="13"/>
        <v>0</v>
      </c>
      <c r="V63" s="425"/>
    </row>
    <row r="64" spans="1:22" x14ac:dyDescent="0.25">
      <c r="A64" s="561"/>
      <c r="B64" s="561"/>
      <c r="C64" s="143">
        <v>1.5</v>
      </c>
      <c r="D64" s="143">
        <v>1.85</v>
      </c>
      <c r="E64" s="116">
        <f t="shared" si="10"/>
        <v>3.35</v>
      </c>
      <c r="F64" s="445" t="s">
        <v>14</v>
      </c>
      <c r="G64" s="444">
        <v>252</v>
      </c>
      <c r="H64" s="458">
        <f>'1461'!H64</f>
        <v>3168</v>
      </c>
      <c r="I64" s="101">
        <f t="shared" si="11"/>
        <v>10612.8</v>
      </c>
      <c r="N64" s="591"/>
      <c r="O64" s="591"/>
      <c r="P64" s="594"/>
      <c r="Q64" s="594"/>
      <c r="R64" s="40" t="s">
        <v>14</v>
      </c>
      <c r="S64" s="450">
        <v>252</v>
      </c>
      <c r="T64" s="461">
        <f t="shared" si="12"/>
        <v>3168</v>
      </c>
      <c r="U64" s="475">
        <f t="shared" si="13"/>
        <v>0</v>
      </c>
      <c r="V64" s="425"/>
    </row>
    <row r="65" spans="1:22" ht="16.5" thickBot="1" x14ac:dyDescent="0.3">
      <c r="A65" s="561"/>
      <c r="B65" s="561"/>
      <c r="C65" s="143">
        <v>22</v>
      </c>
      <c r="D65" s="143">
        <v>27.15</v>
      </c>
      <c r="E65" s="116">
        <f t="shared" si="10"/>
        <v>49.15</v>
      </c>
      <c r="F65" s="445" t="s">
        <v>14</v>
      </c>
      <c r="G65" s="444">
        <v>253</v>
      </c>
      <c r="H65" s="458">
        <f>'1461'!H65</f>
        <v>6685</v>
      </c>
      <c r="I65" s="101">
        <f t="shared" si="11"/>
        <v>328567.75</v>
      </c>
      <c r="N65" s="591"/>
      <c r="O65" s="591"/>
      <c r="P65" s="595"/>
      <c r="Q65" s="595"/>
      <c r="R65" s="40" t="s">
        <v>14</v>
      </c>
      <c r="S65" s="450">
        <v>253</v>
      </c>
      <c r="T65" s="461">
        <f t="shared" si="12"/>
        <v>6685</v>
      </c>
      <c r="U65" s="476">
        <f t="shared" si="13"/>
        <v>0</v>
      </c>
      <c r="V65" s="425"/>
    </row>
    <row r="66" spans="1:22" ht="16.5" thickBot="1" x14ac:dyDescent="0.3">
      <c r="A66" s="441"/>
      <c r="C66" s="97">
        <f>SUM(C57:C65)</f>
        <v>39.5</v>
      </c>
      <c r="D66" s="97">
        <f>SUM(D57:D65)</f>
        <v>47.5</v>
      </c>
      <c r="E66" s="97">
        <f>SUM(E57:E65)</f>
        <v>87</v>
      </c>
      <c r="F66" s="562" t="s">
        <v>443</v>
      </c>
      <c r="G66" s="562"/>
      <c r="H66" s="562"/>
      <c r="I66" s="97">
        <f>SUM(I57:I65)</f>
        <v>579696.05000000005</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369.5</v>
      </c>
      <c r="D69" s="537" t="s">
        <v>409</v>
      </c>
      <c r="E69" s="537"/>
      <c r="F69" s="537"/>
      <c r="G69" s="537"/>
      <c r="H69" s="301">
        <f>'1461'!H69</f>
        <v>201799.89</v>
      </c>
      <c r="I69" s="113"/>
      <c r="N69" s="572" t="s">
        <v>402</v>
      </c>
      <c r="O69" s="573"/>
      <c r="P69" s="41">
        <f>P30</f>
        <v>369.5</v>
      </c>
      <c r="Q69" s="578" t="s">
        <v>404</v>
      </c>
      <c r="R69" s="579"/>
      <c r="S69" s="579"/>
      <c r="T69" s="576">
        <f>H69</f>
        <v>201799.89</v>
      </c>
      <c r="U69" s="576"/>
    </row>
    <row r="70" spans="1:22" x14ac:dyDescent="0.25">
      <c r="B70" s="69"/>
      <c r="G70" s="42" t="s">
        <v>12</v>
      </c>
      <c r="H70" s="114">
        <f>ROUND(C69/H69,6)</f>
        <v>1.8309999999999999E-3</v>
      </c>
      <c r="I70" s="115"/>
      <c r="N70" s="573"/>
      <c r="O70" s="573"/>
      <c r="P70" s="573"/>
      <c r="Q70" s="573"/>
      <c r="R70" s="573"/>
      <c r="S70" s="573"/>
      <c r="T70" s="577">
        <f>ROUND(P69/T69,6)</f>
        <v>1.8309999999999999E-3</v>
      </c>
      <c r="U70" s="577"/>
    </row>
    <row r="71" spans="1:22" x14ac:dyDescent="0.25">
      <c r="A71" s="443" t="s">
        <v>446</v>
      </c>
      <c r="N71" s="454" t="s">
        <v>454</v>
      </c>
      <c r="O71" s="51"/>
      <c r="P71" s="51"/>
      <c r="Q71" s="51"/>
      <c r="R71" s="51"/>
      <c r="S71" s="51"/>
      <c r="T71" s="51"/>
      <c r="U71" s="51"/>
    </row>
    <row r="72" spans="1:22" x14ac:dyDescent="0.25">
      <c r="A72" s="556" t="s">
        <v>399</v>
      </c>
      <c r="B72" s="550"/>
      <c r="C72" s="112">
        <f>H30</f>
        <v>1275.0930000000001</v>
      </c>
      <c r="D72" s="537" t="s">
        <v>410</v>
      </c>
      <c r="E72" s="537"/>
      <c r="F72" s="537"/>
      <c r="G72" s="537"/>
      <c r="H72" s="302">
        <f>'1461'!H72</f>
        <v>227090.59</v>
      </c>
      <c r="I72" s="116"/>
      <c r="N72" s="572" t="s">
        <v>403</v>
      </c>
      <c r="O72" s="573"/>
      <c r="P72" s="41">
        <f>T30</f>
        <v>369.5</v>
      </c>
      <c r="Q72" s="578" t="s">
        <v>405</v>
      </c>
      <c r="R72" s="579"/>
      <c r="S72" s="579"/>
      <c r="T72" s="576">
        <f>H72</f>
        <v>227090.59</v>
      </c>
      <c r="U72" s="576"/>
    </row>
    <row r="73" spans="1:22" x14ac:dyDescent="0.25">
      <c r="G73" s="42" t="s">
        <v>12</v>
      </c>
      <c r="H73" s="114">
        <f>ROUND(C72/H72,6)</f>
        <v>5.6150000000000002E-3</v>
      </c>
      <c r="I73" s="114"/>
      <c r="N73" s="573"/>
      <c r="O73" s="573"/>
      <c r="P73" s="573"/>
      <c r="Q73" s="573"/>
      <c r="R73" s="573"/>
      <c r="S73" s="573"/>
      <c r="T73" s="577">
        <f>ROUND(P72/T72,6)</f>
        <v>1.627E-3</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369.5</v>
      </c>
      <c r="D75" s="529" t="s">
        <v>411</v>
      </c>
      <c r="E75" s="529"/>
      <c r="F75" s="529"/>
      <c r="G75" s="529"/>
      <c r="H75" s="301">
        <f>'1461'!H75</f>
        <v>186438.39</v>
      </c>
      <c r="I75" s="113"/>
      <c r="N75" s="572" t="s">
        <v>401</v>
      </c>
      <c r="O75" s="573"/>
      <c r="P75" s="41">
        <f>P30</f>
        <v>369.5</v>
      </c>
      <c r="Q75" s="608" t="s">
        <v>406</v>
      </c>
      <c r="R75" s="609"/>
      <c r="S75" s="609"/>
      <c r="T75" s="576">
        <f>H75</f>
        <v>186438.39</v>
      </c>
      <c r="U75" s="576"/>
    </row>
    <row r="76" spans="1:22" x14ac:dyDescent="0.25">
      <c r="B76" s="69"/>
      <c r="G76" s="42" t="s">
        <v>12</v>
      </c>
      <c r="H76" s="114">
        <f>ROUND(C75/H75,6)</f>
        <v>1.9819999999999998E-3</v>
      </c>
      <c r="I76" s="115"/>
      <c r="N76" s="573"/>
      <c r="O76" s="573"/>
      <c r="P76" s="573"/>
      <c r="Q76" s="573"/>
      <c r="R76" s="573"/>
      <c r="S76" s="573"/>
      <c r="T76" s="577">
        <f>ROUND(P75/T75,6)</f>
        <v>1.9819999999999998E-3</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369.5</v>
      </c>
      <c r="D78" s="557" t="s">
        <v>412</v>
      </c>
      <c r="E78" s="557"/>
      <c r="F78" s="557"/>
      <c r="G78" s="557"/>
      <c r="H78" s="301">
        <f>'1461'!H78</f>
        <v>201460.8</v>
      </c>
      <c r="I78" s="113"/>
      <c r="N78" s="572" t="s">
        <v>401</v>
      </c>
      <c r="O78" s="573"/>
      <c r="P78" s="41">
        <f>P30</f>
        <v>369.5</v>
      </c>
      <c r="Q78" s="606" t="s">
        <v>407</v>
      </c>
      <c r="R78" s="607"/>
      <c r="S78" s="607"/>
      <c r="T78" s="576">
        <f>H78</f>
        <v>201460.8</v>
      </c>
      <c r="U78" s="576"/>
    </row>
    <row r="79" spans="1:22" x14ac:dyDescent="0.25">
      <c r="B79" s="69"/>
      <c r="G79" s="42" t="s">
        <v>12</v>
      </c>
      <c r="H79" s="114">
        <f>ROUND(C78/H78,6)</f>
        <v>1.8339999999999999E-3</v>
      </c>
      <c r="I79" s="115"/>
      <c r="N79" s="573"/>
      <c r="O79" s="573"/>
      <c r="P79" s="573"/>
      <c r="Q79" s="573"/>
      <c r="R79" s="573"/>
      <c r="S79" s="573"/>
      <c r="T79" s="577">
        <f>ROUND(P78/T78,6)</f>
        <v>1.8339999999999999E-3</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369.5</v>
      </c>
      <c r="D81" s="529" t="s">
        <v>413</v>
      </c>
      <c r="E81" s="529"/>
      <c r="F81" s="529"/>
      <c r="G81" s="529"/>
      <c r="H81" s="301">
        <f>'1461'!H81</f>
        <v>186099.3</v>
      </c>
      <c r="I81" s="113"/>
      <c r="N81" s="572" t="s">
        <v>414</v>
      </c>
      <c r="O81" s="573"/>
      <c r="P81" s="41">
        <f>P30</f>
        <v>369.5</v>
      </c>
      <c r="Q81" s="608" t="s">
        <v>415</v>
      </c>
      <c r="R81" s="609"/>
      <c r="S81" s="609"/>
      <c r="T81" s="576">
        <f>H81</f>
        <v>186099.3</v>
      </c>
      <c r="U81" s="576"/>
    </row>
    <row r="82" spans="1:21" x14ac:dyDescent="0.25">
      <c r="B82" s="69"/>
      <c r="G82" s="42" t="s">
        <v>12</v>
      </c>
      <c r="H82" s="114">
        <f>ROUND(C81/H81,6)</f>
        <v>1.9849999999999998E-3</v>
      </c>
      <c r="I82" s="115"/>
      <c r="N82" s="573"/>
      <c r="O82" s="573"/>
      <c r="P82" s="573"/>
      <c r="Q82" s="573"/>
      <c r="R82" s="573"/>
      <c r="S82" s="573"/>
      <c r="T82" s="577">
        <f>ROUND(P81/T81,6)</f>
        <v>1.9849999999999998E-3</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1.8339999999999999E-3</v>
      </c>
      <c r="I85" s="101">
        <f>ROUND(F85*H85,2)</f>
        <v>81263.23</v>
      </c>
      <c r="N85" s="454" t="s">
        <v>450</v>
      </c>
      <c r="O85" s="51"/>
      <c r="P85" s="51"/>
      <c r="Q85" s="44"/>
      <c r="R85" s="420">
        <f>F85</f>
        <v>44309288</v>
      </c>
      <c r="S85" s="38" t="s">
        <v>6</v>
      </c>
      <c r="T85" s="422">
        <f>T79</f>
        <v>1.8339999999999999E-3</v>
      </c>
      <c r="U85" s="474">
        <f>ROUND(R85*T85,2)</f>
        <v>81263.23</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1.8309999999999999E-3</v>
      </c>
      <c r="I88" s="101">
        <f>ROUND(F88*H88,2)</f>
        <v>0</v>
      </c>
      <c r="N88" s="610" t="s">
        <v>99</v>
      </c>
      <c r="O88" s="573"/>
      <c r="P88" s="573"/>
      <c r="Q88" s="44"/>
      <c r="R88" s="420">
        <f>F88</f>
        <v>0</v>
      </c>
      <c r="S88" s="38" t="s">
        <v>6</v>
      </c>
      <c r="T88" s="422">
        <f>T70</f>
        <v>1.8309999999999999E-3</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1.9849999999999998E-3</v>
      </c>
      <c r="I90" s="101">
        <f>ROUND(F90*H90,2)</f>
        <v>32307.22</v>
      </c>
      <c r="N90" s="454" t="s">
        <v>451</v>
      </c>
      <c r="O90" s="51"/>
      <c r="P90" s="51"/>
      <c r="Q90" s="44"/>
      <c r="R90" s="420">
        <f>F90</f>
        <v>16275680</v>
      </c>
      <c r="S90" s="38" t="s">
        <v>6</v>
      </c>
      <c r="T90" s="422">
        <f>T82</f>
        <v>1.9849999999999998E-3</v>
      </c>
      <c r="U90" s="474">
        <f>ROUND(R90*T90,2)</f>
        <v>32307.22</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1.9819999999999998E-3</v>
      </c>
      <c r="I92" s="101">
        <f t="shared" ref="I92:I96" si="14">ROUND(F92*H92,2)</f>
        <v>20073.77</v>
      </c>
      <c r="N92" s="454" t="s">
        <v>452</v>
      </c>
      <c r="O92" s="51"/>
      <c r="P92" s="51"/>
      <c r="Q92" s="44"/>
      <c r="R92" s="420">
        <f t="shared" ref="R92:R96" si="15">F92</f>
        <v>10128039</v>
      </c>
      <c r="S92" s="38" t="s">
        <v>6</v>
      </c>
      <c r="T92" s="422">
        <f>T76</f>
        <v>1.9819999999999998E-3</v>
      </c>
      <c r="U92" s="474">
        <f>ROUND(R92*T92,2)</f>
        <v>20073.77</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5.6150000000000002E-3</v>
      </c>
      <c r="I94" s="101">
        <f t="shared" si="14"/>
        <v>1341971.94</v>
      </c>
      <c r="N94" s="573" t="s">
        <v>417</v>
      </c>
      <c r="O94" s="573"/>
      <c r="P94" s="573"/>
      <c r="Q94" s="44"/>
      <c r="R94" s="420">
        <f t="shared" si="15"/>
        <v>238997674</v>
      </c>
      <c r="S94" s="38" t="s">
        <v>6</v>
      </c>
      <c r="T94" s="422">
        <f>T73</f>
        <v>1.627E-3</v>
      </c>
      <c r="U94" s="474">
        <f>ROUND(R94*T94,2)</f>
        <v>388849.22</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5.6150000000000002E-3</v>
      </c>
      <c r="I96" s="101">
        <f t="shared" si="14"/>
        <v>0</v>
      </c>
      <c r="N96" s="572" t="s">
        <v>418</v>
      </c>
      <c r="O96" s="573"/>
      <c r="P96" s="573"/>
      <c r="Q96" s="44"/>
      <c r="R96" s="420">
        <f t="shared" si="15"/>
        <v>0</v>
      </c>
      <c r="S96" s="38" t="s">
        <v>6</v>
      </c>
      <c r="T96" s="422">
        <f>T73</f>
        <v>1.627E-3</v>
      </c>
      <c r="U96" s="474">
        <f>ROUND(R96*T96,2)</f>
        <v>0</v>
      </c>
    </row>
    <row r="97" spans="1:21" x14ac:dyDescent="0.25">
      <c r="A97" s="513"/>
      <c r="B97" s="512"/>
      <c r="C97" s="512"/>
      <c r="D97" s="512"/>
      <c r="E97" s="510"/>
      <c r="F97" s="117"/>
      <c r="G97" s="511"/>
      <c r="H97" s="423"/>
      <c r="I97" s="101"/>
      <c r="N97" s="516"/>
      <c r="O97" s="515"/>
      <c r="P97" s="515"/>
      <c r="Q97" s="44"/>
      <c r="R97" s="518"/>
      <c r="S97" s="517"/>
      <c r="T97" s="422"/>
      <c r="U97" s="478"/>
    </row>
    <row r="98" spans="1:21" x14ac:dyDescent="0.25">
      <c r="A98" s="513" t="s">
        <v>475</v>
      </c>
      <c r="B98" s="512"/>
      <c r="C98" s="512"/>
      <c r="D98" s="512"/>
      <c r="E98" s="510" t="s">
        <v>3</v>
      </c>
      <c r="F98" s="291">
        <v>0</v>
      </c>
      <c r="G98" s="511" t="s">
        <v>6</v>
      </c>
      <c r="H98" s="423">
        <f>H70</f>
        <v>1.8309999999999999E-3</v>
      </c>
      <c r="I98" s="101">
        <f t="shared" ref="I98" si="16">ROUND(F98*H98,2)</f>
        <v>0</v>
      </c>
      <c r="N98" s="516" t="s">
        <v>475</v>
      </c>
      <c r="O98" s="516"/>
      <c r="P98" s="516"/>
      <c r="Q98" s="44"/>
      <c r="R98" s="519">
        <f>F98</f>
        <v>0</v>
      </c>
      <c r="S98" s="517" t="s">
        <v>6</v>
      </c>
      <c r="T98" s="422">
        <f>T70</f>
        <v>1.8309999999999999E-3</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421.88200000000006</v>
      </c>
      <c r="D104" s="568"/>
      <c r="E104" s="46">
        <f>H8</f>
        <v>1.0442</v>
      </c>
      <c r="F104" s="304">
        <f>'1461'!F104</f>
        <v>947.59</v>
      </c>
      <c r="G104" s="39" t="s">
        <v>12</v>
      </c>
      <c r="H104" s="101">
        <f>ROUND(C104*E104*F104,2)</f>
        <v>417441.05</v>
      </c>
      <c r="I104" s="104"/>
      <c r="N104" s="28" t="s">
        <v>17</v>
      </c>
      <c r="O104" s="47">
        <f>T14+T15+T20+T23+T26</f>
        <v>115.5</v>
      </c>
      <c r="P104" s="583">
        <f>T8</f>
        <v>1.0442</v>
      </c>
      <c r="Q104" s="583"/>
      <c r="R104" s="48">
        <f>F104</f>
        <v>947.59</v>
      </c>
      <c r="S104" s="40" t="s">
        <v>12</v>
      </c>
      <c r="T104" s="480">
        <f>ROUND(O104*P104*R104,2)</f>
        <v>114284.19</v>
      </c>
      <c r="U104" s="102"/>
    </row>
    <row r="105" spans="1:21" x14ac:dyDescent="0.25">
      <c r="A105" s="49"/>
      <c r="B105" s="49" t="s">
        <v>104</v>
      </c>
      <c r="C105" s="568">
        <f>H16+H17+H21+H24+H27</f>
        <v>466.39800000000002</v>
      </c>
      <c r="D105" s="568"/>
      <c r="E105" s="46">
        <f>H8</f>
        <v>1.0442</v>
      </c>
      <c r="F105" s="304">
        <f>'1461'!F105</f>
        <v>904.74</v>
      </c>
      <c r="G105" s="39" t="s">
        <v>12</v>
      </c>
      <c r="H105" s="101">
        <f>ROUND(C105*E105*F105,2)</f>
        <v>440619.95</v>
      </c>
      <c r="N105" s="50" t="s">
        <v>13</v>
      </c>
      <c r="O105" s="47">
        <f>T16+T17+T21+T24+T27</f>
        <v>123</v>
      </c>
      <c r="P105" s="583">
        <f>T8</f>
        <v>1.0442</v>
      </c>
      <c r="Q105" s="583"/>
      <c r="R105" s="48">
        <f>F105</f>
        <v>904.74</v>
      </c>
      <c r="S105" s="40" t="s">
        <v>12</v>
      </c>
      <c r="T105" s="480">
        <f>ROUND(O105*P105*R105,2)</f>
        <v>116201.73</v>
      </c>
      <c r="U105" s="51"/>
    </row>
    <row r="106" spans="1:21" ht="16.5" thickBot="1" x14ac:dyDescent="0.3">
      <c r="A106" s="52"/>
      <c r="B106" s="52" t="s">
        <v>103</v>
      </c>
      <c r="C106" s="568">
        <f>H18+H19+H22+H25+H28+H29</f>
        <v>386.81299999999999</v>
      </c>
      <c r="D106" s="568"/>
      <c r="E106" s="46">
        <f>H8</f>
        <v>1.0442</v>
      </c>
      <c r="F106" s="304">
        <f>'1461'!F106</f>
        <v>906.93</v>
      </c>
      <c r="G106" s="39" t="s">
        <v>12</v>
      </c>
      <c r="H106" s="94">
        <f>ROUND(C106*E106*F106,2)</f>
        <v>366318.22</v>
      </c>
      <c r="N106" s="53" t="s">
        <v>14</v>
      </c>
      <c r="O106" s="54">
        <f>T18+T19+T22+T25+T28+T29</f>
        <v>131</v>
      </c>
      <c r="P106" s="583">
        <f>T8</f>
        <v>1.0442</v>
      </c>
      <c r="Q106" s="583"/>
      <c r="R106" s="48">
        <f>F106</f>
        <v>906.93</v>
      </c>
      <c r="S106" s="40" t="s">
        <v>12</v>
      </c>
      <c r="T106" s="480">
        <f>ROUND(O106*P106*R106,2)</f>
        <v>124059.14</v>
      </c>
      <c r="U106" s="51"/>
    </row>
    <row r="107" spans="1:21" ht="16.5" thickBot="1" x14ac:dyDescent="0.3">
      <c r="A107" s="55"/>
      <c r="B107" s="122" t="s">
        <v>102</v>
      </c>
      <c r="C107" s="558">
        <f>SUM(C104:C106)</f>
        <v>1275.0930000000001</v>
      </c>
      <c r="D107" s="558"/>
      <c r="E107" s="123"/>
      <c r="F107" s="123"/>
      <c r="G107" s="123"/>
      <c r="H107" s="124" t="s">
        <v>100</v>
      </c>
      <c r="I107" s="101">
        <f>IF(A1=75,0,H106+H105+H104)</f>
        <v>1224379.22</v>
      </c>
      <c r="N107" s="56" t="s">
        <v>89</v>
      </c>
      <c r="O107" s="57">
        <f>SUM(O104:O106)</f>
        <v>369.5</v>
      </c>
      <c r="P107" s="584" t="s">
        <v>16</v>
      </c>
      <c r="Q107" s="585"/>
      <c r="R107" s="585"/>
      <c r="S107" s="585"/>
      <c r="T107" s="585"/>
      <c r="U107" s="474">
        <f>IF(N1=75,0,T106+T105+T104)</f>
        <v>354545.06</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0</v>
      </c>
      <c r="D113" s="143">
        <v>0</v>
      </c>
      <c r="E113" s="116">
        <f>C113</f>
        <v>0</v>
      </c>
      <c r="F113" s="126" t="s">
        <v>30</v>
      </c>
      <c r="G113" s="305">
        <f>'1461'!G113</f>
        <v>548</v>
      </c>
      <c r="I113" s="101">
        <f>ROUND(G113*E113,2)</f>
        <v>0</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16">
        <f>C114</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10122995.77</v>
      </c>
      <c r="N128" s="454"/>
      <c r="O128" s="453"/>
      <c r="P128" s="453"/>
      <c r="Q128" s="307"/>
      <c r="R128" s="307"/>
      <c r="S128" s="307"/>
      <c r="T128" s="307"/>
      <c r="U128" s="481">
        <f>SUM(U30,U85,U88,U90,U92,U94,U96,U107,U113,U114,U124,U126)</f>
        <v>2860110.27</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9717187.8200000003</v>
      </c>
      <c r="N130" s="573" t="s">
        <v>429</v>
      </c>
      <c r="O130" s="573"/>
      <c r="P130" s="573"/>
      <c r="Q130" s="573"/>
      <c r="R130" s="573"/>
      <c r="S130" s="573"/>
      <c r="T130" s="573"/>
      <c r="U130" s="472">
        <f>U128-U53</f>
        <v>2742514.12</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f>IF(E30=0,"",IF((E15+E17+SUM(E19:E25))/E30&gt;0.75,1,""))</f>
        <v>1</v>
      </c>
      <c r="I133" s="116">
        <f>U130</f>
        <v>2742514.12</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2742514.12</v>
      </c>
      <c r="I135" s="94">
        <f>ROUND(IF(E30=0,0,IF(E30&gt;250,-(((250/E30)*H135)*IF(G135="H",0.02,0.05)),IF(G135="H",-0.02*H135,-0.05*H135))),2)</f>
        <v>-92777.88</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10030217.889999999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-1787937.49-892448.71-892448.71-892448.72-892448.71-784923.73-783933.27-786962.75</f>
        <v>-7713552.0899999999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2316665.7999999989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772221.93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44347.826000000001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CCCC"/>
  </sheetPr>
  <dimension ref="A1:V221"/>
  <sheetViews>
    <sheetView workbookViewId="0">
      <selection activeCell="D20" sqref="D20:D2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320</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0</v>
      </c>
      <c r="D14" s="141">
        <v>0</v>
      </c>
      <c r="E14" s="187">
        <f>IF(D$30=0,C14*2,C14+D14)</f>
        <v>0</v>
      </c>
      <c r="F14" s="639">
        <f>'1461'!F14:G14</f>
        <v>1.1220000000000001</v>
      </c>
      <c r="G14" s="639"/>
      <c r="H14" s="145">
        <f>ROUND(E14*F14,4)</f>
        <v>0</v>
      </c>
      <c r="I14" s="111">
        <f>ROUND(ROUND(ROUND(H14*$C$8,4)*($H$8),2)*(MAX($H$9,1)),2)</f>
        <v>0</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0</v>
      </c>
      <c r="D15" s="143">
        <v>0.48</v>
      </c>
      <c r="E15" s="116">
        <f t="shared" ref="E15:E29" si="1">IF(D$30=0,C15*2,C15+D15)</f>
        <v>0.48</v>
      </c>
      <c r="F15" s="635">
        <f>'1461'!F15:G15</f>
        <v>1.1220000000000001</v>
      </c>
      <c r="G15" s="635"/>
      <c r="H15" s="80">
        <f t="shared" ref="H15:H29" si="2">ROUND(E15*F15,4)</f>
        <v>0.53859999999999997</v>
      </c>
      <c r="I15" s="101">
        <f t="shared" ref="I15:I29" si="3">ROUND(ROUND(ROUND(H15*$C$8,4)*($H$8),2)*(MAX($H$9,1)),2)</f>
        <v>2890.62</v>
      </c>
      <c r="J15" s="65" t="str">
        <f>IF(ROUND(E15,2)=ROUND(SUM(E57:E59),2)," ","CHECK PK-3 LINES BELOW")</f>
        <v xml:space="preserve"> </v>
      </c>
      <c r="N15" s="573" t="s">
        <v>21</v>
      </c>
      <c r="O15" s="573"/>
      <c r="P15" s="614">
        <f t="shared" si="0"/>
        <v>0.48</v>
      </c>
      <c r="Q15" s="614"/>
      <c r="R15" s="619">
        <v>1</v>
      </c>
      <c r="S15" s="619"/>
      <c r="T15" s="95">
        <f t="shared" ref="T15:T29" si="4">ROUND(P15*R15,4)</f>
        <v>0.48</v>
      </c>
      <c r="U15" s="474">
        <f t="shared" ref="U15:U29" si="5">ROUND(ROUND(ROUND(T15*$C$8,4)*($H$8),2)*(MAX($H$9,1)),2)</f>
        <v>2576.11</v>
      </c>
    </row>
    <row r="16" spans="1:21" x14ac:dyDescent="0.25">
      <c r="A16" s="550" t="s">
        <v>22</v>
      </c>
      <c r="B16" s="550"/>
      <c r="C16" s="143">
        <v>0</v>
      </c>
      <c r="D16" s="143">
        <v>0</v>
      </c>
      <c r="E16" s="116">
        <f t="shared" si="1"/>
        <v>0</v>
      </c>
      <c r="F16" s="635">
        <f>'1461'!F16:G16</f>
        <v>1</v>
      </c>
      <c r="G16" s="635"/>
      <c r="H16" s="80">
        <f t="shared" si="2"/>
        <v>0</v>
      </c>
      <c r="I16" s="101">
        <f t="shared" si="3"/>
        <v>0</v>
      </c>
      <c r="N16" s="573" t="s">
        <v>22</v>
      </c>
      <c r="O16" s="573"/>
      <c r="P16" s="614">
        <f t="shared" si="0"/>
        <v>0</v>
      </c>
      <c r="Q16" s="614"/>
      <c r="R16" s="619">
        <v>1</v>
      </c>
      <c r="S16" s="619"/>
      <c r="T16" s="95">
        <f t="shared" si="4"/>
        <v>0</v>
      </c>
      <c r="U16" s="474">
        <f t="shared" si="5"/>
        <v>0</v>
      </c>
    </row>
    <row r="17" spans="1:21" x14ac:dyDescent="0.25">
      <c r="A17" s="550" t="s">
        <v>23</v>
      </c>
      <c r="B17" s="550"/>
      <c r="C17" s="143">
        <v>0</v>
      </c>
      <c r="D17" s="143">
        <v>0</v>
      </c>
      <c r="E17" s="116">
        <f t="shared" si="1"/>
        <v>0</v>
      </c>
      <c r="F17" s="635">
        <f>'1461'!F17:G17</f>
        <v>1</v>
      </c>
      <c r="G17" s="635"/>
      <c r="H17" s="80">
        <f t="shared" si="2"/>
        <v>0</v>
      </c>
      <c r="I17" s="101">
        <f t="shared" si="3"/>
        <v>0</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0</v>
      </c>
      <c r="D18" s="143">
        <v>0</v>
      </c>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3.5</v>
      </c>
      <c r="D19" s="143">
        <v>4</v>
      </c>
      <c r="E19" s="116">
        <f t="shared" si="1"/>
        <v>7.5</v>
      </c>
      <c r="F19" s="635">
        <f>'1461'!F19:G19</f>
        <v>0.98799999999999999</v>
      </c>
      <c r="G19" s="635"/>
      <c r="H19" s="80">
        <f t="shared" si="2"/>
        <v>7.41</v>
      </c>
      <c r="I19" s="101">
        <f t="shared" si="3"/>
        <v>39768.769999999997</v>
      </c>
      <c r="J19" s="65" t="str">
        <f>IF(ROUND(E19,2)=ROUND(SUM(E63:E65),2)," ","CHECK 4-8 LINES BELOW")</f>
        <v xml:space="preserve"> </v>
      </c>
      <c r="N19" s="573" t="s">
        <v>25</v>
      </c>
      <c r="O19" s="573"/>
      <c r="P19" s="614">
        <f t="shared" si="0"/>
        <v>7.5</v>
      </c>
      <c r="Q19" s="614"/>
      <c r="R19" s="619">
        <v>1</v>
      </c>
      <c r="S19" s="619"/>
      <c r="T19" s="95">
        <f t="shared" si="4"/>
        <v>7.5</v>
      </c>
      <c r="U19" s="473">
        <f t="shared" si="5"/>
        <v>40251.800000000003</v>
      </c>
    </row>
    <row r="20" spans="1:21" x14ac:dyDescent="0.25">
      <c r="A20" s="550" t="s">
        <v>79</v>
      </c>
      <c r="B20" s="550"/>
      <c r="C20" s="143">
        <v>0</v>
      </c>
      <c r="D20" s="143">
        <v>4.37</v>
      </c>
      <c r="E20" s="116">
        <f t="shared" si="1"/>
        <v>4.37</v>
      </c>
      <c r="F20" s="635">
        <f>'1461'!F20:G20</f>
        <v>3.706</v>
      </c>
      <c r="G20" s="635"/>
      <c r="H20" s="80">
        <f t="shared" si="2"/>
        <v>16.1952</v>
      </c>
      <c r="I20" s="101">
        <f t="shared" si="3"/>
        <v>86918.12</v>
      </c>
      <c r="N20" s="573" t="s">
        <v>79</v>
      </c>
      <c r="O20" s="573"/>
      <c r="P20" s="614">
        <f t="shared" si="0"/>
        <v>4.37</v>
      </c>
      <c r="Q20" s="614"/>
      <c r="R20" s="619">
        <v>1</v>
      </c>
      <c r="S20" s="619"/>
      <c r="T20" s="95">
        <f t="shared" si="4"/>
        <v>4.37</v>
      </c>
      <c r="U20" s="474">
        <f t="shared" si="5"/>
        <v>23453.38</v>
      </c>
    </row>
    <row r="21" spans="1:21" x14ac:dyDescent="0.25">
      <c r="A21" s="550" t="s">
        <v>80</v>
      </c>
      <c r="B21" s="550"/>
      <c r="C21" s="143">
        <v>0</v>
      </c>
      <c r="D21" s="143">
        <v>8.75</v>
      </c>
      <c r="E21" s="116">
        <f t="shared" si="1"/>
        <v>8.75</v>
      </c>
      <c r="F21" s="635">
        <f>'1461'!F21:G21</f>
        <v>3.706</v>
      </c>
      <c r="G21" s="635"/>
      <c r="H21" s="80">
        <f t="shared" si="2"/>
        <v>32.427500000000002</v>
      </c>
      <c r="I21" s="101">
        <f t="shared" si="3"/>
        <v>174035.35</v>
      </c>
      <c r="N21" s="573" t="s">
        <v>80</v>
      </c>
      <c r="O21" s="573"/>
      <c r="P21" s="614">
        <f t="shared" si="0"/>
        <v>8.75</v>
      </c>
      <c r="Q21" s="614"/>
      <c r="R21" s="619">
        <v>1</v>
      </c>
      <c r="S21" s="619"/>
      <c r="T21" s="95">
        <f t="shared" si="4"/>
        <v>8.75</v>
      </c>
      <c r="U21" s="474">
        <f t="shared" si="5"/>
        <v>46960.43</v>
      </c>
    </row>
    <row r="22" spans="1:21" x14ac:dyDescent="0.25">
      <c r="A22" s="550" t="s">
        <v>81</v>
      </c>
      <c r="B22" s="550"/>
      <c r="C22" s="143">
        <v>25</v>
      </c>
      <c r="D22" s="143">
        <v>21.89</v>
      </c>
      <c r="E22" s="116">
        <f t="shared" si="1"/>
        <v>46.89</v>
      </c>
      <c r="F22" s="635">
        <f>'1461'!F22:G22</f>
        <v>3.706</v>
      </c>
      <c r="G22" s="635"/>
      <c r="H22" s="80">
        <f t="shared" si="2"/>
        <v>173.77430000000001</v>
      </c>
      <c r="I22" s="101">
        <f t="shared" si="3"/>
        <v>932630.34</v>
      </c>
      <c r="N22" s="573" t="s">
        <v>81</v>
      </c>
      <c r="O22" s="573"/>
      <c r="P22" s="614">
        <f t="shared" si="0"/>
        <v>46.89</v>
      </c>
      <c r="Q22" s="614"/>
      <c r="R22" s="619">
        <v>1</v>
      </c>
      <c r="S22" s="619"/>
      <c r="T22" s="95">
        <f t="shared" si="4"/>
        <v>46.89</v>
      </c>
      <c r="U22" s="474">
        <f t="shared" si="5"/>
        <v>251654.23</v>
      </c>
    </row>
    <row r="23" spans="1:21" x14ac:dyDescent="0.25">
      <c r="A23" s="550" t="s">
        <v>82</v>
      </c>
      <c r="B23" s="550"/>
      <c r="C23" s="143">
        <v>0</v>
      </c>
      <c r="D23" s="143">
        <v>1.47</v>
      </c>
      <c r="E23" s="116">
        <f t="shared" si="1"/>
        <v>1.47</v>
      </c>
      <c r="F23" s="635">
        <f>'1461'!F23:G23</f>
        <v>5.7069999999999999</v>
      </c>
      <c r="G23" s="635"/>
      <c r="H23" s="80">
        <f t="shared" si="2"/>
        <v>8.3893000000000004</v>
      </c>
      <c r="I23" s="101">
        <f t="shared" si="3"/>
        <v>45024.59</v>
      </c>
      <c r="N23" s="573" t="s">
        <v>82</v>
      </c>
      <c r="O23" s="573"/>
      <c r="P23" s="614">
        <f t="shared" si="0"/>
        <v>1.47</v>
      </c>
      <c r="Q23" s="614"/>
      <c r="R23" s="619">
        <v>1</v>
      </c>
      <c r="S23" s="619"/>
      <c r="T23" s="95">
        <f t="shared" si="4"/>
        <v>1.47</v>
      </c>
      <c r="U23" s="474">
        <f t="shared" si="5"/>
        <v>7889.35</v>
      </c>
    </row>
    <row r="24" spans="1:21" x14ac:dyDescent="0.25">
      <c r="A24" s="550" t="s">
        <v>83</v>
      </c>
      <c r="B24" s="550"/>
      <c r="C24" s="143">
        <v>0</v>
      </c>
      <c r="D24" s="143">
        <v>2.96</v>
      </c>
      <c r="E24" s="116">
        <f t="shared" si="1"/>
        <v>2.96</v>
      </c>
      <c r="F24" s="635">
        <f>'1461'!F24:G24</f>
        <v>5.7069999999999999</v>
      </c>
      <c r="G24" s="635"/>
      <c r="H24" s="80">
        <f t="shared" si="2"/>
        <v>16.892700000000001</v>
      </c>
      <c r="I24" s="101">
        <f t="shared" si="3"/>
        <v>90661.53</v>
      </c>
      <c r="N24" s="573" t="s">
        <v>83</v>
      </c>
      <c r="O24" s="573"/>
      <c r="P24" s="614">
        <f t="shared" si="0"/>
        <v>2.96</v>
      </c>
      <c r="Q24" s="614"/>
      <c r="R24" s="619">
        <v>1</v>
      </c>
      <c r="S24" s="619"/>
      <c r="T24" s="95">
        <f t="shared" si="4"/>
        <v>2.96</v>
      </c>
      <c r="U24" s="474">
        <f t="shared" si="5"/>
        <v>15886.04</v>
      </c>
    </row>
    <row r="25" spans="1:21" x14ac:dyDescent="0.25">
      <c r="A25" s="550" t="s">
        <v>84</v>
      </c>
      <c r="B25" s="550"/>
      <c r="C25" s="143">
        <v>33</v>
      </c>
      <c r="D25" s="143">
        <v>34</v>
      </c>
      <c r="E25" s="116">
        <f t="shared" si="1"/>
        <v>67</v>
      </c>
      <c r="F25" s="635">
        <f>'1461'!F25:G25</f>
        <v>5.7069999999999999</v>
      </c>
      <c r="G25" s="635"/>
      <c r="H25" s="80">
        <f t="shared" si="2"/>
        <v>382.36900000000003</v>
      </c>
      <c r="I25" s="101">
        <f t="shared" si="3"/>
        <v>2052138.51</v>
      </c>
      <c r="N25" s="573" t="s">
        <v>84</v>
      </c>
      <c r="O25" s="573"/>
      <c r="P25" s="614">
        <f t="shared" si="0"/>
        <v>67</v>
      </c>
      <c r="Q25" s="614"/>
      <c r="R25" s="619">
        <v>1</v>
      </c>
      <c r="S25" s="619"/>
      <c r="T25" s="95">
        <f t="shared" si="4"/>
        <v>67</v>
      </c>
      <c r="U25" s="474">
        <f t="shared" si="5"/>
        <v>359582.71</v>
      </c>
    </row>
    <row r="26" spans="1:21" x14ac:dyDescent="0.25">
      <c r="A26" s="550" t="s">
        <v>85</v>
      </c>
      <c r="B26" s="550"/>
      <c r="C26" s="143">
        <v>0</v>
      </c>
      <c r="D26" s="143">
        <v>0</v>
      </c>
      <c r="E26" s="116">
        <f t="shared" si="1"/>
        <v>0</v>
      </c>
      <c r="F26" s="635">
        <f>'1461'!F26:G26</f>
        <v>1.208</v>
      </c>
      <c r="G26" s="635"/>
      <c r="H26" s="80">
        <f t="shared" si="2"/>
        <v>0</v>
      </c>
      <c r="I26" s="101">
        <f t="shared" si="3"/>
        <v>0</v>
      </c>
      <c r="N26" s="573" t="s">
        <v>85</v>
      </c>
      <c r="O26" s="573"/>
      <c r="P26" s="614">
        <f t="shared" si="0"/>
        <v>0</v>
      </c>
      <c r="Q26" s="614"/>
      <c r="R26" s="619">
        <v>1</v>
      </c>
      <c r="S26" s="619"/>
      <c r="T26" s="95">
        <f t="shared" si="4"/>
        <v>0</v>
      </c>
      <c r="U26" s="474">
        <f t="shared" si="5"/>
        <v>0</v>
      </c>
    </row>
    <row r="27" spans="1:21" x14ac:dyDescent="0.25">
      <c r="A27" s="550" t="s">
        <v>86</v>
      </c>
      <c r="B27" s="550"/>
      <c r="C27" s="143">
        <v>0</v>
      </c>
      <c r="D27" s="143">
        <v>0</v>
      </c>
      <c r="E27" s="116">
        <f t="shared" si="1"/>
        <v>0</v>
      </c>
      <c r="F27" s="635">
        <f>'1461'!F27:G27</f>
        <v>1.208</v>
      </c>
      <c r="G27" s="635"/>
      <c r="H27" s="80">
        <f t="shared" si="2"/>
        <v>0</v>
      </c>
      <c r="I27" s="101">
        <f t="shared" si="3"/>
        <v>0</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61.5</v>
      </c>
      <c r="D30" s="94">
        <f>SUM(D14:D29)</f>
        <v>77.92</v>
      </c>
      <c r="E30" s="94">
        <f>SUM(E14:E29)</f>
        <v>139.42000000000002</v>
      </c>
      <c r="F30" s="554"/>
      <c r="G30" s="554"/>
      <c r="H30" s="99">
        <f>SUM(H14:H29)</f>
        <v>637.99660000000006</v>
      </c>
      <c r="I30" s="94">
        <f>SUM(I14:I29)</f>
        <v>3424067.83</v>
      </c>
      <c r="N30" s="616" t="s">
        <v>5</v>
      </c>
      <c r="O30" s="616"/>
      <c r="P30" s="617">
        <f>SUM(P14:P29)</f>
        <v>139.42000000000002</v>
      </c>
      <c r="Q30" s="617"/>
      <c r="R30" s="589"/>
      <c r="S30" s="589"/>
      <c r="T30" s="100">
        <f>SUM(T14:T29)</f>
        <v>139.42000000000002</v>
      </c>
      <c r="U30" s="474">
        <f>SUM(U14:U29)</f>
        <v>748254.05</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637.99660000000006</v>
      </c>
      <c r="F46" s="34"/>
      <c r="G46" s="106"/>
      <c r="H46" s="107" t="s">
        <v>98</v>
      </c>
      <c r="I46" s="94">
        <f>SUM(I44,I30)</f>
        <v>3424067.83</v>
      </c>
      <c r="N46" s="575" t="s">
        <v>44</v>
      </c>
      <c r="O46" s="575"/>
      <c r="P46" s="575"/>
      <c r="Q46" s="575"/>
      <c r="R46" s="35">
        <f>R44+T30</f>
        <v>139.42000000000002</v>
      </c>
      <c r="S46" s="589" t="s">
        <v>42</v>
      </c>
      <c r="T46" s="589"/>
      <c r="U46" s="108">
        <f>SUM(U44,U30)</f>
        <v>748254.05</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3424067.83</v>
      </c>
      <c r="G51" s="109" t="s">
        <v>6</v>
      </c>
      <c r="H51" s="402">
        <v>4.5199999999999997E-2</v>
      </c>
      <c r="I51" s="101">
        <f>ROUND(F51*H51,2)</f>
        <v>154767.87</v>
      </c>
      <c r="N51" s="407"/>
      <c r="O51" s="408" t="s">
        <v>394</v>
      </c>
      <c r="P51" s="28"/>
      <c r="Q51" s="44" t="s">
        <v>395</v>
      </c>
      <c r="R51" s="409">
        <f>U30</f>
        <v>748254.05</v>
      </c>
      <c r="S51" s="410" t="s">
        <v>6</v>
      </c>
      <c r="T51" s="411">
        <v>4.5199999999999997E-2</v>
      </c>
      <c r="U51" s="403">
        <f>ROUND(R51*T51,2)</f>
        <v>33821.08</v>
      </c>
    </row>
    <row r="52" spans="1:22" x14ac:dyDescent="0.25">
      <c r="A52" s="26"/>
      <c r="B52" s="81" t="s">
        <v>396</v>
      </c>
      <c r="C52" s="26"/>
      <c r="D52" s="26"/>
      <c r="E52" s="43" t="s">
        <v>395</v>
      </c>
      <c r="F52" s="401">
        <f>I46</f>
        <v>3424067.83</v>
      </c>
      <c r="G52" s="109" t="s">
        <v>6</v>
      </c>
      <c r="H52" s="402">
        <v>1.41E-2</v>
      </c>
      <c r="I52" s="101">
        <f>ROUND(F52*H52,2)</f>
        <v>48279.360000000001</v>
      </c>
      <c r="N52" s="28"/>
      <c r="O52" s="384" t="s">
        <v>396</v>
      </c>
      <c r="P52" s="28"/>
      <c r="Q52" s="44" t="s">
        <v>395</v>
      </c>
      <c r="R52" s="409">
        <f>U30</f>
        <v>748254.05</v>
      </c>
      <c r="S52" s="410" t="s">
        <v>6</v>
      </c>
      <c r="T52" s="411">
        <v>1.41E-2</v>
      </c>
      <c r="U52" s="412">
        <f>ROUND(R52*T52,2)</f>
        <v>10550.38</v>
      </c>
    </row>
    <row r="53" spans="1:22" x14ac:dyDescent="0.25">
      <c r="A53" s="26"/>
      <c r="B53" s="81" t="s">
        <v>397</v>
      </c>
      <c r="C53" s="26"/>
      <c r="D53" s="26"/>
      <c r="E53" s="43"/>
      <c r="F53" s="401"/>
      <c r="G53" s="109"/>
      <c r="H53" s="402"/>
      <c r="I53" s="97">
        <f>SUM(I51:I52)</f>
        <v>203047.22999999998</v>
      </c>
      <c r="N53" s="28"/>
      <c r="O53" s="384" t="s">
        <v>397</v>
      </c>
      <c r="P53" s="28"/>
      <c r="Q53" s="44"/>
      <c r="R53" s="409"/>
      <c r="S53" s="410"/>
      <c r="T53" s="411"/>
      <c r="U53" s="403">
        <f>SUM(U51:U52)</f>
        <v>44371.46</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0</v>
      </c>
      <c r="D57" s="143">
        <v>0.48</v>
      </c>
      <c r="E57" s="116">
        <f t="shared" ref="E57:E65" si="10">IF(D$66=0,C57*2,C57+D57)</f>
        <v>0.48</v>
      </c>
      <c r="F57" s="444" t="s">
        <v>434</v>
      </c>
      <c r="G57" s="444">
        <v>251</v>
      </c>
      <c r="H57" s="458">
        <f>'1461'!H57</f>
        <v>1047</v>
      </c>
      <c r="I57" s="101">
        <f>ROUND(E57*H57,2)</f>
        <v>502.56</v>
      </c>
      <c r="N57" s="590" t="s">
        <v>442</v>
      </c>
      <c r="O57" s="590"/>
      <c r="P57" s="593"/>
      <c r="Q57" s="593"/>
      <c r="R57" s="450" t="s">
        <v>434</v>
      </c>
      <c r="S57" s="450">
        <v>251</v>
      </c>
      <c r="T57" s="461">
        <f>H57</f>
        <v>1047</v>
      </c>
      <c r="U57" s="475">
        <f>ROUND(P57*T57,2)</f>
        <v>0</v>
      </c>
      <c r="V57" s="425"/>
    </row>
    <row r="58" spans="1:22" x14ac:dyDescent="0.25">
      <c r="A58" s="561"/>
      <c r="B58" s="561"/>
      <c r="C58" s="143">
        <v>0</v>
      </c>
      <c r="D58" s="143">
        <v>0</v>
      </c>
      <c r="E58" s="116">
        <f t="shared" si="10"/>
        <v>0</v>
      </c>
      <c r="F58" s="444" t="s">
        <v>434</v>
      </c>
      <c r="G58" s="444">
        <v>252</v>
      </c>
      <c r="H58" s="458">
        <f>'1461'!H58</f>
        <v>3380</v>
      </c>
      <c r="I58" s="101">
        <f t="shared" ref="I58:I65" si="11">ROUND(E58*H58,2)</f>
        <v>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0</v>
      </c>
      <c r="D60" s="143">
        <v>0</v>
      </c>
      <c r="E60" s="116">
        <f t="shared" si="10"/>
        <v>0</v>
      </c>
      <c r="F60" s="445" t="s">
        <v>13</v>
      </c>
      <c r="G60" s="444">
        <v>251</v>
      </c>
      <c r="H60" s="458">
        <f>'1461'!H60</f>
        <v>1173</v>
      </c>
      <c r="I60" s="101">
        <f t="shared" si="11"/>
        <v>0</v>
      </c>
      <c r="N60" s="591"/>
      <c r="O60" s="591"/>
      <c r="P60" s="594"/>
      <c r="Q60" s="594"/>
      <c r="R60" s="40" t="s">
        <v>13</v>
      </c>
      <c r="S60" s="450">
        <v>251</v>
      </c>
      <c r="T60" s="461">
        <f t="shared" si="12"/>
        <v>1173</v>
      </c>
      <c r="U60" s="475">
        <f t="shared" si="13"/>
        <v>0</v>
      </c>
      <c r="V60" s="425"/>
    </row>
    <row r="61" spans="1:22" x14ac:dyDescent="0.25">
      <c r="A61" s="561"/>
      <c r="B61" s="561"/>
      <c r="C61" s="143">
        <v>0</v>
      </c>
      <c r="D61" s="143">
        <v>0</v>
      </c>
      <c r="E61" s="116">
        <f t="shared" si="10"/>
        <v>0</v>
      </c>
      <c r="F61" s="445" t="s">
        <v>13</v>
      </c>
      <c r="G61" s="444">
        <v>252</v>
      </c>
      <c r="H61" s="458">
        <f>'1461'!H61</f>
        <v>3506</v>
      </c>
      <c r="I61" s="101">
        <f t="shared" si="11"/>
        <v>0</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0</v>
      </c>
      <c r="D63" s="143">
        <v>0</v>
      </c>
      <c r="E63" s="116">
        <f t="shared" si="10"/>
        <v>0</v>
      </c>
      <c r="F63" s="445" t="s">
        <v>14</v>
      </c>
      <c r="G63" s="444">
        <v>251</v>
      </c>
      <c r="H63" s="458">
        <f>'1461'!H63</f>
        <v>835</v>
      </c>
      <c r="I63" s="101">
        <f t="shared" si="11"/>
        <v>0</v>
      </c>
      <c r="N63" s="591"/>
      <c r="O63" s="591"/>
      <c r="P63" s="594"/>
      <c r="Q63" s="594"/>
      <c r="R63" s="40" t="s">
        <v>14</v>
      </c>
      <c r="S63" s="450">
        <v>251</v>
      </c>
      <c r="T63" s="461">
        <f t="shared" si="12"/>
        <v>835</v>
      </c>
      <c r="U63" s="475">
        <f t="shared" si="13"/>
        <v>0</v>
      </c>
      <c r="V63" s="425"/>
    </row>
    <row r="64" spans="1:22" x14ac:dyDescent="0.25">
      <c r="A64" s="561"/>
      <c r="B64" s="561"/>
      <c r="C64" s="143">
        <v>0</v>
      </c>
      <c r="D64" s="143">
        <v>0</v>
      </c>
      <c r="E64" s="116">
        <f t="shared" si="10"/>
        <v>0</v>
      </c>
      <c r="F64" s="445" t="s">
        <v>14</v>
      </c>
      <c r="G64" s="444">
        <v>252</v>
      </c>
      <c r="H64" s="458">
        <f>'1461'!H64</f>
        <v>3168</v>
      </c>
      <c r="I64" s="101">
        <f t="shared" si="11"/>
        <v>0</v>
      </c>
      <c r="N64" s="591"/>
      <c r="O64" s="591"/>
      <c r="P64" s="594"/>
      <c r="Q64" s="594"/>
      <c r="R64" s="40" t="s">
        <v>14</v>
      </c>
      <c r="S64" s="450">
        <v>252</v>
      </c>
      <c r="T64" s="461">
        <f t="shared" si="12"/>
        <v>3168</v>
      </c>
      <c r="U64" s="475">
        <f t="shared" si="13"/>
        <v>0</v>
      </c>
      <c r="V64" s="425"/>
    </row>
    <row r="65" spans="1:22" ht="16.5" thickBot="1" x14ac:dyDescent="0.3">
      <c r="A65" s="561"/>
      <c r="B65" s="561"/>
      <c r="C65" s="143">
        <v>3.5</v>
      </c>
      <c r="D65" s="143">
        <v>4</v>
      </c>
      <c r="E65" s="116">
        <f t="shared" si="10"/>
        <v>7.5</v>
      </c>
      <c r="F65" s="445" t="s">
        <v>14</v>
      </c>
      <c r="G65" s="444">
        <v>253</v>
      </c>
      <c r="H65" s="458">
        <f>'1461'!H65</f>
        <v>6685</v>
      </c>
      <c r="I65" s="101">
        <f t="shared" si="11"/>
        <v>50137.5</v>
      </c>
      <c r="N65" s="591"/>
      <c r="O65" s="591"/>
      <c r="P65" s="595"/>
      <c r="Q65" s="595"/>
      <c r="R65" s="40" t="s">
        <v>14</v>
      </c>
      <c r="S65" s="450">
        <v>253</v>
      </c>
      <c r="T65" s="461">
        <f t="shared" si="12"/>
        <v>6685</v>
      </c>
      <c r="U65" s="476">
        <f t="shared" si="13"/>
        <v>0</v>
      </c>
      <c r="V65" s="425"/>
    </row>
    <row r="66" spans="1:22" ht="16.5" thickBot="1" x14ac:dyDescent="0.3">
      <c r="A66" s="441"/>
      <c r="C66" s="97">
        <f>SUM(C57:C65)</f>
        <v>3.5</v>
      </c>
      <c r="D66" s="97">
        <f>SUM(D57:D65)</f>
        <v>4.4800000000000004</v>
      </c>
      <c r="E66" s="97">
        <f>SUM(E57:E65)</f>
        <v>7.98</v>
      </c>
      <c r="F66" s="562" t="s">
        <v>443</v>
      </c>
      <c r="G66" s="562"/>
      <c r="H66" s="562"/>
      <c r="I66" s="97">
        <f>SUM(I57:I65)</f>
        <v>50640.06</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139.42000000000002</v>
      </c>
      <c r="D69" s="537" t="s">
        <v>409</v>
      </c>
      <c r="E69" s="537"/>
      <c r="F69" s="537"/>
      <c r="G69" s="537"/>
      <c r="H69" s="301">
        <f>'1461'!H69</f>
        <v>201799.89</v>
      </c>
      <c r="I69" s="113"/>
      <c r="N69" s="572" t="s">
        <v>402</v>
      </c>
      <c r="O69" s="573"/>
      <c r="P69" s="41">
        <f>P30</f>
        <v>139.42000000000002</v>
      </c>
      <c r="Q69" s="578" t="s">
        <v>404</v>
      </c>
      <c r="R69" s="579"/>
      <c r="S69" s="579"/>
      <c r="T69" s="576">
        <f>H69</f>
        <v>201799.89</v>
      </c>
      <c r="U69" s="576"/>
    </row>
    <row r="70" spans="1:22" x14ac:dyDescent="0.25">
      <c r="B70" s="69"/>
      <c r="G70" s="42" t="s">
        <v>12</v>
      </c>
      <c r="H70" s="114">
        <f>ROUND(C69/H69,6)</f>
        <v>6.9099999999999999E-4</v>
      </c>
      <c r="I70" s="115"/>
      <c r="N70" s="573"/>
      <c r="O70" s="573"/>
      <c r="P70" s="573"/>
      <c r="Q70" s="573"/>
      <c r="R70" s="573"/>
      <c r="S70" s="573"/>
      <c r="T70" s="577">
        <f>ROUND(P69/T69,6)</f>
        <v>6.9099999999999999E-4</v>
      </c>
      <c r="U70" s="577"/>
    </row>
    <row r="71" spans="1:22" x14ac:dyDescent="0.25">
      <c r="A71" s="443" t="s">
        <v>446</v>
      </c>
      <c r="N71" s="454" t="s">
        <v>454</v>
      </c>
      <c r="O71" s="51"/>
      <c r="P71" s="51"/>
      <c r="Q71" s="51"/>
      <c r="R71" s="51"/>
      <c r="S71" s="51"/>
      <c r="T71" s="51"/>
      <c r="U71" s="51"/>
    </row>
    <row r="72" spans="1:22" x14ac:dyDescent="0.25">
      <c r="A72" s="556" t="s">
        <v>399</v>
      </c>
      <c r="B72" s="550"/>
      <c r="C72" s="112">
        <f>H30</f>
        <v>637.99660000000006</v>
      </c>
      <c r="D72" s="537" t="s">
        <v>410</v>
      </c>
      <c r="E72" s="537"/>
      <c r="F72" s="537"/>
      <c r="G72" s="537"/>
      <c r="H72" s="302">
        <f>'1461'!H72</f>
        <v>227090.59</v>
      </c>
      <c r="I72" s="116"/>
      <c r="N72" s="572" t="s">
        <v>403</v>
      </c>
      <c r="O72" s="573"/>
      <c r="P72" s="41">
        <f>T30</f>
        <v>139.42000000000002</v>
      </c>
      <c r="Q72" s="578" t="s">
        <v>405</v>
      </c>
      <c r="R72" s="579"/>
      <c r="S72" s="579"/>
      <c r="T72" s="576">
        <f>H72</f>
        <v>227090.59</v>
      </c>
      <c r="U72" s="576"/>
    </row>
    <row r="73" spans="1:22" x14ac:dyDescent="0.25">
      <c r="G73" s="42" t="s">
        <v>12</v>
      </c>
      <c r="H73" s="114">
        <f>ROUND(C72/H72,6)</f>
        <v>2.8089999999999999E-3</v>
      </c>
      <c r="I73" s="114"/>
      <c r="N73" s="573"/>
      <c r="O73" s="573"/>
      <c r="P73" s="573"/>
      <c r="Q73" s="573"/>
      <c r="R73" s="573"/>
      <c r="S73" s="573"/>
      <c r="T73" s="577">
        <f>ROUND(P72/T72,6)</f>
        <v>6.1399999999999996E-4</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139.42000000000002</v>
      </c>
      <c r="D75" s="529" t="s">
        <v>411</v>
      </c>
      <c r="E75" s="529"/>
      <c r="F75" s="529"/>
      <c r="G75" s="529"/>
      <c r="H75" s="301">
        <f>'1461'!H75</f>
        <v>186438.39</v>
      </c>
      <c r="I75" s="113"/>
      <c r="N75" s="572" t="s">
        <v>401</v>
      </c>
      <c r="O75" s="573"/>
      <c r="P75" s="41">
        <f>P30</f>
        <v>139.42000000000002</v>
      </c>
      <c r="Q75" s="608" t="s">
        <v>406</v>
      </c>
      <c r="R75" s="609"/>
      <c r="S75" s="609"/>
      <c r="T75" s="576">
        <f>H75</f>
        <v>186438.39</v>
      </c>
      <c r="U75" s="576"/>
    </row>
    <row r="76" spans="1:22" x14ac:dyDescent="0.25">
      <c r="B76" s="69"/>
      <c r="G76" s="42" t="s">
        <v>12</v>
      </c>
      <c r="H76" s="114">
        <f>ROUND(C75/H75,6)</f>
        <v>7.4799999999999997E-4</v>
      </c>
      <c r="I76" s="115"/>
      <c r="N76" s="573"/>
      <c r="O76" s="573"/>
      <c r="P76" s="573"/>
      <c r="Q76" s="573"/>
      <c r="R76" s="573"/>
      <c r="S76" s="573"/>
      <c r="T76" s="577">
        <f>ROUND(P75/T75,6)</f>
        <v>7.4799999999999997E-4</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139.42000000000002</v>
      </c>
      <c r="D78" s="557" t="s">
        <v>412</v>
      </c>
      <c r="E78" s="557"/>
      <c r="F78" s="557"/>
      <c r="G78" s="557"/>
      <c r="H78" s="301">
        <f>'1461'!H78</f>
        <v>201460.8</v>
      </c>
      <c r="I78" s="113"/>
      <c r="N78" s="572" t="s">
        <v>401</v>
      </c>
      <c r="O78" s="573"/>
      <c r="P78" s="41">
        <f>P30</f>
        <v>139.42000000000002</v>
      </c>
      <c r="Q78" s="606" t="s">
        <v>407</v>
      </c>
      <c r="R78" s="607"/>
      <c r="S78" s="607"/>
      <c r="T78" s="576">
        <f>H78</f>
        <v>201460.8</v>
      </c>
      <c r="U78" s="576"/>
    </row>
    <row r="79" spans="1:22" x14ac:dyDescent="0.25">
      <c r="B79" s="69"/>
      <c r="G79" s="42" t="s">
        <v>12</v>
      </c>
      <c r="H79" s="114">
        <f>ROUND(C78/H78,6)</f>
        <v>6.9200000000000002E-4</v>
      </c>
      <c r="I79" s="115"/>
      <c r="N79" s="573"/>
      <c r="O79" s="573"/>
      <c r="P79" s="573"/>
      <c r="Q79" s="573"/>
      <c r="R79" s="573"/>
      <c r="S79" s="573"/>
      <c r="T79" s="577">
        <f>ROUND(P78/T78,6)</f>
        <v>6.9200000000000002E-4</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139.42000000000002</v>
      </c>
      <c r="D81" s="529" t="s">
        <v>413</v>
      </c>
      <c r="E81" s="529"/>
      <c r="F81" s="529"/>
      <c r="G81" s="529"/>
      <c r="H81" s="301">
        <f>'1461'!H81</f>
        <v>186099.3</v>
      </c>
      <c r="I81" s="113"/>
      <c r="N81" s="572" t="s">
        <v>414</v>
      </c>
      <c r="O81" s="573"/>
      <c r="P81" s="41">
        <f>P30</f>
        <v>139.42000000000002</v>
      </c>
      <c r="Q81" s="608" t="s">
        <v>415</v>
      </c>
      <c r="R81" s="609"/>
      <c r="S81" s="609"/>
      <c r="T81" s="576">
        <f>H81</f>
        <v>186099.3</v>
      </c>
      <c r="U81" s="576"/>
    </row>
    <row r="82" spans="1:21" x14ac:dyDescent="0.25">
      <c r="B82" s="69"/>
      <c r="G82" s="42" t="s">
        <v>12</v>
      </c>
      <c r="H82" s="114">
        <f>ROUND(C81/H81,6)</f>
        <v>7.4899999999999999E-4</v>
      </c>
      <c r="I82" s="115"/>
      <c r="N82" s="573"/>
      <c r="O82" s="573"/>
      <c r="P82" s="573"/>
      <c r="Q82" s="573"/>
      <c r="R82" s="573"/>
      <c r="S82" s="573"/>
      <c r="T82" s="577">
        <f>ROUND(P81/T81,6)</f>
        <v>7.4899999999999999E-4</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6.9200000000000002E-4</v>
      </c>
      <c r="I85" s="101">
        <f>ROUND(F85*H85,2)</f>
        <v>30662.03</v>
      </c>
      <c r="N85" s="454" t="s">
        <v>450</v>
      </c>
      <c r="O85" s="51"/>
      <c r="P85" s="51"/>
      <c r="Q85" s="44"/>
      <c r="R85" s="420">
        <f>F85</f>
        <v>44309288</v>
      </c>
      <c r="S85" s="38" t="s">
        <v>6</v>
      </c>
      <c r="T85" s="422">
        <f>T79</f>
        <v>6.9200000000000002E-4</v>
      </c>
      <c r="U85" s="474">
        <f>ROUND(R85*T85,2)</f>
        <v>30662.03</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6.9099999999999999E-4</v>
      </c>
      <c r="I88" s="101">
        <f>ROUND(F88*H88,2)</f>
        <v>0</v>
      </c>
      <c r="N88" s="610" t="s">
        <v>99</v>
      </c>
      <c r="O88" s="573"/>
      <c r="P88" s="573"/>
      <c r="Q88" s="44"/>
      <c r="R88" s="420">
        <f>F88</f>
        <v>0</v>
      </c>
      <c r="S88" s="38" t="s">
        <v>6</v>
      </c>
      <c r="T88" s="422">
        <f>T70</f>
        <v>6.9099999999999999E-4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7.4899999999999999E-4</v>
      </c>
      <c r="I90" s="101">
        <f>ROUND(F90*H90,2)</f>
        <v>12190.48</v>
      </c>
      <c r="N90" s="454" t="s">
        <v>451</v>
      </c>
      <c r="O90" s="51"/>
      <c r="P90" s="51"/>
      <c r="Q90" s="44"/>
      <c r="R90" s="420">
        <f>F90</f>
        <v>16275680</v>
      </c>
      <c r="S90" s="38" t="s">
        <v>6</v>
      </c>
      <c r="T90" s="422">
        <f>T82</f>
        <v>7.4899999999999999E-4</v>
      </c>
      <c r="U90" s="474">
        <f>ROUND(R90*T90,2)</f>
        <v>12190.48</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7.4799999999999997E-4</v>
      </c>
      <c r="I92" s="101">
        <f t="shared" ref="I92:I96" si="14">ROUND(F92*H92,2)</f>
        <v>7575.77</v>
      </c>
      <c r="N92" s="454" t="s">
        <v>452</v>
      </c>
      <c r="O92" s="51"/>
      <c r="P92" s="51"/>
      <c r="Q92" s="44"/>
      <c r="R92" s="420">
        <f t="shared" ref="R92:R96" si="15">F92</f>
        <v>10128039</v>
      </c>
      <c r="S92" s="38" t="s">
        <v>6</v>
      </c>
      <c r="T92" s="422">
        <f>T76</f>
        <v>7.4799999999999997E-4</v>
      </c>
      <c r="U92" s="474">
        <f>ROUND(R92*T92,2)</f>
        <v>7575.77</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2.8089999999999999E-3</v>
      </c>
      <c r="I94" s="101">
        <f t="shared" si="14"/>
        <v>671344.47</v>
      </c>
      <c r="N94" s="573" t="s">
        <v>417</v>
      </c>
      <c r="O94" s="573"/>
      <c r="P94" s="573"/>
      <c r="Q94" s="44"/>
      <c r="R94" s="420">
        <f t="shared" si="15"/>
        <v>238997674</v>
      </c>
      <c r="S94" s="38" t="s">
        <v>6</v>
      </c>
      <c r="T94" s="422">
        <f>T73</f>
        <v>6.1399999999999996E-4</v>
      </c>
      <c r="U94" s="474">
        <f>ROUND(R94*T94,2)</f>
        <v>146744.57</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2.8089999999999999E-3</v>
      </c>
      <c r="I96" s="101">
        <f t="shared" si="14"/>
        <v>0</v>
      </c>
      <c r="N96" s="572" t="s">
        <v>418</v>
      </c>
      <c r="O96" s="573"/>
      <c r="P96" s="573"/>
      <c r="Q96" s="44"/>
      <c r="R96" s="420">
        <f t="shared" si="15"/>
        <v>0</v>
      </c>
      <c r="S96" s="38" t="s">
        <v>6</v>
      </c>
      <c r="T96" s="422">
        <f>T73</f>
        <v>6.1399999999999996E-4</v>
      </c>
      <c r="U96" s="474">
        <f>ROUND(R96*T96,2)</f>
        <v>0</v>
      </c>
    </row>
    <row r="97" spans="1:21" x14ac:dyDescent="0.25">
      <c r="A97" s="513"/>
      <c r="B97" s="512"/>
      <c r="C97" s="512"/>
      <c r="D97" s="512"/>
      <c r="E97" s="510"/>
      <c r="F97" s="117"/>
      <c r="G97" s="511"/>
      <c r="H97" s="423"/>
      <c r="I97" s="101"/>
      <c r="N97" s="516"/>
      <c r="O97" s="515"/>
      <c r="P97" s="515"/>
      <c r="Q97" s="44"/>
      <c r="R97" s="518"/>
      <c r="S97" s="517"/>
      <c r="T97" s="422"/>
      <c r="U97" s="478"/>
    </row>
    <row r="98" spans="1:21" x14ac:dyDescent="0.25">
      <c r="A98" s="513" t="s">
        <v>475</v>
      </c>
      <c r="B98" s="512"/>
      <c r="C98" s="512"/>
      <c r="D98" s="512"/>
      <c r="E98" s="510" t="s">
        <v>3</v>
      </c>
      <c r="F98" s="291">
        <v>0</v>
      </c>
      <c r="G98" s="511" t="s">
        <v>6</v>
      </c>
      <c r="H98" s="423">
        <f>H70</f>
        <v>6.9099999999999999E-4</v>
      </c>
      <c r="I98" s="101">
        <f t="shared" ref="I98" si="16">ROUND(F98*H98,2)</f>
        <v>0</v>
      </c>
      <c r="N98" s="516" t="s">
        <v>475</v>
      </c>
      <c r="O98" s="516"/>
      <c r="P98" s="516"/>
      <c r="Q98" s="44"/>
      <c r="R98" s="519">
        <f>F98</f>
        <v>0</v>
      </c>
      <c r="S98" s="517" t="s">
        <v>6</v>
      </c>
      <c r="T98" s="422">
        <f>T70</f>
        <v>6.9099999999999999E-4</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25.123100000000001</v>
      </c>
      <c r="D104" s="568"/>
      <c r="E104" s="46">
        <f>H8</f>
        <v>1.0442</v>
      </c>
      <c r="F104" s="304">
        <f>'1461'!F104</f>
        <v>947.59</v>
      </c>
      <c r="G104" s="39" t="s">
        <v>12</v>
      </c>
      <c r="H104" s="101">
        <f>ROUND(C104*E104*F104,2)</f>
        <v>24858.639999999999</v>
      </c>
      <c r="I104" s="104"/>
      <c r="N104" s="28" t="s">
        <v>17</v>
      </c>
      <c r="O104" s="47">
        <f>T14+T15+T20+T23+T26</f>
        <v>6.3199999999999994</v>
      </c>
      <c r="P104" s="583">
        <f>T8</f>
        <v>1.0442</v>
      </c>
      <c r="Q104" s="583"/>
      <c r="R104" s="48">
        <f>F104</f>
        <v>947.59</v>
      </c>
      <c r="S104" s="40" t="s">
        <v>12</v>
      </c>
      <c r="T104" s="480">
        <f>ROUND(O104*P104*R104,2)</f>
        <v>6253.47</v>
      </c>
      <c r="U104" s="102"/>
    </row>
    <row r="105" spans="1:21" x14ac:dyDescent="0.25">
      <c r="A105" s="49"/>
      <c r="B105" s="49" t="s">
        <v>104</v>
      </c>
      <c r="C105" s="568">
        <f>H16+H17+H21+H24+H27</f>
        <v>49.3202</v>
      </c>
      <c r="D105" s="568"/>
      <c r="E105" s="46">
        <f>H8</f>
        <v>1.0442</v>
      </c>
      <c r="F105" s="304">
        <f>'1461'!F105</f>
        <v>904.74</v>
      </c>
      <c r="G105" s="39" t="s">
        <v>12</v>
      </c>
      <c r="H105" s="101">
        <f>ROUND(C105*E105*F105,2)</f>
        <v>46594.25</v>
      </c>
      <c r="N105" s="50" t="s">
        <v>13</v>
      </c>
      <c r="O105" s="47">
        <f>T16+T17+T21+T24+T27</f>
        <v>11.71</v>
      </c>
      <c r="P105" s="583">
        <f>T8</f>
        <v>1.0442</v>
      </c>
      <c r="Q105" s="583"/>
      <c r="R105" s="48">
        <f>F105</f>
        <v>904.74</v>
      </c>
      <c r="S105" s="40" t="s">
        <v>12</v>
      </c>
      <c r="T105" s="480">
        <f>ROUND(O105*P105*R105,2)</f>
        <v>11062.78</v>
      </c>
      <c r="U105" s="51"/>
    </row>
    <row r="106" spans="1:21" ht="16.5" thickBot="1" x14ac:dyDescent="0.3">
      <c r="A106" s="52"/>
      <c r="B106" s="52" t="s">
        <v>103</v>
      </c>
      <c r="C106" s="568">
        <f>H18+H19+H22+H25+H28+H29</f>
        <v>563.55330000000004</v>
      </c>
      <c r="D106" s="568"/>
      <c r="E106" s="46">
        <f>H8</f>
        <v>1.0442</v>
      </c>
      <c r="F106" s="304">
        <f>'1461'!F106</f>
        <v>906.93</v>
      </c>
      <c r="G106" s="39" t="s">
        <v>12</v>
      </c>
      <c r="H106" s="94">
        <f>ROUND(C106*E106*F106,2)</f>
        <v>533694.16</v>
      </c>
      <c r="N106" s="53" t="s">
        <v>14</v>
      </c>
      <c r="O106" s="54">
        <f>T18+T19+T22+T25+T28+T29</f>
        <v>121.39</v>
      </c>
      <c r="P106" s="583">
        <f>T8</f>
        <v>1.0442</v>
      </c>
      <c r="Q106" s="583"/>
      <c r="R106" s="48">
        <f>F106</f>
        <v>906.93</v>
      </c>
      <c r="S106" s="40" t="s">
        <v>12</v>
      </c>
      <c r="T106" s="480">
        <f>ROUND(O106*P106*R106,2)</f>
        <v>114958.31</v>
      </c>
      <c r="U106" s="51"/>
    </row>
    <row r="107" spans="1:21" ht="16.5" thickBot="1" x14ac:dyDescent="0.3">
      <c r="A107" s="55"/>
      <c r="B107" s="122" t="s">
        <v>102</v>
      </c>
      <c r="C107" s="558">
        <f>SUM(C104:C106)</f>
        <v>637.99660000000006</v>
      </c>
      <c r="D107" s="558"/>
      <c r="E107" s="123"/>
      <c r="F107" s="123"/>
      <c r="G107" s="123"/>
      <c r="H107" s="124" t="s">
        <v>100</v>
      </c>
      <c r="I107" s="101">
        <f>IF(A1=75,0,H106+H105+H104)</f>
        <v>605147.05000000005</v>
      </c>
      <c r="N107" s="56" t="s">
        <v>89</v>
      </c>
      <c r="O107" s="57">
        <f>SUM(O104:O106)</f>
        <v>139.42000000000002</v>
      </c>
      <c r="P107" s="584" t="s">
        <v>16</v>
      </c>
      <c r="Q107" s="585"/>
      <c r="R107" s="585"/>
      <c r="S107" s="585"/>
      <c r="T107" s="585"/>
      <c r="U107" s="474">
        <f>IF(N1=75,0,T106+T105+T104)</f>
        <v>132274.56</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0</v>
      </c>
      <c r="D113" s="143">
        <v>0</v>
      </c>
      <c r="E113" s="116">
        <f>C113</f>
        <v>0</v>
      </c>
      <c r="F113" s="126" t="s">
        <v>30</v>
      </c>
      <c r="G113" s="305">
        <f>'1461'!G113</f>
        <v>548</v>
      </c>
      <c r="I113" s="101">
        <f>ROUND(G113*E113,2)</f>
        <v>0</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16">
        <f>-C114</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4801627.6899999995</v>
      </c>
      <c r="N128" s="454"/>
      <c r="O128" s="453"/>
      <c r="P128" s="453"/>
      <c r="Q128" s="307"/>
      <c r="R128" s="307"/>
      <c r="S128" s="307"/>
      <c r="T128" s="307"/>
      <c r="U128" s="481">
        <f>SUM(U30,U85,U88,U90,U92,U94,U96,U107,U113,U114,U124,U126)</f>
        <v>1077701.4600000002</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4598580.459999999</v>
      </c>
      <c r="N130" s="573" t="s">
        <v>429</v>
      </c>
      <c r="O130" s="573"/>
      <c r="P130" s="573"/>
      <c r="Q130" s="573"/>
      <c r="R130" s="573"/>
      <c r="S130" s="573"/>
      <c r="T130" s="573"/>
      <c r="U130" s="132">
        <f>U128-U53</f>
        <v>1033330.0000000002</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f>IF(E30=0,"",IF((E15+E17+SUM(E19:E25))/E30&gt;0.75,1,""))</f>
        <v>1</v>
      </c>
      <c r="I133" s="116">
        <f>U130</f>
        <v>1033330.0000000002</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1033330.0000000002</v>
      </c>
      <c r="I135" s="94">
        <f>ROUND(IF(E30=0,0,IF(E30&gt;250,-(((250/E30)*H135)*IF(G135="H",0.02,0.05)),IF(G135="H",-0.02*H135,-0.05*H135))),2)</f>
        <v>-51666.5</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4749961.1899999995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-710982.64-350076.14-350076.14-350076.14-350076.14-353278.31-353278.31-354607.9</f>
        <v>-3172451.72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1577509.4699999993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525836.49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CCCC"/>
  </sheetPr>
  <dimension ref="A1:V221"/>
  <sheetViews>
    <sheetView topLeftCell="A111" workbookViewId="0">
      <selection activeCell="C65" sqref="C6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357</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0</v>
      </c>
      <c r="D14" s="141">
        <v>0</v>
      </c>
      <c r="E14" s="187">
        <f>IF(D$30=0,C14*2,C14+D14)</f>
        <v>0</v>
      </c>
      <c r="F14" s="639">
        <f>'1461'!F14:G14</f>
        <v>1.1220000000000001</v>
      </c>
      <c r="G14" s="639"/>
      <c r="H14" s="145">
        <f>ROUND(E14*F14,4)</f>
        <v>0</v>
      </c>
      <c r="I14" s="111">
        <f>ROUND(ROUND(ROUND(H14*$C$8,4)*($H$8),2)*(MAX($H$9,1)),2)</f>
        <v>0</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0</v>
      </c>
      <c r="D15" s="143">
        <v>0</v>
      </c>
      <c r="E15" s="116">
        <f t="shared" ref="E15:E29" si="1">IF(D$30=0,C15*2,C15+D15)</f>
        <v>0</v>
      </c>
      <c r="F15" s="635">
        <f>'1461'!F15:G15</f>
        <v>1.1220000000000001</v>
      </c>
      <c r="G15" s="635"/>
      <c r="H15" s="80">
        <f t="shared" ref="H15:H29" si="2">ROUND(E15*F15,4)</f>
        <v>0</v>
      </c>
      <c r="I15" s="101">
        <f t="shared" ref="I15:I29" si="3">ROUND(ROUND(ROUND(H15*$C$8,4)*($H$8),2)*(MAX($H$9,1)),2)</f>
        <v>0</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0</v>
      </c>
      <c r="D16" s="143">
        <v>0</v>
      </c>
      <c r="E16" s="116">
        <f t="shared" si="1"/>
        <v>0</v>
      </c>
      <c r="F16" s="635">
        <f>'1461'!F16:G16</f>
        <v>1</v>
      </c>
      <c r="G16" s="635"/>
      <c r="H16" s="80">
        <f t="shared" si="2"/>
        <v>0</v>
      </c>
      <c r="I16" s="101">
        <f t="shared" si="3"/>
        <v>0</v>
      </c>
      <c r="N16" s="573" t="s">
        <v>22</v>
      </c>
      <c r="O16" s="573"/>
      <c r="P16" s="614">
        <f t="shared" si="0"/>
        <v>0</v>
      </c>
      <c r="Q16" s="614"/>
      <c r="R16" s="619">
        <v>1</v>
      </c>
      <c r="S16" s="619"/>
      <c r="T16" s="95">
        <f t="shared" si="4"/>
        <v>0</v>
      </c>
      <c r="U16" s="474">
        <f t="shared" si="5"/>
        <v>0</v>
      </c>
    </row>
    <row r="17" spans="1:21" x14ac:dyDescent="0.25">
      <c r="A17" s="550" t="s">
        <v>23</v>
      </c>
      <c r="B17" s="550"/>
      <c r="C17" s="143">
        <v>0</v>
      </c>
      <c r="D17" s="143">
        <v>0</v>
      </c>
      <c r="E17" s="116">
        <f t="shared" si="1"/>
        <v>0</v>
      </c>
      <c r="F17" s="635">
        <f>'1461'!F17:G17</f>
        <v>1</v>
      </c>
      <c r="G17" s="635"/>
      <c r="H17" s="80">
        <f t="shared" si="2"/>
        <v>0</v>
      </c>
      <c r="I17" s="101">
        <f t="shared" si="3"/>
        <v>0</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0</v>
      </c>
      <c r="D18" s="143">
        <v>0</v>
      </c>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36.5</v>
      </c>
      <c r="D19" s="143">
        <v>35.97</v>
      </c>
      <c r="E19" s="116">
        <f t="shared" si="1"/>
        <v>72.47</v>
      </c>
      <c r="F19" s="635">
        <f>'1461'!F19:G19</f>
        <v>0.98799999999999999</v>
      </c>
      <c r="G19" s="635"/>
      <c r="H19" s="80">
        <f t="shared" si="2"/>
        <v>71.600399999999993</v>
      </c>
      <c r="I19" s="101">
        <f t="shared" si="3"/>
        <v>384272.62</v>
      </c>
      <c r="J19" s="65" t="str">
        <f>IF(ROUND(E19,2)=ROUND(SUM(E63:E65),2)," ","CHECK 4-8 LINES BELOW")</f>
        <v xml:space="preserve"> </v>
      </c>
      <c r="N19" s="573" t="s">
        <v>25</v>
      </c>
      <c r="O19" s="573"/>
      <c r="P19" s="614">
        <f t="shared" si="0"/>
        <v>72.47</v>
      </c>
      <c r="Q19" s="614"/>
      <c r="R19" s="619">
        <v>1</v>
      </c>
      <c r="S19" s="619"/>
      <c r="T19" s="95">
        <f t="shared" si="4"/>
        <v>72.47</v>
      </c>
      <c r="U19" s="473">
        <f t="shared" si="5"/>
        <v>388939.68</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0</v>
      </c>
      <c r="D26" s="143">
        <v>0</v>
      </c>
      <c r="E26" s="116">
        <f t="shared" si="1"/>
        <v>0</v>
      </c>
      <c r="F26" s="635">
        <f>'1461'!F26:G26</f>
        <v>1.208</v>
      </c>
      <c r="G26" s="635"/>
      <c r="H26" s="80">
        <f t="shared" si="2"/>
        <v>0</v>
      </c>
      <c r="I26" s="101">
        <f t="shared" si="3"/>
        <v>0</v>
      </c>
      <c r="N26" s="573" t="s">
        <v>85</v>
      </c>
      <c r="O26" s="573"/>
      <c r="P26" s="614">
        <f t="shared" si="0"/>
        <v>0</v>
      </c>
      <c r="Q26" s="614"/>
      <c r="R26" s="619">
        <v>1</v>
      </c>
      <c r="S26" s="619"/>
      <c r="T26" s="95">
        <f t="shared" si="4"/>
        <v>0</v>
      </c>
      <c r="U26" s="474">
        <f t="shared" si="5"/>
        <v>0</v>
      </c>
    </row>
    <row r="27" spans="1:21" x14ac:dyDescent="0.25">
      <c r="A27" s="550" t="s">
        <v>86</v>
      </c>
      <c r="B27" s="550"/>
      <c r="C27" s="143">
        <v>0</v>
      </c>
      <c r="D27" s="143">
        <v>0</v>
      </c>
      <c r="E27" s="116">
        <f t="shared" si="1"/>
        <v>0</v>
      </c>
      <c r="F27" s="635">
        <f>'1461'!F27:G27</f>
        <v>1.208</v>
      </c>
      <c r="G27" s="635"/>
      <c r="H27" s="80">
        <f t="shared" si="2"/>
        <v>0</v>
      </c>
      <c r="I27" s="101">
        <f t="shared" si="3"/>
        <v>0</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36.5</v>
      </c>
      <c r="D30" s="94">
        <f>SUM(D14:D29)</f>
        <v>35.97</v>
      </c>
      <c r="E30" s="94">
        <f>SUM(E14:E29)</f>
        <v>72.47</v>
      </c>
      <c r="F30" s="554"/>
      <c r="G30" s="554"/>
      <c r="H30" s="99">
        <f>SUM(H14:H29)</f>
        <v>71.600399999999993</v>
      </c>
      <c r="I30" s="94">
        <f>SUM(I14:I29)</f>
        <v>384272.62</v>
      </c>
      <c r="N30" s="616" t="s">
        <v>5</v>
      </c>
      <c r="O30" s="616"/>
      <c r="P30" s="617">
        <f>SUM(P14:P29)</f>
        <v>72.47</v>
      </c>
      <c r="Q30" s="617"/>
      <c r="R30" s="589"/>
      <c r="S30" s="589"/>
      <c r="T30" s="100">
        <f>SUM(T14:T29)</f>
        <v>72.47</v>
      </c>
      <c r="U30" s="474">
        <f>SUM(U14:U29)</f>
        <v>388939.68</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71.600399999999993</v>
      </c>
      <c r="F46" s="34"/>
      <c r="G46" s="106"/>
      <c r="H46" s="107" t="s">
        <v>98</v>
      </c>
      <c r="I46" s="94">
        <f>SUM(I44,I30)</f>
        <v>384272.62</v>
      </c>
      <c r="N46" s="575" t="s">
        <v>44</v>
      </c>
      <c r="O46" s="575"/>
      <c r="P46" s="575"/>
      <c r="Q46" s="575"/>
      <c r="R46" s="35">
        <f>R44+T30</f>
        <v>72.47</v>
      </c>
      <c r="S46" s="589" t="s">
        <v>42</v>
      </c>
      <c r="T46" s="589"/>
      <c r="U46" s="108">
        <f>SUM(U44,U30)</f>
        <v>388939.68</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384272.62</v>
      </c>
      <c r="G51" s="109" t="s">
        <v>6</v>
      </c>
      <c r="H51" s="402">
        <v>4.5199999999999997E-2</v>
      </c>
      <c r="I51" s="101">
        <f>ROUND(F51*H51,2)</f>
        <v>17369.12</v>
      </c>
      <c r="N51" s="407"/>
      <c r="O51" s="408" t="s">
        <v>394</v>
      </c>
      <c r="P51" s="28"/>
      <c r="Q51" s="44" t="s">
        <v>395</v>
      </c>
      <c r="R51" s="409">
        <f>U30</f>
        <v>388939.68</v>
      </c>
      <c r="S51" s="410" t="s">
        <v>6</v>
      </c>
      <c r="T51" s="411">
        <v>4.5199999999999997E-2</v>
      </c>
      <c r="U51" s="403">
        <f>ROUND(R51*T51,2)</f>
        <v>17580.07</v>
      </c>
    </row>
    <row r="52" spans="1:22" x14ac:dyDescent="0.25">
      <c r="A52" s="26"/>
      <c r="B52" s="81" t="s">
        <v>396</v>
      </c>
      <c r="C52" s="26"/>
      <c r="D52" s="26"/>
      <c r="E52" s="43" t="s">
        <v>395</v>
      </c>
      <c r="F52" s="401">
        <f>I46</f>
        <v>384272.62</v>
      </c>
      <c r="G52" s="109" t="s">
        <v>6</v>
      </c>
      <c r="H52" s="402">
        <v>1.41E-2</v>
      </c>
      <c r="I52" s="101">
        <f>ROUND(F52*H52,2)</f>
        <v>5418.24</v>
      </c>
      <c r="N52" s="28"/>
      <c r="O52" s="384" t="s">
        <v>396</v>
      </c>
      <c r="P52" s="28"/>
      <c r="Q52" s="44" t="s">
        <v>395</v>
      </c>
      <c r="R52" s="409">
        <f>U30</f>
        <v>388939.68</v>
      </c>
      <c r="S52" s="410" t="s">
        <v>6</v>
      </c>
      <c r="T52" s="411">
        <v>1.41E-2</v>
      </c>
      <c r="U52" s="412">
        <f>ROUND(R52*T52,2)</f>
        <v>5484.05</v>
      </c>
    </row>
    <row r="53" spans="1:22" x14ac:dyDescent="0.25">
      <c r="A53" s="26"/>
      <c r="B53" s="81" t="s">
        <v>397</v>
      </c>
      <c r="C53" s="26"/>
      <c r="D53" s="26"/>
      <c r="E53" s="43"/>
      <c r="F53" s="401"/>
      <c r="G53" s="109"/>
      <c r="H53" s="402"/>
      <c r="I53" s="97">
        <f>SUM(I51:I52)</f>
        <v>22787.360000000001</v>
      </c>
      <c r="N53" s="28"/>
      <c r="O53" s="384" t="s">
        <v>397</v>
      </c>
      <c r="P53" s="28"/>
      <c r="Q53" s="44"/>
      <c r="R53" s="409"/>
      <c r="S53" s="410"/>
      <c r="T53" s="411"/>
      <c r="U53" s="403">
        <f>SUM(U51:U52)</f>
        <v>23064.12</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0</v>
      </c>
      <c r="D57" s="143">
        <v>0</v>
      </c>
      <c r="E57" s="116">
        <f t="shared" ref="E57:E65" si="10">IF(D$66=0,C57*2,C57+D57)</f>
        <v>0</v>
      </c>
      <c r="F57" s="444" t="s">
        <v>434</v>
      </c>
      <c r="G57" s="444">
        <v>251</v>
      </c>
      <c r="H57" s="458">
        <f>'1461'!H57</f>
        <v>1047</v>
      </c>
      <c r="I57" s="101">
        <f>ROUND(E57*H57,2)</f>
        <v>0</v>
      </c>
      <c r="N57" s="590" t="s">
        <v>442</v>
      </c>
      <c r="O57" s="590"/>
      <c r="P57" s="593"/>
      <c r="Q57" s="593"/>
      <c r="R57" s="450" t="s">
        <v>434</v>
      </c>
      <c r="S57" s="450">
        <v>251</v>
      </c>
      <c r="T57" s="461">
        <f>H57</f>
        <v>1047</v>
      </c>
      <c r="U57" s="475">
        <f>ROUND(P57*T57,2)</f>
        <v>0</v>
      </c>
      <c r="V57" s="425"/>
    </row>
    <row r="58" spans="1:22" x14ac:dyDescent="0.25">
      <c r="A58" s="561"/>
      <c r="B58" s="561"/>
      <c r="C58" s="143">
        <v>0</v>
      </c>
      <c r="D58" s="143">
        <v>0</v>
      </c>
      <c r="E58" s="116">
        <f t="shared" si="10"/>
        <v>0</v>
      </c>
      <c r="F58" s="444" t="s">
        <v>434</v>
      </c>
      <c r="G58" s="444">
        <v>252</v>
      </c>
      <c r="H58" s="458">
        <f>'1461'!H58</f>
        <v>3380</v>
      </c>
      <c r="I58" s="101">
        <f t="shared" ref="I58:I65" si="11">ROUND(E58*H58,2)</f>
        <v>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0</v>
      </c>
      <c r="D60" s="143">
        <v>0</v>
      </c>
      <c r="E60" s="116">
        <f t="shared" si="10"/>
        <v>0</v>
      </c>
      <c r="F60" s="445" t="s">
        <v>13</v>
      </c>
      <c r="G60" s="444">
        <v>251</v>
      </c>
      <c r="H60" s="458">
        <f>'1461'!H60</f>
        <v>1173</v>
      </c>
      <c r="I60" s="101">
        <f t="shared" si="11"/>
        <v>0</v>
      </c>
      <c r="N60" s="591"/>
      <c r="O60" s="591"/>
      <c r="P60" s="594"/>
      <c r="Q60" s="594"/>
      <c r="R60" s="40" t="s">
        <v>13</v>
      </c>
      <c r="S60" s="450">
        <v>251</v>
      </c>
      <c r="T60" s="461">
        <f t="shared" si="12"/>
        <v>1173</v>
      </c>
      <c r="U60" s="475">
        <f t="shared" si="13"/>
        <v>0</v>
      </c>
      <c r="V60" s="425"/>
    </row>
    <row r="61" spans="1:22" x14ac:dyDescent="0.25">
      <c r="A61" s="561"/>
      <c r="B61" s="561"/>
      <c r="C61" s="143">
        <v>0</v>
      </c>
      <c r="D61" s="143">
        <v>0</v>
      </c>
      <c r="E61" s="116">
        <f t="shared" si="10"/>
        <v>0</v>
      </c>
      <c r="F61" s="445" t="s">
        <v>13</v>
      </c>
      <c r="G61" s="444">
        <v>252</v>
      </c>
      <c r="H61" s="458">
        <f>'1461'!H61</f>
        <v>3506</v>
      </c>
      <c r="I61" s="101">
        <f t="shared" si="11"/>
        <v>0</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1</v>
      </c>
      <c r="D63" s="143">
        <v>0.99</v>
      </c>
      <c r="E63" s="116">
        <f t="shared" si="10"/>
        <v>1.99</v>
      </c>
      <c r="F63" s="445" t="s">
        <v>14</v>
      </c>
      <c r="G63" s="444">
        <v>251</v>
      </c>
      <c r="H63" s="458">
        <f>'1461'!H63</f>
        <v>835</v>
      </c>
      <c r="I63" s="101">
        <f t="shared" si="11"/>
        <v>1661.65</v>
      </c>
      <c r="N63" s="591"/>
      <c r="O63" s="591"/>
      <c r="P63" s="594"/>
      <c r="Q63" s="594"/>
      <c r="R63" s="40" t="s">
        <v>14</v>
      </c>
      <c r="S63" s="450">
        <v>251</v>
      </c>
      <c r="T63" s="461">
        <f t="shared" si="12"/>
        <v>835</v>
      </c>
      <c r="U63" s="475">
        <f t="shared" si="13"/>
        <v>0</v>
      </c>
      <c r="V63" s="425"/>
    </row>
    <row r="64" spans="1:22" x14ac:dyDescent="0.25">
      <c r="A64" s="561"/>
      <c r="B64" s="561"/>
      <c r="C64" s="143">
        <v>3</v>
      </c>
      <c r="D64" s="143">
        <v>2.96</v>
      </c>
      <c r="E64" s="116">
        <f t="shared" si="10"/>
        <v>5.96</v>
      </c>
      <c r="F64" s="445" t="s">
        <v>14</v>
      </c>
      <c r="G64" s="444">
        <v>252</v>
      </c>
      <c r="H64" s="458">
        <f>'1461'!H64</f>
        <v>3168</v>
      </c>
      <c r="I64" s="101">
        <f t="shared" si="11"/>
        <v>18881.28</v>
      </c>
      <c r="N64" s="591"/>
      <c r="O64" s="591"/>
      <c r="P64" s="594"/>
      <c r="Q64" s="594"/>
      <c r="R64" s="40" t="s">
        <v>14</v>
      </c>
      <c r="S64" s="450">
        <v>252</v>
      </c>
      <c r="T64" s="461">
        <f t="shared" si="12"/>
        <v>3168</v>
      </c>
      <c r="U64" s="475">
        <f t="shared" si="13"/>
        <v>0</v>
      </c>
      <c r="V64" s="425"/>
    </row>
    <row r="65" spans="1:22" ht="16.5" thickBot="1" x14ac:dyDescent="0.3">
      <c r="A65" s="561"/>
      <c r="B65" s="561"/>
      <c r="C65" s="143">
        <v>32.5</v>
      </c>
      <c r="D65" s="143">
        <v>32.020000000000003</v>
      </c>
      <c r="E65" s="116">
        <f t="shared" si="10"/>
        <v>64.52000000000001</v>
      </c>
      <c r="F65" s="445" t="s">
        <v>14</v>
      </c>
      <c r="G65" s="444">
        <v>253</v>
      </c>
      <c r="H65" s="458">
        <f>'1461'!H65</f>
        <v>6685</v>
      </c>
      <c r="I65" s="101">
        <f t="shared" si="11"/>
        <v>431316.2</v>
      </c>
      <c r="N65" s="591"/>
      <c r="O65" s="591"/>
      <c r="P65" s="595"/>
      <c r="Q65" s="595"/>
      <c r="R65" s="40" t="s">
        <v>14</v>
      </c>
      <c r="S65" s="450">
        <v>253</v>
      </c>
      <c r="T65" s="461">
        <f t="shared" si="12"/>
        <v>6685</v>
      </c>
      <c r="U65" s="476">
        <f t="shared" si="13"/>
        <v>0</v>
      </c>
      <c r="V65" s="425"/>
    </row>
    <row r="66" spans="1:22" ht="16.5" thickBot="1" x14ac:dyDescent="0.3">
      <c r="A66" s="441"/>
      <c r="C66" s="97">
        <f>SUM(C57:C65)</f>
        <v>36.5</v>
      </c>
      <c r="D66" s="97">
        <f>SUM(D57:D65)</f>
        <v>35.970000000000006</v>
      </c>
      <c r="E66" s="97">
        <f>SUM(E57:E65)</f>
        <v>72.470000000000013</v>
      </c>
      <c r="F66" s="562" t="s">
        <v>443</v>
      </c>
      <c r="G66" s="562"/>
      <c r="H66" s="562"/>
      <c r="I66" s="97">
        <f>SUM(I57:I65)</f>
        <v>451859.13</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72.47</v>
      </c>
      <c r="D69" s="537" t="s">
        <v>409</v>
      </c>
      <c r="E69" s="537"/>
      <c r="F69" s="537"/>
      <c r="G69" s="537"/>
      <c r="H69" s="301">
        <f>'1461'!H69</f>
        <v>201799.89</v>
      </c>
      <c r="I69" s="113"/>
      <c r="N69" s="572" t="s">
        <v>402</v>
      </c>
      <c r="O69" s="573"/>
      <c r="P69" s="41">
        <f>P30</f>
        <v>72.47</v>
      </c>
      <c r="Q69" s="578" t="s">
        <v>404</v>
      </c>
      <c r="R69" s="579"/>
      <c r="S69" s="579"/>
      <c r="T69" s="576">
        <f>H69</f>
        <v>201799.89</v>
      </c>
      <c r="U69" s="576"/>
    </row>
    <row r="70" spans="1:22" x14ac:dyDescent="0.25">
      <c r="B70" s="69"/>
      <c r="G70" s="42" t="s">
        <v>12</v>
      </c>
      <c r="H70" s="114">
        <f>ROUND(C69/H69,6)</f>
        <v>3.59E-4</v>
      </c>
      <c r="I70" s="115"/>
      <c r="N70" s="573"/>
      <c r="O70" s="573"/>
      <c r="P70" s="573"/>
      <c r="Q70" s="573"/>
      <c r="R70" s="573"/>
      <c r="S70" s="573"/>
      <c r="T70" s="577">
        <f>ROUND(P69/T69,6)</f>
        <v>3.59E-4</v>
      </c>
      <c r="U70" s="577"/>
    </row>
    <row r="71" spans="1:22" x14ac:dyDescent="0.25">
      <c r="A71" s="443" t="s">
        <v>446</v>
      </c>
      <c r="N71" s="454" t="s">
        <v>454</v>
      </c>
      <c r="O71" s="51"/>
      <c r="P71" s="51"/>
      <c r="Q71" s="51"/>
      <c r="R71" s="51"/>
      <c r="S71" s="51"/>
      <c r="T71" s="51"/>
      <c r="U71" s="51"/>
    </row>
    <row r="72" spans="1:22" x14ac:dyDescent="0.25">
      <c r="A72" s="556" t="s">
        <v>399</v>
      </c>
      <c r="B72" s="550"/>
      <c r="C72" s="112">
        <f>H30</f>
        <v>71.600399999999993</v>
      </c>
      <c r="D72" s="537" t="s">
        <v>410</v>
      </c>
      <c r="E72" s="537"/>
      <c r="F72" s="537"/>
      <c r="G72" s="537"/>
      <c r="H72" s="302">
        <f>'1461'!H72</f>
        <v>227090.59</v>
      </c>
      <c r="I72" s="116"/>
      <c r="N72" s="572" t="s">
        <v>403</v>
      </c>
      <c r="O72" s="573"/>
      <c r="P72" s="41">
        <f>T30</f>
        <v>72.47</v>
      </c>
      <c r="Q72" s="578" t="s">
        <v>405</v>
      </c>
      <c r="R72" s="579"/>
      <c r="S72" s="579"/>
      <c r="T72" s="576">
        <f>H72</f>
        <v>227090.59</v>
      </c>
      <c r="U72" s="576"/>
    </row>
    <row r="73" spans="1:22" x14ac:dyDescent="0.25">
      <c r="G73" s="42" t="s">
        <v>12</v>
      </c>
      <c r="H73" s="114">
        <f>ROUND(C72/H72,6)</f>
        <v>3.1500000000000001E-4</v>
      </c>
      <c r="I73" s="114"/>
      <c r="N73" s="573"/>
      <c r="O73" s="573"/>
      <c r="P73" s="573"/>
      <c r="Q73" s="573"/>
      <c r="R73" s="573"/>
      <c r="S73" s="573"/>
      <c r="T73" s="577">
        <f>ROUND(P72/T72,6)</f>
        <v>3.19E-4</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72.47</v>
      </c>
      <c r="D75" s="529" t="s">
        <v>411</v>
      </c>
      <c r="E75" s="529"/>
      <c r="F75" s="529"/>
      <c r="G75" s="529"/>
      <c r="H75" s="301">
        <f>'1461'!H75</f>
        <v>186438.39</v>
      </c>
      <c r="I75" s="113"/>
      <c r="N75" s="572" t="s">
        <v>401</v>
      </c>
      <c r="O75" s="573"/>
      <c r="P75" s="41">
        <f>P30</f>
        <v>72.47</v>
      </c>
      <c r="Q75" s="608" t="s">
        <v>406</v>
      </c>
      <c r="R75" s="609"/>
      <c r="S75" s="609"/>
      <c r="T75" s="576">
        <f>H75</f>
        <v>186438.39</v>
      </c>
      <c r="U75" s="576"/>
    </row>
    <row r="76" spans="1:22" x14ac:dyDescent="0.25">
      <c r="B76" s="69"/>
      <c r="G76" s="42" t="s">
        <v>12</v>
      </c>
      <c r="H76" s="114">
        <f>ROUND(C75/H75,6)</f>
        <v>3.8900000000000002E-4</v>
      </c>
      <c r="I76" s="115"/>
      <c r="N76" s="573"/>
      <c r="O76" s="573"/>
      <c r="P76" s="573"/>
      <c r="Q76" s="573"/>
      <c r="R76" s="573"/>
      <c r="S76" s="573"/>
      <c r="T76" s="577">
        <f>ROUND(P75/T75,6)</f>
        <v>3.8900000000000002E-4</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72.47</v>
      </c>
      <c r="D78" s="557" t="s">
        <v>412</v>
      </c>
      <c r="E78" s="557"/>
      <c r="F78" s="557"/>
      <c r="G78" s="557"/>
      <c r="H78" s="301">
        <f>'1461'!H78</f>
        <v>201460.8</v>
      </c>
      <c r="I78" s="113"/>
      <c r="N78" s="572" t="s">
        <v>401</v>
      </c>
      <c r="O78" s="573"/>
      <c r="P78" s="41">
        <f>P30</f>
        <v>72.47</v>
      </c>
      <c r="Q78" s="606" t="s">
        <v>407</v>
      </c>
      <c r="R78" s="607"/>
      <c r="S78" s="607"/>
      <c r="T78" s="576">
        <f>H78</f>
        <v>201460.8</v>
      </c>
      <c r="U78" s="576"/>
    </row>
    <row r="79" spans="1:22" x14ac:dyDescent="0.25">
      <c r="B79" s="69"/>
      <c r="G79" s="42" t="s">
        <v>12</v>
      </c>
      <c r="H79" s="114">
        <f>ROUND(C78/H78,6)</f>
        <v>3.6000000000000002E-4</v>
      </c>
      <c r="I79" s="115"/>
      <c r="N79" s="573"/>
      <c r="O79" s="573"/>
      <c r="P79" s="573"/>
      <c r="Q79" s="573"/>
      <c r="R79" s="573"/>
      <c r="S79" s="573"/>
      <c r="T79" s="577">
        <f>ROUND(P78/T78,6)</f>
        <v>3.6000000000000002E-4</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72.47</v>
      </c>
      <c r="D81" s="529" t="s">
        <v>413</v>
      </c>
      <c r="E81" s="529"/>
      <c r="F81" s="529"/>
      <c r="G81" s="529"/>
      <c r="H81" s="301">
        <f>'1461'!H81</f>
        <v>186099.3</v>
      </c>
      <c r="I81" s="113"/>
      <c r="N81" s="572" t="s">
        <v>414</v>
      </c>
      <c r="O81" s="573"/>
      <c r="P81" s="41">
        <f>P30</f>
        <v>72.47</v>
      </c>
      <c r="Q81" s="608" t="s">
        <v>415</v>
      </c>
      <c r="R81" s="609"/>
      <c r="S81" s="609"/>
      <c r="T81" s="576">
        <f>H81</f>
        <v>186099.3</v>
      </c>
      <c r="U81" s="576"/>
    </row>
    <row r="82" spans="1:21" x14ac:dyDescent="0.25">
      <c r="B82" s="69"/>
      <c r="G82" s="42" t="s">
        <v>12</v>
      </c>
      <c r="H82" s="114">
        <f>ROUND(C81/H81,6)</f>
        <v>3.8900000000000002E-4</v>
      </c>
      <c r="I82" s="115"/>
      <c r="N82" s="573"/>
      <c r="O82" s="573"/>
      <c r="P82" s="573"/>
      <c r="Q82" s="573"/>
      <c r="R82" s="573"/>
      <c r="S82" s="573"/>
      <c r="T82" s="577">
        <f>ROUND(P81/T81,6)</f>
        <v>3.8900000000000002E-4</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3.6000000000000002E-4</v>
      </c>
      <c r="I85" s="101">
        <f>ROUND(F85*H85,2)</f>
        <v>15951.34</v>
      </c>
      <c r="N85" s="454" t="s">
        <v>450</v>
      </c>
      <c r="O85" s="51"/>
      <c r="P85" s="51"/>
      <c r="Q85" s="44"/>
      <c r="R85" s="420">
        <f>F85</f>
        <v>44309288</v>
      </c>
      <c r="S85" s="38" t="s">
        <v>6</v>
      </c>
      <c r="T85" s="422">
        <f>T79</f>
        <v>3.6000000000000002E-4</v>
      </c>
      <c r="U85" s="474">
        <f>ROUND(R85*T85,2)</f>
        <v>15951.34</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3.59E-4</v>
      </c>
      <c r="I88" s="101">
        <f>ROUND(F88*H88,2)</f>
        <v>0</v>
      </c>
      <c r="N88" s="610" t="s">
        <v>99</v>
      </c>
      <c r="O88" s="573"/>
      <c r="P88" s="573"/>
      <c r="Q88" s="44"/>
      <c r="R88" s="420">
        <f>F88</f>
        <v>0</v>
      </c>
      <c r="S88" s="38" t="s">
        <v>6</v>
      </c>
      <c r="T88" s="422">
        <f>T70</f>
        <v>3.59E-4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3.8900000000000002E-4</v>
      </c>
      <c r="I90" s="101">
        <f>ROUND(F90*H90,2)</f>
        <v>6331.24</v>
      </c>
      <c r="N90" s="454" t="s">
        <v>451</v>
      </c>
      <c r="O90" s="51"/>
      <c r="P90" s="51"/>
      <c r="Q90" s="44"/>
      <c r="R90" s="420">
        <f>F90</f>
        <v>16275680</v>
      </c>
      <c r="S90" s="38" t="s">
        <v>6</v>
      </c>
      <c r="T90" s="422">
        <f>T82</f>
        <v>3.8900000000000002E-4</v>
      </c>
      <c r="U90" s="474">
        <f>ROUND(R90*T90,2)</f>
        <v>6331.24</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3.8900000000000002E-4</v>
      </c>
      <c r="I92" s="101">
        <f t="shared" ref="I92:I96" si="14">ROUND(F92*H92,2)</f>
        <v>3939.81</v>
      </c>
      <c r="N92" s="454" t="s">
        <v>452</v>
      </c>
      <c r="O92" s="51"/>
      <c r="P92" s="51"/>
      <c r="Q92" s="44"/>
      <c r="R92" s="420">
        <f t="shared" ref="R92:R96" si="15">F92</f>
        <v>10128039</v>
      </c>
      <c r="S92" s="38" t="s">
        <v>6</v>
      </c>
      <c r="T92" s="422">
        <f>T76</f>
        <v>3.8900000000000002E-4</v>
      </c>
      <c r="U92" s="474">
        <f>ROUND(R92*T92,2)</f>
        <v>3939.81</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3.1500000000000001E-4</v>
      </c>
      <c r="I94" s="101">
        <f t="shared" si="14"/>
        <v>75284.27</v>
      </c>
      <c r="N94" s="573" t="s">
        <v>417</v>
      </c>
      <c r="O94" s="573"/>
      <c r="P94" s="573"/>
      <c r="Q94" s="44"/>
      <c r="R94" s="420">
        <f t="shared" si="15"/>
        <v>238997674</v>
      </c>
      <c r="S94" s="38" t="s">
        <v>6</v>
      </c>
      <c r="T94" s="422">
        <f>T73</f>
        <v>3.19E-4</v>
      </c>
      <c r="U94" s="474">
        <f>ROUND(R94*T94,2)</f>
        <v>76240.259999999995</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3.1500000000000001E-4</v>
      </c>
      <c r="I96" s="101">
        <f t="shared" si="14"/>
        <v>0</v>
      </c>
      <c r="N96" s="572" t="s">
        <v>418</v>
      </c>
      <c r="O96" s="573"/>
      <c r="P96" s="573"/>
      <c r="Q96" s="44"/>
      <c r="R96" s="420">
        <f t="shared" si="15"/>
        <v>0</v>
      </c>
      <c r="S96" s="38" t="s">
        <v>6</v>
      </c>
      <c r="T96" s="422">
        <f>T73</f>
        <v>3.19E-4</v>
      </c>
      <c r="U96" s="474">
        <f>ROUND(R96*T96,2)</f>
        <v>0</v>
      </c>
    </row>
    <row r="97" spans="1:21" x14ac:dyDescent="0.25">
      <c r="A97" s="513"/>
      <c r="B97" s="512"/>
      <c r="C97" s="512"/>
      <c r="D97" s="512"/>
      <c r="E97" s="510"/>
      <c r="F97" s="117"/>
      <c r="G97" s="511"/>
      <c r="H97" s="423"/>
      <c r="I97" s="101"/>
      <c r="N97" s="516"/>
      <c r="O97" s="515"/>
      <c r="P97" s="515"/>
      <c r="Q97" s="44"/>
      <c r="R97" s="518"/>
      <c r="S97" s="517"/>
      <c r="T97" s="422"/>
      <c r="U97" s="478"/>
    </row>
    <row r="98" spans="1:21" x14ac:dyDescent="0.25">
      <c r="A98" s="513" t="s">
        <v>475</v>
      </c>
      <c r="B98" s="512"/>
      <c r="C98" s="512"/>
      <c r="D98" s="512"/>
      <c r="E98" s="510" t="s">
        <v>3</v>
      </c>
      <c r="F98" s="291">
        <v>0</v>
      </c>
      <c r="G98" s="511" t="s">
        <v>6</v>
      </c>
      <c r="H98" s="423">
        <f>H70</f>
        <v>3.59E-4</v>
      </c>
      <c r="I98" s="101">
        <f t="shared" ref="I98" si="16">ROUND(F98*H98,2)</f>
        <v>0</v>
      </c>
      <c r="N98" s="516" t="s">
        <v>475</v>
      </c>
      <c r="O98" s="516"/>
      <c r="P98" s="516"/>
      <c r="Q98" s="44"/>
      <c r="R98" s="519">
        <f>F98</f>
        <v>0</v>
      </c>
      <c r="S98" s="517" t="s">
        <v>6</v>
      </c>
      <c r="T98" s="422">
        <f>T70</f>
        <v>3.59E-4</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0</v>
      </c>
      <c r="D104" s="568"/>
      <c r="E104" s="46">
        <f>H8</f>
        <v>1.0442</v>
      </c>
      <c r="F104" s="304">
        <f>'1461'!F104</f>
        <v>947.59</v>
      </c>
      <c r="G104" s="39" t="s">
        <v>12</v>
      </c>
      <c r="H104" s="101">
        <f>ROUND(C104*E104*F104,2)</f>
        <v>0</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0</v>
      </c>
      <c r="D105" s="568"/>
      <c r="E105" s="46">
        <f>H8</f>
        <v>1.0442</v>
      </c>
      <c r="F105" s="304">
        <f>'1461'!F105</f>
        <v>904.74</v>
      </c>
      <c r="G105" s="39" t="s">
        <v>12</v>
      </c>
      <c r="H105" s="101">
        <f>ROUND(C105*E105*F105,2)</f>
        <v>0</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71.600399999999993</v>
      </c>
      <c r="D106" s="568"/>
      <c r="E106" s="46">
        <f>H8</f>
        <v>1.0442</v>
      </c>
      <c r="F106" s="304">
        <f>'1461'!F106</f>
        <v>906.93</v>
      </c>
      <c r="G106" s="39" t="s">
        <v>12</v>
      </c>
      <c r="H106" s="94">
        <f>ROUND(C106*E106*F106,2)</f>
        <v>67806.75</v>
      </c>
      <c r="N106" s="53" t="s">
        <v>14</v>
      </c>
      <c r="O106" s="54">
        <f>T18+T19+T22+T25+T28+T29</f>
        <v>72.47</v>
      </c>
      <c r="P106" s="583">
        <f>T8</f>
        <v>1.0442</v>
      </c>
      <c r="Q106" s="583"/>
      <c r="R106" s="48">
        <f>F106</f>
        <v>906.93</v>
      </c>
      <c r="S106" s="40" t="s">
        <v>12</v>
      </c>
      <c r="T106" s="480">
        <f>ROUND(O106*P106*R106,2)</f>
        <v>68630.27</v>
      </c>
      <c r="U106" s="51"/>
    </row>
    <row r="107" spans="1:21" ht="16.5" thickBot="1" x14ac:dyDescent="0.3">
      <c r="A107" s="55"/>
      <c r="B107" s="122" t="s">
        <v>102</v>
      </c>
      <c r="C107" s="558">
        <f>SUM(C104:C106)</f>
        <v>71.600399999999993</v>
      </c>
      <c r="D107" s="558"/>
      <c r="E107" s="123"/>
      <c r="F107" s="123"/>
      <c r="G107" s="123"/>
      <c r="H107" s="124" t="s">
        <v>100</v>
      </c>
      <c r="I107" s="101">
        <f>IF(A1=75,0,H106+H105+H104)</f>
        <v>67806.75</v>
      </c>
      <c r="N107" s="56" t="s">
        <v>89</v>
      </c>
      <c r="O107" s="57">
        <f>SUM(O104:O106)</f>
        <v>72.47</v>
      </c>
      <c r="P107" s="584" t="s">
        <v>16</v>
      </c>
      <c r="Q107" s="585"/>
      <c r="R107" s="585"/>
      <c r="S107" s="585"/>
      <c r="T107" s="585"/>
      <c r="U107" s="474">
        <f>IF(N1=75,0,T106+T105+T104)</f>
        <v>68630.27</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70</v>
      </c>
      <c r="D113" s="143">
        <v>0</v>
      </c>
      <c r="E113" s="116">
        <f>C113</f>
        <v>70</v>
      </c>
      <c r="F113" s="126" t="s">
        <v>30</v>
      </c>
      <c r="G113" s="305">
        <f>'1461'!G113</f>
        <v>548</v>
      </c>
      <c r="I113" s="101">
        <f>ROUND(G113*E113,2)</f>
        <v>38360</v>
      </c>
      <c r="N113" s="602" t="s">
        <v>52</v>
      </c>
      <c r="O113" s="602"/>
      <c r="P113" s="582">
        <f>IF(H133=1,E113,0)</f>
        <v>70</v>
      </c>
      <c r="Q113" s="582"/>
      <c r="R113" s="582"/>
      <c r="S113" s="83" t="s">
        <v>30</v>
      </c>
      <c r="T113" s="58">
        <f>G113</f>
        <v>548</v>
      </c>
      <c r="U113" s="474">
        <f>ROUND(T113*P113,2)</f>
        <v>38360</v>
      </c>
    </row>
    <row r="114" spans="1:21" x14ac:dyDescent="0.25">
      <c r="A114" s="529" t="s">
        <v>376</v>
      </c>
      <c r="B114" s="530"/>
      <c r="C114" s="143">
        <v>0</v>
      </c>
      <c r="D114" s="143">
        <v>0</v>
      </c>
      <c r="E114" s="116">
        <f>(C114+D114)/2</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1043805.16</v>
      </c>
      <c r="N128" s="454"/>
      <c r="O128" s="453"/>
      <c r="P128" s="453"/>
      <c r="Q128" s="307"/>
      <c r="R128" s="307"/>
      <c r="S128" s="307"/>
      <c r="T128" s="307"/>
      <c r="U128" s="481">
        <f>SUM(U30,U85,U88,U90,U92,U94,U96,U107,U113,U114,U124,U126)</f>
        <v>598392.6</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1021017.8</v>
      </c>
      <c r="N130" s="573" t="s">
        <v>429</v>
      </c>
      <c r="O130" s="573"/>
      <c r="P130" s="573"/>
      <c r="Q130" s="573"/>
      <c r="R130" s="573"/>
      <c r="S130" s="573"/>
      <c r="T130" s="573"/>
      <c r="U130" s="132">
        <f>U128-U53</f>
        <v>575328.48</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f>IF(E30=0,"",IF((E15+E17+SUM(E19:E25))/E30&gt;0.75,1,""))</f>
        <v>1</v>
      </c>
      <c r="I133" s="116">
        <f>U130</f>
        <v>575328.48</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575328.48</v>
      </c>
      <c r="I135" s="94">
        <f>ROUND(IF(E30=0,0,IF(E30&gt;250,-(((250/E30)*H135)*IF(G135="H",0.02,0.05)),IF(G135="H",-0.02*H135,-0.05*H135))),2)</f>
        <v>-28766.42</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1015038.74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-100468.52-59569.32-59569.32-59569.32-59569.31-112774.56-114233.79-114157.02</f>
        <v>-679911.16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335127.57999999996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111709.19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CCCC"/>
  </sheetPr>
  <dimension ref="A1:V221"/>
  <sheetViews>
    <sheetView topLeftCell="A108" workbookViewId="0">
      <selection activeCell="D57" sqref="D57:D6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116</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179.36</v>
      </c>
      <c r="D14" s="141">
        <v>179.66</v>
      </c>
      <c r="E14" s="187">
        <f>IF(D$30=0,C14*2,C14+D14)</f>
        <v>359.02</v>
      </c>
      <c r="F14" s="639">
        <f>'1461'!F14:G14</f>
        <v>1.1220000000000001</v>
      </c>
      <c r="G14" s="639"/>
      <c r="H14" s="145">
        <f>ROUND(E14*F14,4)</f>
        <v>402.82040000000001</v>
      </c>
      <c r="I14" s="111">
        <f>ROUND(ROUND(ROUND(H14*$C$8,4)*($H$8),2)*(MAX($H$9,1)),2)</f>
        <v>2161899.25</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37.5</v>
      </c>
      <c r="D15" s="143">
        <v>40.49</v>
      </c>
      <c r="E15" s="116">
        <f t="shared" ref="E15:E29" si="1">IF(D$30=0,C15*2,C15+D15)</f>
        <v>77.990000000000009</v>
      </c>
      <c r="F15" s="635">
        <f>'1461'!F15:G15</f>
        <v>1.1220000000000001</v>
      </c>
      <c r="G15" s="635"/>
      <c r="H15" s="80">
        <f t="shared" ref="H15:H29" si="2">ROUND(E15*F15,4)</f>
        <v>87.504800000000003</v>
      </c>
      <c r="I15" s="101">
        <f t="shared" ref="I15:I29" si="3">ROUND(ROUND(ROUND(H15*$C$8,4)*($H$8),2)*(MAX($H$9,1)),2)</f>
        <v>469630.04</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225.72</v>
      </c>
      <c r="D16" s="143">
        <v>224.88</v>
      </c>
      <c r="E16" s="116">
        <f t="shared" si="1"/>
        <v>450.6</v>
      </c>
      <c r="F16" s="635">
        <f>'1461'!F16:G16</f>
        <v>1</v>
      </c>
      <c r="G16" s="635"/>
      <c r="H16" s="80">
        <f t="shared" si="2"/>
        <v>450.6</v>
      </c>
      <c r="I16" s="101">
        <f t="shared" si="3"/>
        <v>2418327.87</v>
      </c>
      <c r="N16" s="573" t="s">
        <v>22</v>
      </c>
      <c r="O16" s="573"/>
      <c r="P16" s="614">
        <f t="shared" si="0"/>
        <v>0</v>
      </c>
      <c r="Q16" s="614"/>
      <c r="R16" s="619">
        <v>1</v>
      </c>
      <c r="S16" s="619"/>
      <c r="T16" s="95">
        <f t="shared" si="4"/>
        <v>0</v>
      </c>
      <c r="U16" s="474">
        <f t="shared" si="5"/>
        <v>0</v>
      </c>
    </row>
    <row r="17" spans="1:21" x14ac:dyDescent="0.25">
      <c r="A17" s="550" t="s">
        <v>23</v>
      </c>
      <c r="B17" s="550"/>
      <c r="C17" s="143">
        <v>57.5</v>
      </c>
      <c r="D17" s="143">
        <v>57.71</v>
      </c>
      <c r="E17" s="116">
        <f t="shared" si="1"/>
        <v>115.21000000000001</v>
      </c>
      <c r="F17" s="635">
        <f>'1461'!F17:G17</f>
        <v>1</v>
      </c>
      <c r="G17" s="635"/>
      <c r="H17" s="80">
        <f t="shared" si="2"/>
        <v>115.21</v>
      </c>
      <c r="I17" s="101">
        <f t="shared" si="3"/>
        <v>618321.25</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0</v>
      </c>
      <c r="D18" s="143">
        <v>0</v>
      </c>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0</v>
      </c>
      <c r="D19" s="143">
        <v>0</v>
      </c>
      <c r="E19" s="116">
        <f t="shared" si="1"/>
        <v>0</v>
      </c>
      <c r="F19" s="635">
        <f>'1461'!F19:G19</f>
        <v>0.98799999999999999</v>
      </c>
      <c r="G19" s="635"/>
      <c r="H19" s="80">
        <f t="shared" si="2"/>
        <v>0</v>
      </c>
      <c r="I19" s="101">
        <f t="shared" si="3"/>
        <v>0</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17.14</v>
      </c>
      <c r="D26" s="143">
        <v>16.690000000000001</v>
      </c>
      <c r="E26" s="116">
        <f t="shared" si="1"/>
        <v>33.83</v>
      </c>
      <c r="F26" s="635">
        <f>'1461'!F26:G26</f>
        <v>1.208</v>
      </c>
      <c r="G26" s="635"/>
      <c r="H26" s="80">
        <f t="shared" si="2"/>
        <v>40.866599999999998</v>
      </c>
      <c r="I26" s="101">
        <f t="shared" si="3"/>
        <v>219327.2</v>
      </c>
      <c r="N26" s="573" t="s">
        <v>85</v>
      </c>
      <c r="O26" s="573"/>
      <c r="P26" s="614">
        <f t="shared" si="0"/>
        <v>0</v>
      </c>
      <c r="Q26" s="614"/>
      <c r="R26" s="619">
        <v>1</v>
      </c>
      <c r="S26" s="619"/>
      <c r="T26" s="95">
        <f t="shared" si="4"/>
        <v>0</v>
      </c>
      <c r="U26" s="474">
        <f t="shared" si="5"/>
        <v>0</v>
      </c>
    </row>
    <row r="27" spans="1:21" x14ac:dyDescent="0.25">
      <c r="A27" s="550" t="s">
        <v>86</v>
      </c>
      <c r="B27" s="550"/>
      <c r="C27" s="143">
        <v>6.17</v>
      </c>
      <c r="D27" s="143">
        <v>4.8600000000000003</v>
      </c>
      <c r="E27" s="116">
        <f t="shared" si="1"/>
        <v>11.030000000000001</v>
      </c>
      <c r="F27" s="635">
        <f>'1461'!F27:G27</f>
        <v>1.208</v>
      </c>
      <c r="G27" s="635"/>
      <c r="H27" s="80">
        <f t="shared" si="2"/>
        <v>13.324199999999999</v>
      </c>
      <c r="I27" s="101">
        <f t="shared" si="3"/>
        <v>71509.73</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523.39</v>
      </c>
      <c r="D30" s="94">
        <f>SUM(D14:D29)</f>
        <v>524.29</v>
      </c>
      <c r="E30" s="94">
        <f>SUM(E14:E29)</f>
        <v>1047.68</v>
      </c>
      <c r="F30" s="554"/>
      <c r="G30" s="554"/>
      <c r="H30" s="99">
        <f>SUM(H14:H29)</f>
        <v>1110.326</v>
      </c>
      <c r="I30" s="94">
        <f>SUM(I14:I29)</f>
        <v>5959015.3400000008</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1110.326</v>
      </c>
      <c r="F46" s="34"/>
      <c r="G46" s="106"/>
      <c r="H46" s="107" t="s">
        <v>98</v>
      </c>
      <c r="I46" s="94">
        <f>SUM(I44,I30)</f>
        <v>5959015.3400000008</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5959015.3400000008</v>
      </c>
      <c r="G51" s="109" t="s">
        <v>6</v>
      </c>
      <c r="H51" s="402">
        <v>4.5199999999999997E-2</v>
      </c>
      <c r="I51" s="101">
        <f>ROUND(F51*H51,2)</f>
        <v>269347.49</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5959015.3400000008</v>
      </c>
      <c r="G52" s="109" t="s">
        <v>6</v>
      </c>
      <c r="H52" s="402">
        <v>1.41E-2</v>
      </c>
      <c r="I52" s="101">
        <f>ROUND(F52*H52,2)</f>
        <v>84022.12</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353369.61</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34</v>
      </c>
      <c r="D57" s="143">
        <v>36.71</v>
      </c>
      <c r="E57" s="116">
        <f t="shared" ref="E57:E65" si="10">IF(D$66=0,C57*2,C57+D57)</f>
        <v>70.710000000000008</v>
      </c>
      <c r="F57" s="444" t="s">
        <v>434</v>
      </c>
      <c r="G57" s="444">
        <v>251</v>
      </c>
      <c r="H57" s="458">
        <f>'1461'!H57</f>
        <v>1047</v>
      </c>
      <c r="I57" s="101">
        <f>ROUND(E57*H57,2)</f>
        <v>74033.37</v>
      </c>
      <c r="N57" s="590" t="s">
        <v>442</v>
      </c>
      <c r="O57" s="590"/>
      <c r="P57" s="593"/>
      <c r="Q57" s="593"/>
      <c r="R57" s="450" t="s">
        <v>434</v>
      </c>
      <c r="S57" s="450">
        <v>251</v>
      </c>
      <c r="T57" s="461">
        <f>H57</f>
        <v>1047</v>
      </c>
      <c r="U57" s="475">
        <f>ROUND(P57*T57,2)</f>
        <v>0</v>
      </c>
      <c r="V57" s="425"/>
    </row>
    <row r="58" spans="1:22" x14ac:dyDescent="0.25">
      <c r="A58" s="561"/>
      <c r="B58" s="561"/>
      <c r="C58" s="143">
        <v>3.5</v>
      </c>
      <c r="D58" s="143">
        <v>3.78</v>
      </c>
      <c r="E58" s="116">
        <f t="shared" si="10"/>
        <v>7.2799999999999994</v>
      </c>
      <c r="F58" s="444" t="s">
        <v>434</v>
      </c>
      <c r="G58" s="444">
        <v>252</v>
      </c>
      <c r="H58" s="458">
        <f>'1461'!H58</f>
        <v>3380</v>
      </c>
      <c r="I58" s="101">
        <f t="shared" ref="I58:I65" si="11">ROUND(E58*H58,2)</f>
        <v>24606.400000000001</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55.5</v>
      </c>
      <c r="D60" s="143">
        <v>55.7</v>
      </c>
      <c r="E60" s="116">
        <f t="shared" si="10"/>
        <v>111.2</v>
      </c>
      <c r="F60" s="445" t="s">
        <v>13</v>
      </c>
      <c r="G60" s="444">
        <v>251</v>
      </c>
      <c r="H60" s="458">
        <f>'1461'!H60</f>
        <v>1173</v>
      </c>
      <c r="I60" s="101">
        <f t="shared" si="11"/>
        <v>130437.6</v>
      </c>
      <c r="N60" s="591"/>
      <c r="O60" s="591"/>
      <c r="P60" s="594"/>
      <c r="Q60" s="594"/>
      <c r="R60" s="40" t="s">
        <v>13</v>
      </c>
      <c r="S60" s="450">
        <v>251</v>
      </c>
      <c r="T60" s="461">
        <f t="shared" si="12"/>
        <v>1173</v>
      </c>
      <c r="U60" s="475">
        <f t="shared" si="13"/>
        <v>0</v>
      </c>
      <c r="V60" s="425"/>
    </row>
    <row r="61" spans="1:22" x14ac:dyDescent="0.25">
      <c r="A61" s="561"/>
      <c r="B61" s="561"/>
      <c r="C61" s="143">
        <v>2</v>
      </c>
      <c r="D61" s="143">
        <v>2.0099999999999998</v>
      </c>
      <c r="E61" s="116">
        <f t="shared" si="10"/>
        <v>4.01</v>
      </c>
      <c r="F61" s="445" t="s">
        <v>13</v>
      </c>
      <c r="G61" s="444">
        <v>252</v>
      </c>
      <c r="H61" s="458">
        <f>'1461'!H61</f>
        <v>3506</v>
      </c>
      <c r="I61" s="101">
        <f t="shared" si="11"/>
        <v>14059.06</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0</v>
      </c>
      <c r="D63" s="143">
        <v>0</v>
      </c>
      <c r="E63" s="116">
        <f t="shared" si="10"/>
        <v>0</v>
      </c>
      <c r="F63" s="445" t="s">
        <v>14</v>
      </c>
      <c r="G63" s="444">
        <v>251</v>
      </c>
      <c r="H63" s="458">
        <f>'1461'!H63</f>
        <v>835</v>
      </c>
      <c r="I63" s="101">
        <f t="shared" si="11"/>
        <v>0</v>
      </c>
      <c r="N63" s="591"/>
      <c r="O63" s="591"/>
      <c r="P63" s="594"/>
      <c r="Q63" s="594"/>
      <c r="R63" s="40" t="s">
        <v>14</v>
      </c>
      <c r="S63" s="450">
        <v>251</v>
      </c>
      <c r="T63" s="461">
        <f t="shared" si="12"/>
        <v>835</v>
      </c>
      <c r="U63" s="475">
        <f t="shared" si="13"/>
        <v>0</v>
      </c>
      <c r="V63" s="425"/>
    </row>
    <row r="64" spans="1:22" x14ac:dyDescent="0.25">
      <c r="A64" s="561"/>
      <c r="B64" s="561"/>
      <c r="C64" s="143">
        <v>0</v>
      </c>
      <c r="D64" s="143">
        <v>0</v>
      </c>
      <c r="E64" s="116">
        <f t="shared" si="10"/>
        <v>0</v>
      </c>
      <c r="F64" s="445" t="s">
        <v>14</v>
      </c>
      <c r="G64" s="444">
        <v>252</v>
      </c>
      <c r="H64" s="458">
        <f>'1461'!H64</f>
        <v>3168</v>
      </c>
      <c r="I64" s="101">
        <f t="shared" si="11"/>
        <v>0</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95</v>
      </c>
      <c r="D66" s="97">
        <f>SUM(D57:D65)</f>
        <v>98.2</v>
      </c>
      <c r="E66" s="97">
        <f>SUM(E57:E65)</f>
        <v>193.2</v>
      </c>
      <c r="F66" s="562" t="s">
        <v>443</v>
      </c>
      <c r="G66" s="562"/>
      <c r="H66" s="562"/>
      <c r="I66" s="97">
        <f>SUM(I57:I65)</f>
        <v>243136.43</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1047.68</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5.1919999999999996E-3</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1110.326</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4.8890000000000001E-3</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1047.68</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5.6189999999999999E-3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1047.68</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5.1999999999999998E-3</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1047.68</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5.6299999999999996E-3</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5.1999999999999998E-3</v>
      </c>
      <c r="I85" s="101">
        <f>ROUND(F85*H85,2)</f>
        <v>230408.3</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5.1919999999999996E-3</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5.6299999999999996E-3</v>
      </c>
      <c r="I90" s="101">
        <f>ROUND(F90*H90,2)</f>
        <v>91632.08</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5.6189999999999999E-3</v>
      </c>
      <c r="I92" s="101">
        <f t="shared" ref="I92:I96" si="14">ROUND(F92*H92,2)</f>
        <v>56909.45</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4.8890000000000001E-3</v>
      </c>
      <c r="I94" s="101">
        <f t="shared" si="14"/>
        <v>1168459.6299999999</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4.8890000000000001E-3</v>
      </c>
      <c r="I96" s="101">
        <f t="shared" si="14"/>
        <v>0</v>
      </c>
      <c r="N96" s="572" t="s">
        <v>418</v>
      </c>
      <c r="O96" s="573"/>
      <c r="P96" s="573"/>
      <c r="Q96" s="44"/>
      <c r="R96" s="420">
        <f t="shared" si="15"/>
        <v>0</v>
      </c>
      <c r="S96" s="38" t="s">
        <v>6</v>
      </c>
      <c r="T96" s="422">
        <f>T73</f>
        <v>0</v>
      </c>
      <c r="U96" s="474">
        <f>ROUND(R96*T96,2)</f>
        <v>0</v>
      </c>
    </row>
    <row r="97" spans="1:21" x14ac:dyDescent="0.25">
      <c r="A97" s="513"/>
      <c r="B97" s="512"/>
      <c r="C97" s="512"/>
      <c r="D97" s="512"/>
      <c r="E97" s="510"/>
      <c r="F97" s="117"/>
      <c r="G97" s="511"/>
      <c r="H97" s="423"/>
      <c r="I97" s="101"/>
      <c r="N97" s="516"/>
      <c r="O97" s="515"/>
      <c r="P97" s="515"/>
      <c r="Q97" s="44"/>
      <c r="R97" s="518"/>
      <c r="S97" s="517"/>
      <c r="T97" s="422"/>
      <c r="U97" s="478"/>
    </row>
    <row r="98" spans="1:21" x14ac:dyDescent="0.25">
      <c r="A98" s="513" t="s">
        <v>475</v>
      </c>
      <c r="B98" s="512"/>
      <c r="C98" s="512"/>
      <c r="D98" s="512"/>
      <c r="E98" s="510" t="s">
        <v>3</v>
      </c>
      <c r="F98" s="291">
        <v>0</v>
      </c>
      <c r="G98" s="511" t="s">
        <v>6</v>
      </c>
      <c r="H98" s="423">
        <f>H70</f>
        <v>5.1919999999999996E-3</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531.19179999999994</v>
      </c>
      <c r="D104" s="568"/>
      <c r="E104" s="46">
        <f>H8</f>
        <v>1.0442</v>
      </c>
      <c r="F104" s="304">
        <f>'1461'!F104</f>
        <v>947.59</v>
      </c>
      <c r="G104" s="39" t="s">
        <v>12</v>
      </c>
      <c r="H104" s="101">
        <f>ROUND(C104*E104*F104,2)</f>
        <v>525600.19999999995</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579.13420000000008</v>
      </c>
      <c r="D105" s="568"/>
      <c r="E105" s="46">
        <f>H8</f>
        <v>1.0442</v>
      </c>
      <c r="F105" s="304">
        <f>'1461'!F105</f>
        <v>904.74</v>
      </c>
      <c r="G105" s="39" t="s">
        <v>12</v>
      </c>
      <c r="H105" s="101">
        <f>ROUND(C105*E105*F105,2)</f>
        <v>547125.17000000004</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0</v>
      </c>
      <c r="D106" s="568"/>
      <c r="E106" s="46">
        <f>H8</f>
        <v>1.0442</v>
      </c>
      <c r="F106" s="304">
        <f>'1461'!F106</f>
        <v>906.93</v>
      </c>
      <c r="G106" s="39" t="s">
        <v>12</v>
      </c>
      <c r="H106" s="94">
        <f>ROUND(C106*E106*F106,2)</f>
        <v>0</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1110.326</v>
      </c>
      <c r="D107" s="558"/>
      <c r="E107" s="123"/>
      <c r="F107" s="123"/>
      <c r="G107" s="123"/>
      <c r="H107" s="124" t="s">
        <v>100</v>
      </c>
      <c r="I107" s="101">
        <f>IF(A1=75,0,H106+H105+H104)</f>
        <v>1072725.3700000001</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74</v>
      </c>
      <c r="D113" s="143">
        <v>0</v>
      </c>
      <c r="E113" s="116">
        <f>C113</f>
        <v>74</v>
      </c>
      <c r="F113" s="126" t="s">
        <v>30</v>
      </c>
      <c r="G113" s="305">
        <f>'1461'!G113</f>
        <v>548</v>
      </c>
      <c r="I113" s="101">
        <f>ROUND(G113*E113,2)</f>
        <v>40552</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16">
        <f>(C114+D114)/2</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8862838.6000000015</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8509468.9900000021</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8509468.9900000021</v>
      </c>
      <c r="I135" s="94">
        <f>ROUND(IF(E30=0,0,IF(E30&gt;250,-(((250/E30)*H135)*IF(G135="H",0.02,0.05)),IF(G135="H",-0.02*H135,-0.05*H135))),2)</f>
        <v>-40611.01</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8822227.5900000017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-1499797.14-728430.29-728430.29-728430.29-728430.29-730234.96-731395.38-733936.04</f>
        <v>-6609084.6799999997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2213142.910000002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737714.3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129578.37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CCCC"/>
  </sheetPr>
  <dimension ref="A1:V221"/>
  <sheetViews>
    <sheetView topLeftCell="A108" workbookViewId="0">
      <selection activeCell="H72" sqref="H7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117</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42.75</v>
      </c>
      <c r="D14" s="141">
        <v>40.75</v>
      </c>
      <c r="E14" s="187">
        <f>IF(D$30=0,C14*2,C14+D14)</f>
        <v>83.5</v>
      </c>
      <c r="F14" s="639">
        <f>'1461'!F14:G14</f>
        <v>1.1220000000000001</v>
      </c>
      <c r="G14" s="639"/>
      <c r="H14" s="145">
        <f>ROUND(E14*F14,4)</f>
        <v>93.686999999999998</v>
      </c>
      <c r="I14" s="111">
        <f>ROUND(ROUND(ROUND(H14*$C$8,4)*($H$8),2)*(MAX($H$9,1)),2)</f>
        <v>502809.33</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6.5</v>
      </c>
      <c r="D15" s="143">
        <v>6.5</v>
      </c>
      <c r="E15" s="116">
        <f t="shared" ref="E15:E29" si="1">IF(D$30=0,C15*2,C15+D15)</f>
        <v>13</v>
      </c>
      <c r="F15" s="635">
        <f>'1461'!F15:G15</f>
        <v>1.1220000000000001</v>
      </c>
      <c r="G15" s="635"/>
      <c r="H15" s="80">
        <f t="shared" ref="H15:H29" si="2">ROUND(E15*F15,4)</f>
        <v>14.586</v>
      </c>
      <c r="I15" s="101">
        <f t="shared" ref="I15:I29" si="3">ROUND(ROUND(ROUND(H15*$C$8,4)*($H$8),2)*(MAX($H$9,1)),2)</f>
        <v>78281.69</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60.66</v>
      </c>
      <c r="D16" s="143">
        <v>61.79</v>
      </c>
      <c r="E16" s="116">
        <f t="shared" si="1"/>
        <v>122.44999999999999</v>
      </c>
      <c r="F16" s="635">
        <f>'1461'!F16:G16</f>
        <v>1</v>
      </c>
      <c r="G16" s="635"/>
      <c r="H16" s="80">
        <f t="shared" si="2"/>
        <v>122.45</v>
      </c>
      <c r="I16" s="101">
        <f t="shared" si="3"/>
        <v>657177.65</v>
      </c>
      <c r="N16" s="573" t="s">
        <v>22</v>
      </c>
      <c r="O16" s="573"/>
      <c r="P16" s="614">
        <f t="shared" si="0"/>
        <v>0</v>
      </c>
      <c r="Q16" s="614"/>
      <c r="R16" s="619">
        <v>1</v>
      </c>
      <c r="S16" s="619"/>
      <c r="T16" s="95">
        <f t="shared" si="4"/>
        <v>0</v>
      </c>
      <c r="U16" s="474">
        <f t="shared" si="5"/>
        <v>0</v>
      </c>
    </row>
    <row r="17" spans="1:21" x14ac:dyDescent="0.25">
      <c r="A17" s="550" t="s">
        <v>23</v>
      </c>
      <c r="B17" s="550"/>
      <c r="C17" s="143">
        <v>13</v>
      </c>
      <c r="D17" s="143">
        <v>13</v>
      </c>
      <c r="E17" s="116">
        <f t="shared" si="1"/>
        <v>26</v>
      </c>
      <c r="F17" s="635">
        <f>'1461'!F17:G17</f>
        <v>1</v>
      </c>
      <c r="G17" s="635"/>
      <c r="H17" s="80">
        <f t="shared" si="2"/>
        <v>26</v>
      </c>
      <c r="I17" s="101">
        <f t="shared" si="3"/>
        <v>139539.56</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0</v>
      </c>
      <c r="D18" s="143">
        <v>0</v>
      </c>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0</v>
      </c>
      <c r="D19" s="143">
        <v>0</v>
      </c>
      <c r="E19" s="116">
        <f t="shared" si="1"/>
        <v>0</v>
      </c>
      <c r="F19" s="635">
        <f>'1461'!F19:G19</f>
        <v>0.98799999999999999</v>
      </c>
      <c r="G19" s="635"/>
      <c r="H19" s="80">
        <f t="shared" si="2"/>
        <v>0</v>
      </c>
      <c r="I19" s="101">
        <f t="shared" si="3"/>
        <v>0</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2.75</v>
      </c>
      <c r="D26" s="143">
        <v>2.75</v>
      </c>
      <c r="E26" s="116">
        <f t="shared" si="1"/>
        <v>5.5</v>
      </c>
      <c r="F26" s="635">
        <f>'1461'!F26:G26</f>
        <v>1.208</v>
      </c>
      <c r="G26" s="635"/>
      <c r="H26" s="80">
        <f t="shared" si="2"/>
        <v>6.6440000000000001</v>
      </c>
      <c r="I26" s="101">
        <f t="shared" si="3"/>
        <v>35657.72</v>
      </c>
      <c r="N26" s="573" t="s">
        <v>85</v>
      </c>
      <c r="O26" s="573"/>
      <c r="P26" s="614">
        <f t="shared" si="0"/>
        <v>0</v>
      </c>
      <c r="Q26" s="614"/>
      <c r="R26" s="619">
        <v>1</v>
      </c>
      <c r="S26" s="619"/>
      <c r="T26" s="95">
        <f t="shared" si="4"/>
        <v>0</v>
      </c>
      <c r="U26" s="474">
        <f t="shared" si="5"/>
        <v>0</v>
      </c>
    </row>
    <row r="27" spans="1:21" x14ac:dyDescent="0.25">
      <c r="A27" s="550" t="s">
        <v>86</v>
      </c>
      <c r="B27" s="550"/>
      <c r="C27" s="143">
        <v>1.34</v>
      </c>
      <c r="D27" s="143">
        <v>2.64</v>
      </c>
      <c r="E27" s="116">
        <f t="shared" si="1"/>
        <v>3.9800000000000004</v>
      </c>
      <c r="F27" s="635">
        <f>'1461'!F27:G27</f>
        <v>1.208</v>
      </c>
      <c r="G27" s="635"/>
      <c r="H27" s="80">
        <f t="shared" si="2"/>
        <v>4.8078000000000003</v>
      </c>
      <c r="I27" s="101">
        <f t="shared" si="3"/>
        <v>25803.01</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127</v>
      </c>
      <c r="D30" s="94">
        <f>SUM(D14:D29)</f>
        <v>127.42999999999999</v>
      </c>
      <c r="E30" s="94">
        <f>SUM(E14:E29)</f>
        <v>254.42999999999998</v>
      </c>
      <c r="F30" s="554"/>
      <c r="G30" s="554"/>
      <c r="H30" s="99">
        <f>SUM(H14:H29)</f>
        <v>268.1748</v>
      </c>
      <c r="I30" s="94">
        <f>SUM(I14:I29)</f>
        <v>1439268.96</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268.1748</v>
      </c>
      <c r="F46" s="34"/>
      <c r="G46" s="106"/>
      <c r="H46" s="107" t="s">
        <v>98</v>
      </c>
      <c r="I46" s="94">
        <f>SUM(I44,I30)</f>
        <v>1439268.96</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1439268.96</v>
      </c>
      <c r="G51" s="109" t="s">
        <v>6</v>
      </c>
      <c r="H51" s="402">
        <v>4.5199999999999997E-2</v>
      </c>
      <c r="I51" s="101">
        <f>ROUND(F51*H51,2)</f>
        <v>65054.96</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1439268.96</v>
      </c>
      <c r="G52" s="109" t="s">
        <v>6</v>
      </c>
      <c r="H52" s="402">
        <v>1.41E-2</v>
      </c>
      <c r="I52" s="101">
        <f>ROUND(F52*H52,2)</f>
        <v>20293.689999999999</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85348.65</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5.5</v>
      </c>
      <c r="D57" s="143">
        <v>5.5</v>
      </c>
      <c r="E57" s="116">
        <f t="shared" ref="E57:E65" si="10">IF(D$66=0,C57*2,C57+D57)</f>
        <v>11</v>
      </c>
      <c r="F57" s="444" t="s">
        <v>434</v>
      </c>
      <c r="G57" s="444">
        <v>251</v>
      </c>
      <c r="H57" s="458">
        <f>'1461'!H57</f>
        <v>1047</v>
      </c>
      <c r="I57" s="101">
        <f>ROUND(E57*H57,2)</f>
        <v>11517</v>
      </c>
      <c r="N57" s="590" t="s">
        <v>442</v>
      </c>
      <c r="O57" s="590"/>
      <c r="P57" s="593"/>
      <c r="Q57" s="593"/>
      <c r="R57" s="450" t="s">
        <v>434</v>
      </c>
      <c r="S57" s="450">
        <v>251</v>
      </c>
      <c r="T57" s="461">
        <f>H57</f>
        <v>1047</v>
      </c>
      <c r="U57" s="475">
        <f>ROUND(P57*T57,2)</f>
        <v>0</v>
      </c>
      <c r="V57" s="425"/>
    </row>
    <row r="58" spans="1:22" x14ac:dyDescent="0.25">
      <c r="A58" s="561"/>
      <c r="B58" s="561"/>
      <c r="C58" s="143">
        <v>1</v>
      </c>
      <c r="D58" s="143">
        <v>1</v>
      </c>
      <c r="E58" s="116">
        <f t="shared" si="10"/>
        <v>2</v>
      </c>
      <c r="F58" s="444" t="s">
        <v>434</v>
      </c>
      <c r="G58" s="444">
        <v>252</v>
      </c>
      <c r="H58" s="458">
        <f>'1461'!H58</f>
        <v>3380</v>
      </c>
      <c r="I58" s="101">
        <f t="shared" ref="I58:I65" si="11">ROUND(E58*H58,2)</f>
        <v>6760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12.5</v>
      </c>
      <c r="D60" s="143">
        <v>12.5</v>
      </c>
      <c r="E60" s="116">
        <f t="shared" si="10"/>
        <v>25</v>
      </c>
      <c r="F60" s="445" t="s">
        <v>13</v>
      </c>
      <c r="G60" s="444">
        <v>251</v>
      </c>
      <c r="H60" s="458">
        <f>'1461'!H60</f>
        <v>1173</v>
      </c>
      <c r="I60" s="101">
        <f t="shared" si="11"/>
        <v>29325</v>
      </c>
      <c r="N60" s="591"/>
      <c r="O60" s="591"/>
      <c r="P60" s="594"/>
      <c r="Q60" s="594"/>
      <c r="R60" s="40" t="s">
        <v>13</v>
      </c>
      <c r="S60" s="450">
        <v>251</v>
      </c>
      <c r="T60" s="461">
        <f t="shared" si="12"/>
        <v>1173</v>
      </c>
      <c r="U60" s="475">
        <f t="shared" si="13"/>
        <v>0</v>
      </c>
      <c r="V60" s="425"/>
    </row>
    <row r="61" spans="1:22" x14ac:dyDescent="0.25">
      <c r="A61" s="561"/>
      <c r="B61" s="561"/>
      <c r="C61" s="143">
        <v>0.5</v>
      </c>
      <c r="D61" s="143">
        <v>0.5</v>
      </c>
      <c r="E61" s="116">
        <f t="shared" si="10"/>
        <v>1</v>
      </c>
      <c r="F61" s="445" t="s">
        <v>13</v>
      </c>
      <c r="G61" s="444">
        <v>252</v>
      </c>
      <c r="H61" s="458">
        <f>'1461'!H61</f>
        <v>3506</v>
      </c>
      <c r="I61" s="101">
        <f t="shared" si="11"/>
        <v>3506</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0</v>
      </c>
      <c r="D63" s="143">
        <v>0</v>
      </c>
      <c r="E63" s="116">
        <f t="shared" si="10"/>
        <v>0</v>
      </c>
      <c r="F63" s="445" t="s">
        <v>14</v>
      </c>
      <c r="G63" s="444">
        <v>251</v>
      </c>
      <c r="H63" s="458">
        <f>'1461'!H63</f>
        <v>835</v>
      </c>
      <c r="I63" s="101">
        <f t="shared" si="11"/>
        <v>0</v>
      </c>
      <c r="N63" s="591"/>
      <c r="O63" s="591"/>
      <c r="P63" s="594"/>
      <c r="Q63" s="594"/>
      <c r="R63" s="40" t="s">
        <v>14</v>
      </c>
      <c r="S63" s="450">
        <v>251</v>
      </c>
      <c r="T63" s="461">
        <f t="shared" si="12"/>
        <v>835</v>
      </c>
      <c r="U63" s="475">
        <f t="shared" si="13"/>
        <v>0</v>
      </c>
      <c r="V63" s="425"/>
    </row>
    <row r="64" spans="1:22" x14ac:dyDescent="0.25">
      <c r="A64" s="561"/>
      <c r="B64" s="561"/>
      <c r="C64" s="143">
        <v>0</v>
      </c>
      <c r="D64" s="143">
        <v>0</v>
      </c>
      <c r="E64" s="116">
        <f t="shared" si="10"/>
        <v>0</v>
      </c>
      <c r="F64" s="445" t="s">
        <v>14</v>
      </c>
      <c r="G64" s="444">
        <v>252</v>
      </c>
      <c r="H64" s="458">
        <f>'1461'!H64</f>
        <v>3168</v>
      </c>
      <c r="I64" s="101">
        <f t="shared" si="11"/>
        <v>0</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19.5</v>
      </c>
      <c r="D66" s="97">
        <f>SUM(D57:D65)</f>
        <v>19.5</v>
      </c>
      <c r="E66" s="97">
        <f>SUM(E57:E65)</f>
        <v>39</v>
      </c>
      <c r="F66" s="562" t="s">
        <v>443</v>
      </c>
      <c r="G66" s="562"/>
      <c r="H66" s="562"/>
      <c r="I66" s="97">
        <f>SUM(I57:I65)</f>
        <v>51108</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254.42999999999998</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1.261E-3</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268.1748</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1.181E-3</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254.42999999999998</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1.3649999999999999E-3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254.42999999999998</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1.263E-3</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254.42999999999998</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1.3669999999999999E-3</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1.263E-3</v>
      </c>
      <c r="I85" s="101">
        <f>ROUND(F85*H85,2)</f>
        <v>55962.63</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1.261E-3</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1.3669999999999999E-3</v>
      </c>
      <c r="I90" s="101">
        <f>ROUND(F90*H90,2)</f>
        <v>22248.85</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1.3649999999999999E-3</v>
      </c>
      <c r="I92" s="101">
        <f t="shared" ref="I92:I96" si="14">ROUND(F92*H92,2)</f>
        <v>13824.77</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1.181E-3</v>
      </c>
      <c r="I94" s="101">
        <f t="shared" si="14"/>
        <v>282256.25</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1.181E-3</v>
      </c>
      <c r="I96" s="101">
        <f t="shared" si="14"/>
        <v>0</v>
      </c>
      <c r="N96" s="572" t="s">
        <v>418</v>
      </c>
      <c r="O96" s="573"/>
      <c r="P96" s="573"/>
      <c r="Q96" s="44"/>
      <c r="R96" s="420">
        <f t="shared" si="15"/>
        <v>0</v>
      </c>
      <c r="S96" s="38" t="s">
        <v>6</v>
      </c>
      <c r="T96" s="422">
        <f>T73</f>
        <v>0</v>
      </c>
      <c r="U96" s="474">
        <f>ROUND(R96*T96,2)</f>
        <v>0</v>
      </c>
    </row>
    <row r="97" spans="1:21" x14ac:dyDescent="0.25">
      <c r="A97" s="513"/>
      <c r="B97" s="512"/>
      <c r="C97" s="512"/>
      <c r="D97" s="512"/>
      <c r="E97" s="510"/>
      <c r="F97" s="117"/>
      <c r="G97" s="511"/>
      <c r="H97" s="423"/>
      <c r="I97" s="101"/>
      <c r="N97" s="516"/>
      <c r="O97" s="515"/>
      <c r="P97" s="515"/>
      <c r="Q97" s="44"/>
      <c r="R97" s="518"/>
      <c r="S97" s="517"/>
      <c r="T97" s="422"/>
      <c r="U97" s="478"/>
    </row>
    <row r="98" spans="1:21" x14ac:dyDescent="0.25">
      <c r="A98" s="513" t="s">
        <v>475</v>
      </c>
      <c r="B98" s="512"/>
      <c r="C98" s="512"/>
      <c r="D98" s="512"/>
      <c r="E98" s="510" t="s">
        <v>3</v>
      </c>
      <c r="F98" s="291">
        <v>0</v>
      </c>
      <c r="G98" s="511" t="s">
        <v>6</v>
      </c>
      <c r="H98" s="423">
        <f>H70</f>
        <v>1.261E-3</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114.917</v>
      </c>
      <c r="D104" s="568"/>
      <c r="E104" s="46">
        <f>H8</f>
        <v>1.0442</v>
      </c>
      <c r="F104" s="304">
        <f>'1461'!F104</f>
        <v>947.59</v>
      </c>
      <c r="G104" s="39" t="s">
        <v>12</v>
      </c>
      <c r="H104" s="101">
        <f>ROUND(C104*E104*F104,2)</f>
        <v>113707.32</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153.25779999999997</v>
      </c>
      <c r="D105" s="568"/>
      <c r="E105" s="46">
        <f>H8</f>
        <v>1.0442</v>
      </c>
      <c r="F105" s="304">
        <f>'1461'!F105</f>
        <v>904.74</v>
      </c>
      <c r="G105" s="39" t="s">
        <v>12</v>
      </c>
      <c r="H105" s="101">
        <f>ROUND(C105*E105*F105,2)</f>
        <v>144787.17000000001</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0</v>
      </c>
      <c r="D106" s="568"/>
      <c r="E106" s="46">
        <f>H8</f>
        <v>1.0442</v>
      </c>
      <c r="F106" s="304">
        <f>'1461'!F106</f>
        <v>906.93</v>
      </c>
      <c r="G106" s="39" t="s">
        <v>12</v>
      </c>
      <c r="H106" s="94">
        <f>ROUND(C106*E106*F106,2)</f>
        <v>0</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268.1748</v>
      </c>
      <c r="D107" s="558"/>
      <c r="E107" s="123"/>
      <c r="F107" s="123"/>
      <c r="G107" s="123"/>
      <c r="H107" s="124" t="s">
        <v>100</v>
      </c>
      <c r="I107" s="101">
        <f>IF(A1=75,0,H106+H105+H104)</f>
        <v>258494.49000000002</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249</v>
      </c>
      <c r="D113" s="143">
        <v>0</v>
      </c>
      <c r="E113" s="116">
        <f>C113</f>
        <v>249</v>
      </c>
      <c r="F113" s="126" t="s">
        <v>30</v>
      </c>
      <c r="G113" s="305">
        <f>'1461'!G113</f>
        <v>548</v>
      </c>
      <c r="I113" s="101">
        <f>ROUND(G113*E113,2)</f>
        <v>136452</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16">
        <f>(C114+D114)/2</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2259615.9500000002</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2174267.3000000003</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2174267.3000000003</v>
      </c>
      <c r="I135" s="94">
        <f>ROUND(IF(E30=0,0,IF(E30&gt;250,-(((250/E30)*H135)*IF(G135="H",0.02,0.05)),IF(G135="H",-0.02*H135,-0.05*H135))),2)</f>
        <v>-106820.51</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2152795.4400000004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-377598.46-183750.86-183750.85-183750.86-183750.85-169104.09-173819.32-173460.05</f>
        <v>-1628985.3400000003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523810.10000000009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174603.37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1892.86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FFCCCC"/>
  </sheetPr>
  <dimension ref="A1:V221"/>
  <sheetViews>
    <sheetView topLeftCell="A105" workbookViewId="0">
      <selection activeCell="D62" sqref="D6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118</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0</v>
      </c>
      <c r="D14" s="141">
        <v>0</v>
      </c>
      <c r="E14" s="187">
        <f>IF(D$30=0,C14*2,C14+D14)</f>
        <v>0</v>
      </c>
      <c r="F14" s="639">
        <f>'1461'!F14:G14</f>
        <v>1.1220000000000001</v>
      </c>
      <c r="G14" s="639"/>
      <c r="H14" s="145">
        <f>ROUND(E14*F14,4)</f>
        <v>0</v>
      </c>
      <c r="I14" s="111">
        <f>ROUND(ROUND(ROUND(H14*$C$8,4)*($H$8),2)*(MAX($H$9,1)),2)</f>
        <v>0</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0</v>
      </c>
      <c r="D15" s="143">
        <v>0</v>
      </c>
      <c r="E15" s="116">
        <f t="shared" ref="E15:E29" si="1">IF(D$30=0,C15*2,C15+D15)</f>
        <v>0</v>
      </c>
      <c r="F15" s="635">
        <f>'1461'!F15:G15</f>
        <v>1.1220000000000001</v>
      </c>
      <c r="G15" s="635"/>
      <c r="H15" s="80">
        <f t="shared" ref="H15:H29" si="2">ROUND(E15*F15,4)</f>
        <v>0</v>
      </c>
      <c r="I15" s="101">
        <f t="shared" ref="I15:I29" si="3">ROUND(ROUND(ROUND(H15*$C$8,4)*($H$8),2)*(MAX($H$9,1)),2)</f>
        <v>0</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0</v>
      </c>
      <c r="D16" s="143">
        <v>0</v>
      </c>
      <c r="E16" s="116">
        <f t="shared" si="1"/>
        <v>0</v>
      </c>
      <c r="F16" s="635">
        <f>'1461'!F16:G16</f>
        <v>1</v>
      </c>
      <c r="G16" s="635"/>
      <c r="H16" s="80">
        <f t="shared" si="2"/>
        <v>0</v>
      </c>
      <c r="I16" s="101">
        <f t="shared" si="3"/>
        <v>0</v>
      </c>
      <c r="N16" s="573" t="s">
        <v>22</v>
      </c>
      <c r="O16" s="573"/>
      <c r="P16" s="614">
        <f t="shared" si="0"/>
        <v>0</v>
      </c>
      <c r="Q16" s="614"/>
      <c r="R16" s="619">
        <v>1</v>
      </c>
      <c r="S16" s="619"/>
      <c r="T16" s="95">
        <f t="shared" si="4"/>
        <v>0</v>
      </c>
      <c r="U16" s="474">
        <f t="shared" si="5"/>
        <v>0</v>
      </c>
    </row>
    <row r="17" spans="1:21" x14ac:dyDescent="0.25">
      <c r="A17" s="550" t="s">
        <v>23</v>
      </c>
      <c r="B17" s="550"/>
      <c r="C17" s="143">
        <v>0.5</v>
      </c>
      <c r="D17" s="143">
        <v>0.96</v>
      </c>
      <c r="E17" s="116">
        <f t="shared" si="1"/>
        <v>1.46</v>
      </c>
      <c r="F17" s="635">
        <f>'1461'!F17:G17</f>
        <v>1</v>
      </c>
      <c r="G17" s="635"/>
      <c r="H17" s="80">
        <f t="shared" si="2"/>
        <v>1.46</v>
      </c>
      <c r="I17" s="101">
        <f t="shared" si="3"/>
        <v>7835.68</v>
      </c>
      <c r="J17" s="65" t="str">
        <f>IF(ROUND(E17,2)=ROUND(SUM(E60:E62),2)," ","CHECK 4-8 LINES BELOW")</f>
        <v xml:space="preserve"> </v>
      </c>
      <c r="N17" s="573" t="s">
        <v>23</v>
      </c>
      <c r="O17" s="573"/>
      <c r="P17" s="614">
        <f t="shared" si="0"/>
        <v>1.46</v>
      </c>
      <c r="Q17" s="614"/>
      <c r="R17" s="619">
        <v>1</v>
      </c>
      <c r="S17" s="619"/>
      <c r="T17" s="95">
        <f t="shared" si="4"/>
        <v>1.46</v>
      </c>
      <c r="U17" s="474">
        <f t="shared" si="5"/>
        <v>7835.68</v>
      </c>
    </row>
    <row r="18" spans="1:21" x14ac:dyDescent="0.25">
      <c r="A18" s="550" t="s">
        <v>24</v>
      </c>
      <c r="B18" s="550"/>
      <c r="C18" s="143">
        <v>0</v>
      </c>
      <c r="D18" s="143"/>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10.5</v>
      </c>
      <c r="D19" s="143">
        <v>11</v>
      </c>
      <c r="E19" s="116">
        <f t="shared" si="1"/>
        <v>21.5</v>
      </c>
      <c r="F19" s="635">
        <f>'1461'!F19:G19</f>
        <v>0.98799999999999999</v>
      </c>
      <c r="G19" s="635"/>
      <c r="H19" s="80">
        <f t="shared" si="2"/>
        <v>21.242000000000001</v>
      </c>
      <c r="I19" s="101">
        <f t="shared" si="3"/>
        <v>114003.82</v>
      </c>
      <c r="J19" s="65" t="str">
        <f>IF(ROUND(E19,2)=ROUND(SUM(E63:E65),2)," ","CHECK 4-8 LINES BELOW")</f>
        <v xml:space="preserve"> </v>
      </c>
      <c r="N19" s="573" t="s">
        <v>25</v>
      </c>
      <c r="O19" s="573"/>
      <c r="P19" s="614">
        <f t="shared" si="0"/>
        <v>21.5</v>
      </c>
      <c r="Q19" s="614"/>
      <c r="R19" s="619">
        <v>1</v>
      </c>
      <c r="S19" s="619"/>
      <c r="T19" s="95">
        <f t="shared" si="4"/>
        <v>21.5</v>
      </c>
      <c r="U19" s="473">
        <f t="shared" si="5"/>
        <v>115388.48</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0.48</v>
      </c>
      <c r="D25" s="143">
        <v>0.98</v>
      </c>
      <c r="E25" s="116">
        <f t="shared" si="1"/>
        <v>1.46</v>
      </c>
      <c r="F25" s="635">
        <f>'1461'!F25:G25</f>
        <v>5.7069999999999999</v>
      </c>
      <c r="G25" s="635"/>
      <c r="H25" s="80">
        <f t="shared" si="2"/>
        <v>8.3322000000000003</v>
      </c>
      <c r="I25" s="101">
        <f t="shared" si="3"/>
        <v>44718.13</v>
      </c>
      <c r="N25" s="573" t="s">
        <v>84</v>
      </c>
      <c r="O25" s="573"/>
      <c r="P25" s="614">
        <f t="shared" si="0"/>
        <v>1.46</v>
      </c>
      <c r="Q25" s="614"/>
      <c r="R25" s="619">
        <v>1</v>
      </c>
      <c r="S25" s="619"/>
      <c r="T25" s="95">
        <f t="shared" si="4"/>
        <v>1.46</v>
      </c>
      <c r="U25" s="474">
        <f t="shared" si="5"/>
        <v>7835.68</v>
      </c>
    </row>
    <row r="26" spans="1:21" x14ac:dyDescent="0.25">
      <c r="A26" s="550" t="s">
        <v>85</v>
      </c>
      <c r="B26" s="550"/>
      <c r="C26" s="143">
        <v>0</v>
      </c>
      <c r="D26" s="143">
        <v>0</v>
      </c>
      <c r="E26" s="116">
        <f t="shared" si="1"/>
        <v>0</v>
      </c>
      <c r="F26" s="635">
        <f>'1461'!F26:G26</f>
        <v>1.208</v>
      </c>
      <c r="G26" s="635"/>
      <c r="H26" s="80">
        <f t="shared" si="2"/>
        <v>0</v>
      </c>
      <c r="I26" s="101">
        <f t="shared" si="3"/>
        <v>0</v>
      </c>
      <c r="N26" s="573" t="s">
        <v>85</v>
      </c>
      <c r="O26" s="573"/>
      <c r="P26" s="614">
        <f t="shared" si="0"/>
        <v>0</v>
      </c>
      <c r="Q26" s="614"/>
      <c r="R26" s="619">
        <v>1</v>
      </c>
      <c r="S26" s="619"/>
      <c r="T26" s="95">
        <f t="shared" si="4"/>
        <v>0</v>
      </c>
      <c r="U26" s="474">
        <f t="shared" si="5"/>
        <v>0</v>
      </c>
    </row>
    <row r="27" spans="1:21" x14ac:dyDescent="0.25">
      <c r="A27" s="550" t="s">
        <v>86</v>
      </c>
      <c r="B27" s="550"/>
      <c r="C27" s="143">
        <v>0</v>
      </c>
      <c r="D27" s="143">
        <v>0</v>
      </c>
      <c r="E27" s="116">
        <f t="shared" si="1"/>
        <v>0</v>
      </c>
      <c r="F27" s="635">
        <f>'1461'!F27:G27</f>
        <v>1.208</v>
      </c>
      <c r="G27" s="635"/>
      <c r="H27" s="80">
        <f t="shared" si="2"/>
        <v>0</v>
      </c>
      <c r="I27" s="101">
        <f t="shared" si="3"/>
        <v>0</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11.48</v>
      </c>
      <c r="D30" s="94">
        <f>SUM(D14:D29)</f>
        <v>12.940000000000001</v>
      </c>
      <c r="E30" s="94">
        <f>SUM(E14:E29)</f>
        <v>24.42</v>
      </c>
      <c r="F30" s="554"/>
      <c r="G30" s="554"/>
      <c r="H30" s="99">
        <f>SUM(H14:H29)</f>
        <v>31.034200000000002</v>
      </c>
      <c r="I30" s="94">
        <f>SUM(I14:I29)</f>
        <v>166557.63</v>
      </c>
      <c r="N30" s="616" t="s">
        <v>5</v>
      </c>
      <c r="O30" s="616"/>
      <c r="P30" s="617">
        <f>SUM(P14:P29)</f>
        <v>24.42</v>
      </c>
      <c r="Q30" s="617"/>
      <c r="R30" s="589"/>
      <c r="S30" s="589"/>
      <c r="T30" s="100">
        <f>SUM(T14:T29)</f>
        <v>24.42</v>
      </c>
      <c r="U30" s="474">
        <f>SUM(U14:U29)</f>
        <v>131059.84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31.034200000000002</v>
      </c>
      <c r="F46" s="34"/>
      <c r="G46" s="106"/>
      <c r="H46" s="107" t="s">
        <v>98</v>
      </c>
      <c r="I46" s="94">
        <f>SUM(I44,I30)</f>
        <v>166557.63</v>
      </c>
      <c r="N46" s="575" t="s">
        <v>44</v>
      </c>
      <c r="O46" s="575"/>
      <c r="P46" s="575"/>
      <c r="Q46" s="575"/>
      <c r="R46" s="35">
        <f>R44+T30</f>
        <v>24.42</v>
      </c>
      <c r="S46" s="589" t="s">
        <v>42</v>
      </c>
      <c r="T46" s="589"/>
      <c r="U46" s="108">
        <f>SUM(U44,U30)</f>
        <v>131059.84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166557.63</v>
      </c>
      <c r="G51" s="109" t="s">
        <v>6</v>
      </c>
      <c r="H51" s="402">
        <v>4.5199999999999997E-2</v>
      </c>
      <c r="I51" s="101">
        <f>ROUND(F51*H51,2)</f>
        <v>7528.4</v>
      </c>
      <c r="N51" s="407"/>
      <c r="O51" s="408" t="s">
        <v>394</v>
      </c>
      <c r="P51" s="28"/>
      <c r="Q51" s="44" t="s">
        <v>395</v>
      </c>
      <c r="R51" s="409">
        <f>U30</f>
        <v>131059.84</v>
      </c>
      <c r="S51" s="410" t="s">
        <v>6</v>
      </c>
      <c r="T51" s="411">
        <v>4.5199999999999997E-2</v>
      </c>
      <c r="U51" s="403">
        <f>ROUND(R51*T51,2)</f>
        <v>5923.9</v>
      </c>
    </row>
    <row r="52" spans="1:22" x14ac:dyDescent="0.25">
      <c r="A52" s="26"/>
      <c r="B52" s="81" t="s">
        <v>396</v>
      </c>
      <c r="C52" s="26"/>
      <c r="D52" s="26"/>
      <c r="E52" s="43" t="s">
        <v>395</v>
      </c>
      <c r="F52" s="401">
        <f>I46</f>
        <v>166557.63</v>
      </c>
      <c r="G52" s="109" t="s">
        <v>6</v>
      </c>
      <c r="H52" s="402">
        <v>1.41E-2</v>
      </c>
      <c r="I52" s="101">
        <f>ROUND(F52*H52,2)</f>
        <v>2348.46</v>
      </c>
      <c r="N52" s="28"/>
      <c r="O52" s="384" t="s">
        <v>396</v>
      </c>
      <c r="P52" s="28"/>
      <c r="Q52" s="44" t="s">
        <v>395</v>
      </c>
      <c r="R52" s="409">
        <f>U30</f>
        <v>131059.84</v>
      </c>
      <c r="S52" s="410" t="s">
        <v>6</v>
      </c>
      <c r="T52" s="411">
        <v>1.41E-2</v>
      </c>
      <c r="U52" s="412">
        <f>ROUND(R52*T52,2)</f>
        <v>1847.94</v>
      </c>
    </row>
    <row r="53" spans="1:22" x14ac:dyDescent="0.25">
      <c r="A53" s="26"/>
      <c r="B53" s="81" t="s">
        <v>397</v>
      </c>
      <c r="C53" s="26"/>
      <c r="D53" s="26"/>
      <c r="E53" s="43"/>
      <c r="F53" s="401"/>
      <c r="G53" s="109"/>
      <c r="H53" s="402"/>
      <c r="I53" s="97">
        <f>SUM(I51:I52)</f>
        <v>9876.86</v>
      </c>
      <c r="N53" s="28"/>
      <c r="O53" s="384" t="s">
        <v>397</v>
      </c>
      <c r="P53" s="28"/>
      <c r="Q53" s="44"/>
      <c r="R53" s="409"/>
      <c r="S53" s="410"/>
      <c r="T53" s="411"/>
      <c r="U53" s="403">
        <f>SUM(U51:U52)</f>
        <v>7771.84</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0</v>
      </c>
      <c r="D57" s="143">
        <v>0</v>
      </c>
      <c r="E57" s="116">
        <f t="shared" ref="E57:E65" si="10">IF(D$66=0,C57*2,C57+D57)</f>
        <v>0</v>
      </c>
      <c r="F57" s="444" t="s">
        <v>434</v>
      </c>
      <c r="G57" s="444">
        <v>251</v>
      </c>
      <c r="H57" s="458">
        <f>'1461'!H57</f>
        <v>1047</v>
      </c>
      <c r="I57" s="101">
        <f>ROUND(E57*H57,2)</f>
        <v>0</v>
      </c>
      <c r="N57" s="590" t="s">
        <v>442</v>
      </c>
      <c r="O57" s="590"/>
      <c r="P57" s="593"/>
      <c r="Q57" s="593"/>
      <c r="R57" s="450" t="s">
        <v>434</v>
      </c>
      <c r="S57" s="450">
        <v>251</v>
      </c>
      <c r="T57" s="461">
        <f>H57</f>
        <v>1047</v>
      </c>
      <c r="U57" s="475">
        <f>ROUND(P57*T57,2)</f>
        <v>0</v>
      </c>
      <c r="V57" s="425"/>
    </row>
    <row r="58" spans="1:22" x14ac:dyDescent="0.25">
      <c r="A58" s="561"/>
      <c r="B58" s="561"/>
      <c r="C58" s="143">
        <v>0</v>
      </c>
      <c r="D58" s="143">
        <v>0</v>
      </c>
      <c r="E58" s="116">
        <f t="shared" si="10"/>
        <v>0</v>
      </c>
      <c r="F58" s="444" t="s">
        <v>434</v>
      </c>
      <c r="G58" s="444">
        <v>252</v>
      </c>
      <c r="H58" s="458">
        <f>'1461'!H58</f>
        <v>3380</v>
      </c>
      <c r="I58" s="101">
        <f t="shared" ref="I58:I65" si="11">ROUND(E58*H58,2)</f>
        <v>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0</v>
      </c>
      <c r="D60" s="143">
        <v>0</v>
      </c>
      <c r="E60" s="116">
        <f t="shared" si="10"/>
        <v>0</v>
      </c>
      <c r="F60" s="445" t="s">
        <v>13</v>
      </c>
      <c r="G60" s="444">
        <v>251</v>
      </c>
      <c r="H60" s="458">
        <f>'1461'!H60</f>
        <v>1173</v>
      </c>
      <c r="I60" s="101">
        <f t="shared" si="11"/>
        <v>0</v>
      </c>
      <c r="N60" s="591"/>
      <c r="O60" s="591"/>
      <c r="P60" s="594"/>
      <c r="Q60" s="594"/>
      <c r="R60" s="40" t="s">
        <v>13</v>
      </c>
      <c r="S60" s="450">
        <v>251</v>
      </c>
      <c r="T60" s="461">
        <f t="shared" si="12"/>
        <v>1173</v>
      </c>
      <c r="U60" s="475">
        <f t="shared" si="13"/>
        <v>0</v>
      </c>
      <c r="V60" s="425"/>
    </row>
    <row r="61" spans="1:22" x14ac:dyDescent="0.25">
      <c r="A61" s="561"/>
      <c r="B61" s="561"/>
      <c r="C61" s="143">
        <v>0</v>
      </c>
      <c r="D61" s="143">
        <v>0</v>
      </c>
      <c r="E61" s="116">
        <f t="shared" si="10"/>
        <v>0</v>
      </c>
      <c r="F61" s="445" t="s">
        <v>13</v>
      </c>
      <c r="G61" s="444">
        <v>252</v>
      </c>
      <c r="H61" s="458">
        <f>'1461'!H61</f>
        <v>3506</v>
      </c>
      <c r="I61" s="101">
        <f t="shared" si="11"/>
        <v>0</v>
      </c>
      <c r="N61" s="591"/>
      <c r="O61" s="591"/>
      <c r="P61" s="594"/>
      <c r="Q61" s="594"/>
      <c r="R61" s="40" t="s">
        <v>13</v>
      </c>
      <c r="S61" s="450">
        <v>252</v>
      </c>
      <c r="T61" s="461">
        <f t="shared" si="12"/>
        <v>3506</v>
      </c>
      <c r="U61" s="475">
        <f t="shared" si="13"/>
        <v>0</v>
      </c>
      <c r="V61" s="425"/>
    </row>
    <row r="62" spans="1:22" x14ac:dyDescent="0.25">
      <c r="A62" s="561"/>
      <c r="B62" s="561"/>
      <c r="C62" s="143">
        <v>0.5</v>
      </c>
      <c r="D62" s="143">
        <v>0.96</v>
      </c>
      <c r="E62" s="116">
        <f t="shared" si="10"/>
        <v>1.46</v>
      </c>
      <c r="F62" s="445" t="s">
        <v>13</v>
      </c>
      <c r="G62" s="444">
        <v>253</v>
      </c>
      <c r="H62" s="458">
        <f>'1461'!H62</f>
        <v>7023</v>
      </c>
      <c r="I62" s="101">
        <f t="shared" si="11"/>
        <v>10253.58</v>
      </c>
      <c r="N62" s="591"/>
      <c r="O62" s="591"/>
      <c r="P62" s="594"/>
      <c r="Q62" s="594"/>
      <c r="R62" s="40" t="s">
        <v>13</v>
      </c>
      <c r="S62" s="450">
        <v>253</v>
      </c>
      <c r="T62" s="461">
        <f t="shared" si="12"/>
        <v>7023</v>
      </c>
      <c r="U62" s="475">
        <f t="shared" si="13"/>
        <v>0</v>
      </c>
      <c r="V62" s="425"/>
    </row>
    <row r="63" spans="1:22" x14ac:dyDescent="0.25">
      <c r="A63" s="561"/>
      <c r="B63" s="561"/>
      <c r="C63" s="143">
        <v>0</v>
      </c>
      <c r="D63" s="143">
        <v>0</v>
      </c>
      <c r="E63" s="116">
        <f t="shared" si="10"/>
        <v>0</v>
      </c>
      <c r="F63" s="445" t="s">
        <v>14</v>
      </c>
      <c r="G63" s="444">
        <v>251</v>
      </c>
      <c r="H63" s="458">
        <f>'1461'!H63</f>
        <v>835</v>
      </c>
      <c r="I63" s="101">
        <f t="shared" si="11"/>
        <v>0</v>
      </c>
      <c r="N63" s="591"/>
      <c r="O63" s="591"/>
      <c r="P63" s="594"/>
      <c r="Q63" s="594"/>
      <c r="R63" s="40" t="s">
        <v>14</v>
      </c>
      <c r="S63" s="450">
        <v>251</v>
      </c>
      <c r="T63" s="461">
        <f t="shared" si="12"/>
        <v>835</v>
      </c>
      <c r="U63" s="475">
        <f t="shared" si="13"/>
        <v>0</v>
      </c>
      <c r="V63" s="425"/>
    </row>
    <row r="64" spans="1:22" x14ac:dyDescent="0.25">
      <c r="A64" s="561"/>
      <c r="B64" s="561"/>
      <c r="C64" s="143">
        <v>0</v>
      </c>
      <c r="D64" s="143">
        <v>0</v>
      </c>
      <c r="E64" s="116">
        <f t="shared" si="10"/>
        <v>0</v>
      </c>
      <c r="F64" s="445" t="s">
        <v>14</v>
      </c>
      <c r="G64" s="444">
        <v>252</v>
      </c>
      <c r="H64" s="458">
        <f>'1461'!H64</f>
        <v>3168</v>
      </c>
      <c r="I64" s="101">
        <f t="shared" si="11"/>
        <v>0</v>
      </c>
      <c r="N64" s="591"/>
      <c r="O64" s="591"/>
      <c r="P64" s="594"/>
      <c r="Q64" s="594"/>
      <c r="R64" s="40" t="s">
        <v>14</v>
      </c>
      <c r="S64" s="450">
        <v>252</v>
      </c>
      <c r="T64" s="461">
        <f t="shared" si="12"/>
        <v>3168</v>
      </c>
      <c r="U64" s="475">
        <f t="shared" si="13"/>
        <v>0</v>
      </c>
      <c r="V64" s="425"/>
    </row>
    <row r="65" spans="1:22" ht="16.5" thickBot="1" x14ac:dyDescent="0.3">
      <c r="A65" s="561"/>
      <c r="B65" s="561"/>
      <c r="C65" s="143">
        <v>10.5</v>
      </c>
      <c r="D65" s="143">
        <v>11</v>
      </c>
      <c r="E65" s="116">
        <f t="shared" si="10"/>
        <v>21.5</v>
      </c>
      <c r="F65" s="445" t="s">
        <v>14</v>
      </c>
      <c r="G65" s="444">
        <v>253</v>
      </c>
      <c r="H65" s="458">
        <f>'1461'!H65</f>
        <v>6685</v>
      </c>
      <c r="I65" s="101">
        <f t="shared" si="11"/>
        <v>143727.5</v>
      </c>
      <c r="N65" s="591"/>
      <c r="O65" s="591"/>
      <c r="P65" s="595"/>
      <c r="Q65" s="595"/>
      <c r="R65" s="40" t="s">
        <v>14</v>
      </c>
      <c r="S65" s="450">
        <v>253</v>
      </c>
      <c r="T65" s="461">
        <f t="shared" si="12"/>
        <v>6685</v>
      </c>
      <c r="U65" s="476">
        <f t="shared" si="13"/>
        <v>0</v>
      </c>
      <c r="V65" s="425"/>
    </row>
    <row r="66" spans="1:22" ht="16.5" thickBot="1" x14ac:dyDescent="0.3">
      <c r="A66" s="441"/>
      <c r="C66" s="97">
        <f>SUM(C57:C65)</f>
        <v>11</v>
      </c>
      <c r="D66" s="97">
        <f>SUM(D57:D65)</f>
        <v>11.96</v>
      </c>
      <c r="E66" s="97">
        <f>SUM(E57:E65)</f>
        <v>22.96</v>
      </c>
      <c r="F66" s="562" t="s">
        <v>443</v>
      </c>
      <c r="G66" s="562"/>
      <c r="H66" s="562"/>
      <c r="I66" s="97">
        <f>SUM(I57:I65)</f>
        <v>153981.07999999999</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24.42</v>
      </c>
      <c r="D69" s="537" t="s">
        <v>409</v>
      </c>
      <c r="E69" s="537"/>
      <c r="F69" s="537"/>
      <c r="G69" s="537"/>
      <c r="H69" s="301">
        <f>'1461'!H69</f>
        <v>201799.89</v>
      </c>
      <c r="I69" s="113"/>
      <c r="N69" s="572" t="s">
        <v>402</v>
      </c>
      <c r="O69" s="573"/>
      <c r="P69" s="41">
        <f>P30</f>
        <v>24.42</v>
      </c>
      <c r="Q69" s="578" t="s">
        <v>404</v>
      </c>
      <c r="R69" s="579"/>
      <c r="S69" s="579"/>
      <c r="T69" s="576">
        <f>H69</f>
        <v>201799.89</v>
      </c>
      <c r="U69" s="576"/>
    </row>
    <row r="70" spans="1:22" x14ac:dyDescent="0.25">
      <c r="B70" s="69"/>
      <c r="G70" s="42" t="s">
        <v>12</v>
      </c>
      <c r="H70" s="114">
        <f>ROUND(C69/H69,6)</f>
        <v>1.21E-4</v>
      </c>
      <c r="I70" s="115"/>
      <c r="N70" s="573"/>
      <c r="O70" s="573"/>
      <c r="P70" s="573"/>
      <c r="Q70" s="573"/>
      <c r="R70" s="573"/>
      <c r="S70" s="573"/>
      <c r="T70" s="577">
        <f>ROUND(P69/T69,6)</f>
        <v>1.21E-4</v>
      </c>
      <c r="U70" s="577"/>
    </row>
    <row r="71" spans="1:22" x14ac:dyDescent="0.25">
      <c r="A71" s="443" t="s">
        <v>446</v>
      </c>
      <c r="N71" s="454" t="s">
        <v>454</v>
      </c>
      <c r="O71" s="51"/>
      <c r="P71" s="51"/>
      <c r="Q71" s="51"/>
      <c r="R71" s="51"/>
      <c r="S71" s="51"/>
      <c r="T71" s="51"/>
      <c r="U71" s="51"/>
    </row>
    <row r="72" spans="1:22" x14ac:dyDescent="0.25">
      <c r="A72" s="556" t="s">
        <v>399</v>
      </c>
      <c r="B72" s="550"/>
      <c r="C72" s="112">
        <f>H30</f>
        <v>31.034200000000002</v>
      </c>
      <c r="D72" s="537" t="s">
        <v>410</v>
      </c>
      <c r="E72" s="537"/>
      <c r="F72" s="537"/>
      <c r="G72" s="537"/>
      <c r="H72" s="302">
        <f>'1461'!H72</f>
        <v>227090.59</v>
      </c>
      <c r="I72" s="116"/>
      <c r="N72" s="572" t="s">
        <v>403</v>
      </c>
      <c r="O72" s="573"/>
      <c r="P72" s="41">
        <f>T30</f>
        <v>24.42</v>
      </c>
      <c r="Q72" s="578" t="s">
        <v>405</v>
      </c>
      <c r="R72" s="579"/>
      <c r="S72" s="579"/>
      <c r="T72" s="576">
        <f>H72</f>
        <v>227090.59</v>
      </c>
      <c r="U72" s="576"/>
    </row>
    <row r="73" spans="1:22" x14ac:dyDescent="0.25">
      <c r="G73" s="42" t="s">
        <v>12</v>
      </c>
      <c r="H73" s="114">
        <f>ROUND(C72/H72,6)</f>
        <v>1.37E-4</v>
      </c>
      <c r="I73" s="114"/>
      <c r="N73" s="573"/>
      <c r="O73" s="573"/>
      <c r="P73" s="573"/>
      <c r="Q73" s="573"/>
      <c r="R73" s="573"/>
      <c r="S73" s="573"/>
      <c r="T73" s="577">
        <f>ROUND(P72/T72,6)</f>
        <v>1.08E-4</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24.42</v>
      </c>
      <c r="D75" s="529" t="s">
        <v>411</v>
      </c>
      <c r="E75" s="529"/>
      <c r="F75" s="529"/>
      <c r="G75" s="529"/>
      <c r="H75" s="301">
        <f>'1461'!H75</f>
        <v>186438.39</v>
      </c>
      <c r="I75" s="113"/>
      <c r="N75" s="572" t="s">
        <v>401</v>
      </c>
      <c r="O75" s="573"/>
      <c r="P75" s="41">
        <f>P30</f>
        <v>24.42</v>
      </c>
      <c r="Q75" s="608" t="s">
        <v>406</v>
      </c>
      <c r="R75" s="609"/>
      <c r="S75" s="609"/>
      <c r="T75" s="576">
        <f>H75</f>
        <v>186438.39</v>
      </c>
      <c r="U75" s="576"/>
    </row>
    <row r="76" spans="1:22" x14ac:dyDescent="0.25">
      <c r="B76" s="69"/>
      <c r="G76" s="42" t="s">
        <v>12</v>
      </c>
      <c r="H76" s="114">
        <f>ROUND(C75/H75,6)</f>
        <v>1.3100000000000001E-4</v>
      </c>
      <c r="I76" s="115"/>
      <c r="N76" s="573"/>
      <c r="O76" s="573"/>
      <c r="P76" s="573"/>
      <c r="Q76" s="573"/>
      <c r="R76" s="573"/>
      <c r="S76" s="573"/>
      <c r="T76" s="577">
        <f>ROUND(P75/T75,6)</f>
        <v>1.3100000000000001E-4</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24.42</v>
      </c>
      <c r="D78" s="557" t="s">
        <v>412</v>
      </c>
      <c r="E78" s="557"/>
      <c r="F78" s="557"/>
      <c r="G78" s="557"/>
      <c r="H78" s="301">
        <f>'1461'!H78</f>
        <v>201460.8</v>
      </c>
      <c r="I78" s="113"/>
      <c r="N78" s="572" t="s">
        <v>401</v>
      </c>
      <c r="O78" s="573"/>
      <c r="P78" s="41">
        <f>P30</f>
        <v>24.42</v>
      </c>
      <c r="Q78" s="606" t="s">
        <v>407</v>
      </c>
      <c r="R78" s="607"/>
      <c r="S78" s="607"/>
      <c r="T78" s="576">
        <f>H78</f>
        <v>201460.8</v>
      </c>
      <c r="U78" s="576"/>
    </row>
    <row r="79" spans="1:22" x14ac:dyDescent="0.25">
      <c r="B79" s="69"/>
      <c r="G79" s="42" t="s">
        <v>12</v>
      </c>
      <c r="H79" s="114">
        <f>ROUND(C78/H78,6)</f>
        <v>1.21E-4</v>
      </c>
      <c r="I79" s="115"/>
      <c r="N79" s="573"/>
      <c r="O79" s="573"/>
      <c r="P79" s="573"/>
      <c r="Q79" s="573"/>
      <c r="R79" s="573"/>
      <c r="S79" s="573"/>
      <c r="T79" s="577">
        <f>ROUND(P78/T78,6)</f>
        <v>1.21E-4</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24.42</v>
      </c>
      <c r="D81" s="529" t="s">
        <v>413</v>
      </c>
      <c r="E81" s="529"/>
      <c r="F81" s="529"/>
      <c r="G81" s="529"/>
      <c r="H81" s="301">
        <f>'1461'!H81</f>
        <v>186099.3</v>
      </c>
      <c r="I81" s="113"/>
      <c r="N81" s="572" t="s">
        <v>414</v>
      </c>
      <c r="O81" s="573"/>
      <c r="P81" s="41">
        <f>P30</f>
        <v>24.42</v>
      </c>
      <c r="Q81" s="608" t="s">
        <v>415</v>
      </c>
      <c r="R81" s="609"/>
      <c r="S81" s="609"/>
      <c r="T81" s="576">
        <f>H81</f>
        <v>186099.3</v>
      </c>
      <c r="U81" s="576"/>
    </row>
    <row r="82" spans="1:21" x14ac:dyDescent="0.25">
      <c r="B82" s="69"/>
      <c r="G82" s="42" t="s">
        <v>12</v>
      </c>
      <c r="H82" s="114">
        <f>ROUND(C81/H81,6)</f>
        <v>1.3100000000000001E-4</v>
      </c>
      <c r="I82" s="115"/>
      <c r="N82" s="573"/>
      <c r="O82" s="573"/>
      <c r="P82" s="573"/>
      <c r="Q82" s="573"/>
      <c r="R82" s="573"/>
      <c r="S82" s="573"/>
      <c r="T82" s="577">
        <f>ROUND(P81/T81,6)</f>
        <v>1.3100000000000001E-4</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1.21E-4</v>
      </c>
      <c r="I85" s="101">
        <f>ROUND(F85*H85,2)</f>
        <v>5361.42</v>
      </c>
      <c r="N85" s="454" t="s">
        <v>450</v>
      </c>
      <c r="O85" s="51"/>
      <c r="P85" s="51"/>
      <c r="Q85" s="44"/>
      <c r="R85" s="420">
        <f>F85</f>
        <v>44309288</v>
      </c>
      <c r="S85" s="38" t="s">
        <v>6</v>
      </c>
      <c r="T85" s="422">
        <f>T79</f>
        <v>1.21E-4</v>
      </c>
      <c r="U85" s="474">
        <f>ROUND(R85*T85,2)</f>
        <v>5361.42</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1.21E-4</v>
      </c>
      <c r="I88" s="101">
        <f>ROUND(F88*H88,2)</f>
        <v>0</v>
      </c>
      <c r="N88" s="610" t="s">
        <v>99</v>
      </c>
      <c r="O88" s="573"/>
      <c r="P88" s="573"/>
      <c r="Q88" s="44"/>
      <c r="R88" s="420">
        <f>F88</f>
        <v>0</v>
      </c>
      <c r="S88" s="38" t="s">
        <v>6</v>
      </c>
      <c r="T88" s="422">
        <f>T70</f>
        <v>1.21E-4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1.3100000000000001E-4</v>
      </c>
      <c r="I90" s="101">
        <f>ROUND(F90*H90,2)</f>
        <v>2132.11</v>
      </c>
      <c r="N90" s="454" t="s">
        <v>451</v>
      </c>
      <c r="O90" s="51"/>
      <c r="P90" s="51"/>
      <c r="Q90" s="44"/>
      <c r="R90" s="420">
        <f>F90</f>
        <v>16275680</v>
      </c>
      <c r="S90" s="38" t="s">
        <v>6</v>
      </c>
      <c r="T90" s="422">
        <f>T82</f>
        <v>1.3100000000000001E-4</v>
      </c>
      <c r="U90" s="474">
        <f>ROUND(R90*T90,2)</f>
        <v>2132.11</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1.3100000000000001E-4</v>
      </c>
      <c r="I92" s="101">
        <f t="shared" ref="I92:I96" si="14">ROUND(F92*H92,2)</f>
        <v>1326.77</v>
      </c>
      <c r="N92" s="454" t="s">
        <v>452</v>
      </c>
      <c r="O92" s="51"/>
      <c r="P92" s="51"/>
      <c r="Q92" s="44"/>
      <c r="R92" s="420">
        <f t="shared" ref="R92:R96" si="15">F92</f>
        <v>10128039</v>
      </c>
      <c r="S92" s="38" t="s">
        <v>6</v>
      </c>
      <c r="T92" s="422">
        <f>T76</f>
        <v>1.3100000000000001E-4</v>
      </c>
      <c r="U92" s="474">
        <f>ROUND(R92*T92,2)</f>
        <v>1326.77</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1.37E-4</v>
      </c>
      <c r="I94" s="101">
        <f t="shared" si="14"/>
        <v>32742.68</v>
      </c>
      <c r="N94" s="573" t="s">
        <v>417</v>
      </c>
      <c r="O94" s="573"/>
      <c r="P94" s="573"/>
      <c r="Q94" s="44"/>
      <c r="R94" s="420">
        <f t="shared" si="15"/>
        <v>238997674</v>
      </c>
      <c r="S94" s="38" t="s">
        <v>6</v>
      </c>
      <c r="T94" s="422">
        <f>T73</f>
        <v>1.08E-4</v>
      </c>
      <c r="U94" s="474">
        <f>ROUND(R94*T94,2)</f>
        <v>25811.75</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1.37E-4</v>
      </c>
      <c r="I96" s="101">
        <f t="shared" si="14"/>
        <v>0</v>
      </c>
      <c r="N96" s="572" t="s">
        <v>418</v>
      </c>
      <c r="O96" s="573"/>
      <c r="P96" s="573"/>
      <c r="Q96" s="44"/>
      <c r="R96" s="420">
        <f t="shared" si="15"/>
        <v>0</v>
      </c>
      <c r="S96" s="38" t="s">
        <v>6</v>
      </c>
      <c r="T96" s="422">
        <f>T73</f>
        <v>1.08E-4</v>
      </c>
      <c r="U96" s="474">
        <f>ROUND(R96*T96,2)</f>
        <v>0</v>
      </c>
    </row>
    <row r="97" spans="1:21" x14ac:dyDescent="0.25">
      <c r="A97" s="513"/>
      <c r="B97" s="512"/>
      <c r="C97" s="512"/>
      <c r="D97" s="512"/>
      <c r="E97" s="510"/>
      <c r="F97" s="117"/>
      <c r="G97" s="511"/>
      <c r="H97" s="423"/>
      <c r="I97" s="101"/>
      <c r="N97" s="516"/>
      <c r="O97" s="515"/>
      <c r="P97" s="515"/>
      <c r="Q97" s="44"/>
      <c r="R97" s="518"/>
      <c r="S97" s="517"/>
      <c r="T97" s="422"/>
      <c r="U97" s="478"/>
    </row>
    <row r="98" spans="1:21" x14ac:dyDescent="0.25">
      <c r="A98" s="513" t="s">
        <v>475</v>
      </c>
      <c r="B98" s="512"/>
      <c r="C98" s="512"/>
      <c r="D98" s="512"/>
      <c r="E98" s="510" t="s">
        <v>3</v>
      </c>
      <c r="F98" s="291">
        <v>0</v>
      </c>
      <c r="G98" s="511" t="s">
        <v>6</v>
      </c>
      <c r="H98" s="423">
        <f>H70</f>
        <v>1.21E-4</v>
      </c>
      <c r="I98" s="101">
        <f t="shared" ref="I98" si="16">ROUND(F98*H98,2)</f>
        <v>0</v>
      </c>
      <c r="N98" s="516" t="s">
        <v>475</v>
      </c>
      <c r="O98" s="516"/>
      <c r="P98" s="516"/>
      <c r="Q98" s="44"/>
      <c r="R98" s="519">
        <f>F98</f>
        <v>0</v>
      </c>
      <c r="S98" s="517" t="s">
        <v>6</v>
      </c>
      <c r="T98" s="422">
        <f>T70</f>
        <v>1.21E-4</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0</v>
      </c>
      <c r="D104" s="568"/>
      <c r="E104" s="46">
        <f>H8</f>
        <v>1.0442</v>
      </c>
      <c r="F104" s="304">
        <f>'1461'!F104</f>
        <v>947.59</v>
      </c>
      <c r="G104" s="39" t="s">
        <v>12</v>
      </c>
      <c r="H104" s="101">
        <f>ROUND(C104*E104*F104,2)</f>
        <v>0</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1.46</v>
      </c>
      <c r="D105" s="568"/>
      <c r="E105" s="46">
        <f>H8</f>
        <v>1.0442</v>
      </c>
      <c r="F105" s="304">
        <f>'1461'!F105</f>
        <v>904.74</v>
      </c>
      <c r="G105" s="39" t="s">
        <v>12</v>
      </c>
      <c r="H105" s="101">
        <f>ROUND(C105*E105*F105,2)</f>
        <v>1379.31</v>
      </c>
      <c r="N105" s="50" t="s">
        <v>13</v>
      </c>
      <c r="O105" s="47">
        <f>T16+T17+T21+T24+T27</f>
        <v>1.46</v>
      </c>
      <c r="P105" s="583">
        <f>T8</f>
        <v>1.0442</v>
      </c>
      <c r="Q105" s="583"/>
      <c r="R105" s="48">
        <f>F105</f>
        <v>904.74</v>
      </c>
      <c r="S105" s="40" t="s">
        <v>12</v>
      </c>
      <c r="T105" s="480">
        <f>ROUND(O105*P105*R105,2)</f>
        <v>1379.31</v>
      </c>
      <c r="U105" s="51"/>
    </row>
    <row r="106" spans="1:21" ht="16.5" thickBot="1" x14ac:dyDescent="0.3">
      <c r="A106" s="52"/>
      <c r="B106" s="52" t="s">
        <v>103</v>
      </c>
      <c r="C106" s="568">
        <f>H18+H19+H22+H25+H28+H29</f>
        <v>29.574200000000001</v>
      </c>
      <c r="D106" s="568"/>
      <c r="E106" s="46">
        <f>H8</f>
        <v>1.0442</v>
      </c>
      <c r="F106" s="304">
        <f>'1461'!F106</f>
        <v>906.93</v>
      </c>
      <c r="G106" s="39" t="s">
        <v>12</v>
      </c>
      <c r="H106" s="94">
        <f>ROUND(C106*E106*F106,2)</f>
        <v>28007.25</v>
      </c>
      <c r="N106" s="53" t="s">
        <v>14</v>
      </c>
      <c r="O106" s="54">
        <f>T18+T19+T22+T25+T28+T29</f>
        <v>22.96</v>
      </c>
      <c r="P106" s="583">
        <f>T8</f>
        <v>1.0442</v>
      </c>
      <c r="Q106" s="583"/>
      <c r="R106" s="48">
        <f>F106</f>
        <v>906.93</v>
      </c>
      <c r="S106" s="40" t="s">
        <v>12</v>
      </c>
      <c r="T106" s="480">
        <f>ROUND(O106*P106*R106,2)</f>
        <v>21743.49</v>
      </c>
      <c r="U106" s="51"/>
    </row>
    <row r="107" spans="1:21" ht="16.5" thickBot="1" x14ac:dyDescent="0.3">
      <c r="A107" s="55"/>
      <c r="B107" s="122" t="s">
        <v>102</v>
      </c>
      <c r="C107" s="558">
        <f>SUM(C104:C106)</f>
        <v>31.034200000000002</v>
      </c>
      <c r="D107" s="558"/>
      <c r="E107" s="123"/>
      <c r="F107" s="123"/>
      <c r="G107" s="123"/>
      <c r="H107" s="124" t="s">
        <v>100</v>
      </c>
      <c r="I107" s="101">
        <f>IF(A1=75,0,H106+H105+H104)</f>
        <v>29386.560000000001</v>
      </c>
      <c r="N107" s="56" t="s">
        <v>89</v>
      </c>
      <c r="O107" s="57">
        <f>SUM(O104:O106)</f>
        <v>24.42</v>
      </c>
      <c r="P107" s="584" t="s">
        <v>16</v>
      </c>
      <c r="Q107" s="585"/>
      <c r="R107" s="585"/>
      <c r="S107" s="585"/>
      <c r="T107" s="585"/>
      <c r="U107" s="474">
        <f>IF(N1=75,0,T106+T105+T104)</f>
        <v>23122.800000000003</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21</v>
      </c>
      <c r="D113" s="143">
        <v>0</v>
      </c>
      <c r="E113" s="116">
        <f>C113</f>
        <v>21</v>
      </c>
      <c r="F113" s="126" t="s">
        <v>30</v>
      </c>
      <c r="G113" s="305">
        <f>'1461'!G113</f>
        <v>548</v>
      </c>
      <c r="I113" s="101">
        <f>ROUND(G113*E113,2)</f>
        <v>11508</v>
      </c>
      <c r="N113" s="602" t="s">
        <v>52</v>
      </c>
      <c r="O113" s="602"/>
      <c r="P113" s="582">
        <f>IF(H133=1,E113,0)</f>
        <v>21</v>
      </c>
      <c r="Q113" s="582"/>
      <c r="R113" s="582"/>
      <c r="S113" s="83" t="s">
        <v>30</v>
      </c>
      <c r="T113" s="58">
        <f>G113</f>
        <v>548</v>
      </c>
      <c r="U113" s="474">
        <f>ROUND(T113*P113,2)</f>
        <v>11508</v>
      </c>
    </row>
    <row r="114" spans="1:21" x14ac:dyDescent="0.25">
      <c r="A114" s="529" t="s">
        <v>376</v>
      </c>
      <c r="B114" s="530"/>
      <c r="C114" s="143">
        <v>0</v>
      </c>
      <c r="D114" s="143">
        <v>0</v>
      </c>
      <c r="E114" s="116">
        <f>(C114+D114)/2</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402996.24999999994</v>
      </c>
      <c r="N128" s="454"/>
      <c r="O128" s="453"/>
      <c r="P128" s="453"/>
      <c r="Q128" s="307"/>
      <c r="R128" s="307"/>
      <c r="S128" s="307"/>
      <c r="T128" s="307"/>
      <c r="U128" s="481">
        <f>SUM(U30,U85,U88,U90,U92,U94,U96,U107,U113,U114,U124,U126)</f>
        <v>200322.69</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393119.38999999996</v>
      </c>
      <c r="N130" s="573" t="s">
        <v>429</v>
      </c>
      <c r="O130" s="573"/>
      <c r="P130" s="573"/>
      <c r="Q130" s="573"/>
      <c r="R130" s="573"/>
      <c r="S130" s="573"/>
      <c r="T130" s="573"/>
      <c r="U130" s="132">
        <f>U128-U53</f>
        <v>192550.85</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v>1</v>
      </c>
      <c r="I133" s="116">
        <f>U130</f>
        <v>192550.85</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192550.85</v>
      </c>
      <c r="I135" s="94">
        <f>ROUND(IF(E30=0,0,IF(E30&gt;250,-(((250/E30)*H135)*IF(G135="H",0.02,0.05)),IF(G135="H",-0.02*H135,-0.05*H135))),2)</f>
        <v>-9627.5400000000009</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393368.70999999996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-66241.6-39479.72-39479.72-39479.72-39479.72-22223.53-22492.77-22460.67</f>
        <v>-291337.45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102031.25999999995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34010.42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N73:S73"/>
    <mergeCell ref="T73:U73"/>
    <mergeCell ref="N76:S76"/>
    <mergeCell ref="T76:U76"/>
    <mergeCell ref="A78:B78"/>
    <mergeCell ref="D78:G78"/>
    <mergeCell ref="N78:O78"/>
    <mergeCell ref="Q78:S78"/>
    <mergeCell ref="T78:U78"/>
    <mergeCell ref="N79:S79"/>
    <mergeCell ref="T79:U79"/>
    <mergeCell ref="A81:B81"/>
    <mergeCell ref="D81:G81"/>
    <mergeCell ref="N81:O81"/>
    <mergeCell ref="Q81:S81"/>
    <mergeCell ref="T81:U81"/>
    <mergeCell ref="N82:S82"/>
    <mergeCell ref="A87:C87"/>
    <mergeCell ref="N87:P87"/>
    <mergeCell ref="T82:U8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3:B13"/>
    <mergeCell ref="A15:B15"/>
    <mergeCell ref="F15:G15"/>
    <mergeCell ref="N15:O15"/>
    <mergeCell ref="P15:Q15"/>
    <mergeCell ref="R15:S15"/>
    <mergeCell ref="B1:I1"/>
    <mergeCell ref="O1:U1"/>
    <mergeCell ref="N2:U2"/>
    <mergeCell ref="N3:U3"/>
    <mergeCell ref="A4:B4"/>
    <mergeCell ref="C4:E4"/>
    <mergeCell ref="N4:O4"/>
    <mergeCell ref="P4:Q4"/>
    <mergeCell ref="A7:I7"/>
    <mergeCell ref="N7:U7"/>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FFCCCC"/>
  </sheetPr>
  <dimension ref="A1:V221"/>
  <sheetViews>
    <sheetView topLeftCell="A108" workbookViewId="0">
      <selection activeCell="D62" sqref="D6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119</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38.71</v>
      </c>
      <c r="D14" s="141">
        <v>34.619999999999997</v>
      </c>
      <c r="E14" s="187">
        <f>IF(D$30=0,C14*2,C14+D14)</f>
        <v>73.33</v>
      </c>
      <c r="F14" s="639">
        <f>'1461'!F14:G14</f>
        <v>1.1220000000000001</v>
      </c>
      <c r="G14" s="639"/>
      <c r="H14" s="145">
        <f>ROUND(E14*F14,4)</f>
        <v>82.276300000000006</v>
      </c>
      <c r="I14" s="111">
        <f>ROUND(ROUND(ROUND(H14*$C$8,4)*($H$8),2)*(MAX($H$9,1)),2)</f>
        <v>441569.17</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4.5</v>
      </c>
      <c r="D15" s="143">
        <v>4.5</v>
      </c>
      <c r="E15" s="116">
        <f t="shared" ref="E15:E29" si="1">IF(D$30=0,C15*2,C15+D15)</f>
        <v>9</v>
      </c>
      <c r="F15" s="635">
        <f>'1461'!F15:G15</f>
        <v>1.1220000000000001</v>
      </c>
      <c r="G15" s="635"/>
      <c r="H15" s="80">
        <f t="shared" ref="H15:H29" si="2">ROUND(E15*F15,4)</f>
        <v>10.098000000000001</v>
      </c>
      <c r="I15" s="101">
        <f t="shared" ref="I15:I29" si="3">ROUND(ROUND(ROUND(H15*$C$8,4)*($H$8),2)*(MAX($H$9,1)),2)</f>
        <v>54195.02</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18.63</v>
      </c>
      <c r="D16" s="143">
        <v>18.68</v>
      </c>
      <c r="E16" s="116">
        <f t="shared" si="1"/>
        <v>37.31</v>
      </c>
      <c r="F16" s="635">
        <f>'1461'!F16:G16</f>
        <v>1</v>
      </c>
      <c r="G16" s="635"/>
      <c r="H16" s="80">
        <f t="shared" si="2"/>
        <v>37.31</v>
      </c>
      <c r="I16" s="101">
        <f t="shared" si="3"/>
        <v>200239.27</v>
      </c>
      <c r="N16" s="573" t="s">
        <v>22</v>
      </c>
      <c r="O16" s="573"/>
      <c r="P16" s="614">
        <f t="shared" si="0"/>
        <v>0</v>
      </c>
      <c r="Q16" s="614"/>
      <c r="R16" s="619">
        <v>1</v>
      </c>
      <c r="S16" s="619"/>
      <c r="T16" s="95">
        <f t="shared" si="4"/>
        <v>0</v>
      </c>
      <c r="U16" s="474">
        <f t="shared" si="5"/>
        <v>0</v>
      </c>
    </row>
    <row r="17" spans="1:21" x14ac:dyDescent="0.25">
      <c r="A17" s="550" t="s">
        <v>23</v>
      </c>
      <c r="B17" s="550"/>
      <c r="C17" s="143">
        <v>3.5</v>
      </c>
      <c r="D17" s="143">
        <v>3.5</v>
      </c>
      <c r="E17" s="116">
        <f t="shared" si="1"/>
        <v>7</v>
      </c>
      <c r="F17" s="635">
        <f>'1461'!F17:G17</f>
        <v>1</v>
      </c>
      <c r="G17" s="635"/>
      <c r="H17" s="80">
        <f t="shared" si="2"/>
        <v>7</v>
      </c>
      <c r="I17" s="101">
        <f t="shared" si="3"/>
        <v>37568.339999999997</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0</v>
      </c>
      <c r="D18" s="143">
        <v>0</v>
      </c>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0</v>
      </c>
      <c r="D19" s="143">
        <v>0</v>
      </c>
      <c r="E19" s="116">
        <f t="shared" si="1"/>
        <v>0</v>
      </c>
      <c r="F19" s="635">
        <f>'1461'!F19:G19</f>
        <v>0.98799999999999999</v>
      </c>
      <c r="G19" s="635"/>
      <c r="H19" s="80">
        <f t="shared" si="2"/>
        <v>0</v>
      </c>
      <c r="I19" s="101">
        <f t="shared" si="3"/>
        <v>0</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29.79</v>
      </c>
      <c r="D26" s="143">
        <v>31.24</v>
      </c>
      <c r="E26" s="116">
        <f t="shared" si="1"/>
        <v>61.03</v>
      </c>
      <c r="F26" s="635">
        <f>'1461'!F26:G26</f>
        <v>1.208</v>
      </c>
      <c r="G26" s="635"/>
      <c r="H26" s="80">
        <f t="shared" si="2"/>
        <v>73.724199999999996</v>
      </c>
      <c r="I26" s="101">
        <f t="shared" si="3"/>
        <v>395670.86</v>
      </c>
      <c r="N26" s="573" t="s">
        <v>85</v>
      </c>
      <c r="O26" s="573"/>
      <c r="P26" s="614">
        <f t="shared" si="0"/>
        <v>0</v>
      </c>
      <c r="Q26" s="614"/>
      <c r="R26" s="619">
        <v>1</v>
      </c>
      <c r="S26" s="619"/>
      <c r="T26" s="95">
        <f t="shared" si="4"/>
        <v>0</v>
      </c>
      <c r="U26" s="474">
        <f t="shared" si="5"/>
        <v>0</v>
      </c>
    </row>
    <row r="27" spans="1:21" x14ac:dyDescent="0.25">
      <c r="A27" s="550" t="s">
        <v>86</v>
      </c>
      <c r="B27" s="550"/>
      <c r="C27" s="143">
        <v>6.37</v>
      </c>
      <c r="D27" s="143">
        <v>6.86</v>
      </c>
      <c r="E27" s="116">
        <f t="shared" si="1"/>
        <v>13.23</v>
      </c>
      <c r="F27" s="635">
        <f>'1461'!F27:G27</f>
        <v>1.208</v>
      </c>
      <c r="G27" s="635"/>
      <c r="H27" s="80">
        <f t="shared" si="2"/>
        <v>15.9818</v>
      </c>
      <c r="I27" s="101">
        <f t="shared" si="3"/>
        <v>85772.82</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101.5</v>
      </c>
      <c r="D30" s="94">
        <f>SUM(D14:D29)</f>
        <v>99.399999999999991</v>
      </c>
      <c r="E30" s="94">
        <f>SUM(E14:E29)</f>
        <v>200.9</v>
      </c>
      <c r="F30" s="554"/>
      <c r="G30" s="554"/>
      <c r="H30" s="99">
        <f>SUM(H14:H29)</f>
        <v>226.3903</v>
      </c>
      <c r="I30" s="94">
        <f>SUM(I14:I29)</f>
        <v>1215015.48</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226.3903</v>
      </c>
      <c r="F46" s="34"/>
      <c r="G46" s="106"/>
      <c r="H46" s="107" t="s">
        <v>98</v>
      </c>
      <c r="I46" s="94">
        <f>SUM(I44,I30)</f>
        <v>1215015.48</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1215015.48</v>
      </c>
      <c r="G51" s="109" t="s">
        <v>6</v>
      </c>
      <c r="H51" s="402">
        <v>4.5199999999999997E-2</v>
      </c>
      <c r="I51" s="101">
        <f>ROUND(F51*H51,2)</f>
        <v>54918.7</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1215015.48</v>
      </c>
      <c r="G52" s="109" t="s">
        <v>6</v>
      </c>
      <c r="H52" s="402">
        <v>1.41E-2</v>
      </c>
      <c r="I52" s="101">
        <f>ROUND(F52*H52,2)</f>
        <v>17131.72</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72050.42</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4</v>
      </c>
      <c r="D57" s="143">
        <v>4</v>
      </c>
      <c r="E57" s="116">
        <f t="shared" ref="E57:E65" si="10">IF(D$66=0,C57*2,C57+D57)</f>
        <v>8</v>
      </c>
      <c r="F57" s="444" t="s">
        <v>434</v>
      </c>
      <c r="G57" s="444">
        <v>251</v>
      </c>
      <c r="H57" s="458">
        <f>'1461'!H57</f>
        <v>1047</v>
      </c>
      <c r="I57" s="101">
        <f>ROUND(E57*H57,2)</f>
        <v>8376</v>
      </c>
      <c r="N57" s="590" t="s">
        <v>442</v>
      </c>
      <c r="O57" s="590"/>
      <c r="P57" s="593"/>
      <c r="Q57" s="593"/>
      <c r="R57" s="450" t="s">
        <v>434</v>
      </c>
      <c r="S57" s="450">
        <v>251</v>
      </c>
      <c r="T57" s="461">
        <f>H57</f>
        <v>1047</v>
      </c>
      <c r="U57" s="475">
        <f>ROUND(P57*T57,2)</f>
        <v>0</v>
      </c>
      <c r="V57" s="425"/>
    </row>
    <row r="58" spans="1:22" x14ac:dyDescent="0.25">
      <c r="A58" s="561"/>
      <c r="B58" s="561"/>
      <c r="C58" s="143">
        <v>0.5</v>
      </c>
      <c r="D58" s="143">
        <v>0.5</v>
      </c>
      <c r="E58" s="116">
        <f t="shared" si="10"/>
        <v>1</v>
      </c>
      <c r="F58" s="444" t="s">
        <v>434</v>
      </c>
      <c r="G58" s="444">
        <v>252</v>
      </c>
      <c r="H58" s="458">
        <f>'1461'!H58</f>
        <v>3380</v>
      </c>
      <c r="I58" s="101">
        <f t="shared" ref="I58:I65" si="11">ROUND(E58*H58,2)</f>
        <v>3380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3.5</v>
      </c>
      <c r="D60" s="143">
        <v>3.5</v>
      </c>
      <c r="E60" s="116">
        <f t="shared" si="10"/>
        <v>7</v>
      </c>
      <c r="F60" s="445" t="s">
        <v>13</v>
      </c>
      <c r="G60" s="444">
        <v>251</v>
      </c>
      <c r="H60" s="458">
        <f>'1461'!H60</f>
        <v>1173</v>
      </c>
      <c r="I60" s="101">
        <f t="shared" si="11"/>
        <v>8211</v>
      </c>
      <c r="N60" s="591"/>
      <c r="O60" s="591"/>
      <c r="P60" s="594"/>
      <c r="Q60" s="594"/>
      <c r="R60" s="40" t="s">
        <v>13</v>
      </c>
      <c r="S60" s="450">
        <v>251</v>
      </c>
      <c r="T60" s="461">
        <f t="shared" si="12"/>
        <v>1173</v>
      </c>
      <c r="U60" s="475">
        <f t="shared" si="13"/>
        <v>0</v>
      </c>
      <c r="V60" s="425"/>
    </row>
    <row r="61" spans="1:22" x14ac:dyDescent="0.25">
      <c r="A61" s="561"/>
      <c r="B61" s="561"/>
      <c r="C61" s="143">
        <v>0</v>
      </c>
      <c r="D61" s="143">
        <v>0</v>
      </c>
      <c r="E61" s="116">
        <f t="shared" si="10"/>
        <v>0</v>
      </c>
      <c r="F61" s="445" t="s">
        <v>13</v>
      </c>
      <c r="G61" s="444">
        <v>252</v>
      </c>
      <c r="H61" s="458">
        <f>'1461'!H61</f>
        <v>3506</v>
      </c>
      <c r="I61" s="101">
        <f t="shared" si="11"/>
        <v>0</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0</v>
      </c>
      <c r="D63" s="143">
        <v>0</v>
      </c>
      <c r="E63" s="116">
        <f t="shared" si="10"/>
        <v>0</v>
      </c>
      <c r="F63" s="445" t="s">
        <v>14</v>
      </c>
      <c r="G63" s="444">
        <v>251</v>
      </c>
      <c r="H63" s="458">
        <f>'1461'!H63</f>
        <v>835</v>
      </c>
      <c r="I63" s="101">
        <f t="shared" si="11"/>
        <v>0</v>
      </c>
      <c r="N63" s="591"/>
      <c r="O63" s="591"/>
      <c r="P63" s="594"/>
      <c r="Q63" s="594"/>
      <c r="R63" s="40" t="s">
        <v>14</v>
      </c>
      <c r="S63" s="450">
        <v>251</v>
      </c>
      <c r="T63" s="461">
        <f t="shared" si="12"/>
        <v>835</v>
      </c>
      <c r="U63" s="475">
        <f t="shared" si="13"/>
        <v>0</v>
      </c>
      <c r="V63" s="425"/>
    </row>
    <row r="64" spans="1:22" x14ac:dyDescent="0.25">
      <c r="A64" s="561"/>
      <c r="B64" s="561"/>
      <c r="C64" s="143">
        <v>0</v>
      </c>
      <c r="D64" s="143">
        <v>0</v>
      </c>
      <c r="E64" s="116">
        <f t="shared" si="10"/>
        <v>0</v>
      </c>
      <c r="F64" s="445" t="s">
        <v>14</v>
      </c>
      <c r="G64" s="444">
        <v>252</v>
      </c>
      <c r="H64" s="458">
        <f>'1461'!H64</f>
        <v>3168</v>
      </c>
      <c r="I64" s="101">
        <f t="shared" si="11"/>
        <v>0</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8</v>
      </c>
      <c r="D66" s="97">
        <f>SUM(D57:D65)</f>
        <v>8</v>
      </c>
      <c r="E66" s="97">
        <f>SUM(E57:E65)</f>
        <v>16</v>
      </c>
      <c r="F66" s="562" t="s">
        <v>443</v>
      </c>
      <c r="G66" s="562"/>
      <c r="H66" s="562"/>
      <c r="I66" s="97">
        <f>SUM(I57:I65)</f>
        <v>19967</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200.9</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9.9599999999999992E-4</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226.3903</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9.9700000000000006E-4</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200.9</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1.078E-3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200.9</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9.9700000000000006E-4</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200.9</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1.08E-3</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9.9700000000000006E-4</v>
      </c>
      <c r="I85" s="101">
        <f>ROUND(F85*H85,2)</f>
        <v>44176.36</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9.9599999999999992E-4</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1.08E-3</v>
      </c>
      <c r="I90" s="101">
        <f>ROUND(F90*H90,2)</f>
        <v>17577.73</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1.078E-3</v>
      </c>
      <c r="I92" s="101">
        <f t="shared" ref="I92:I96" si="14">ROUND(F92*H92,2)</f>
        <v>10918.03</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9.9700000000000006E-4</v>
      </c>
      <c r="I94" s="101">
        <f t="shared" si="14"/>
        <v>238280.68</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9.9700000000000006E-4</v>
      </c>
      <c r="I96" s="101">
        <f t="shared" si="14"/>
        <v>0</v>
      </c>
      <c r="N96" s="572" t="s">
        <v>418</v>
      </c>
      <c r="O96" s="573"/>
      <c r="P96" s="573"/>
      <c r="Q96" s="44"/>
      <c r="R96" s="420">
        <f t="shared" si="15"/>
        <v>0</v>
      </c>
      <c r="S96" s="38" t="s">
        <v>6</v>
      </c>
      <c r="T96" s="422">
        <f>T73</f>
        <v>0</v>
      </c>
      <c r="U96" s="474">
        <f>ROUND(R96*T96,2)</f>
        <v>0</v>
      </c>
    </row>
    <row r="97" spans="1:21" x14ac:dyDescent="0.25">
      <c r="A97" s="513"/>
      <c r="B97" s="512"/>
      <c r="C97" s="512"/>
      <c r="D97" s="512"/>
      <c r="E97" s="510"/>
      <c r="F97" s="117"/>
      <c r="G97" s="511"/>
      <c r="H97" s="423"/>
      <c r="I97" s="101"/>
      <c r="N97" s="516"/>
      <c r="O97" s="515"/>
      <c r="P97" s="515"/>
      <c r="Q97" s="44"/>
      <c r="R97" s="518"/>
      <c r="S97" s="517"/>
      <c r="T97" s="422"/>
      <c r="U97" s="478"/>
    </row>
    <row r="98" spans="1:21" x14ac:dyDescent="0.25">
      <c r="A98" s="513" t="s">
        <v>475</v>
      </c>
      <c r="B98" s="512"/>
      <c r="C98" s="512"/>
      <c r="D98" s="512"/>
      <c r="E98" s="510" t="s">
        <v>3</v>
      </c>
      <c r="F98" s="291">
        <v>0</v>
      </c>
      <c r="G98" s="511" t="s">
        <v>6</v>
      </c>
      <c r="H98" s="423">
        <f>H70</f>
        <v>9.9599999999999992E-4</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166.0985</v>
      </c>
      <c r="D104" s="568"/>
      <c r="E104" s="46">
        <f>H8</f>
        <v>1.0442</v>
      </c>
      <c r="F104" s="304">
        <f>'1461'!F104</f>
        <v>947.59</v>
      </c>
      <c r="G104" s="39" t="s">
        <v>12</v>
      </c>
      <c r="H104" s="101">
        <f>ROUND(C104*E104*F104,2)</f>
        <v>164350.06</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60.291800000000002</v>
      </c>
      <c r="D105" s="568"/>
      <c r="E105" s="46">
        <f>H8</f>
        <v>1.0442</v>
      </c>
      <c r="F105" s="304">
        <f>'1461'!F105</f>
        <v>904.74</v>
      </c>
      <c r="G105" s="39" t="s">
        <v>12</v>
      </c>
      <c r="H105" s="101">
        <f>ROUND(C105*E105*F105,2)</f>
        <v>56959.44</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0</v>
      </c>
      <c r="D106" s="568"/>
      <c r="E106" s="46">
        <f>H8</f>
        <v>1.0442</v>
      </c>
      <c r="F106" s="304">
        <f>'1461'!F106</f>
        <v>906.93</v>
      </c>
      <c r="G106" s="39" t="s">
        <v>12</v>
      </c>
      <c r="H106" s="94">
        <f>ROUND(C106*E106*F106,2)</f>
        <v>0</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226.3903</v>
      </c>
      <c r="D107" s="558"/>
      <c r="E107" s="123"/>
      <c r="F107" s="123"/>
      <c r="G107" s="123"/>
      <c r="H107" s="124" t="s">
        <v>100</v>
      </c>
      <c r="I107" s="101">
        <f>IF(A1=75,0,H106+H105+H104)</f>
        <v>221309.5</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25</v>
      </c>
      <c r="D113" s="143">
        <v>0</v>
      </c>
      <c r="E113" s="116">
        <f>C113</f>
        <v>25</v>
      </c>
      <c r="F113" s="126" t="s">
        <v>30</v>
      </c>
      <c r="G113" s="305">
        <f>'1461'!G113</f>
        <v>548</v>
      </c>
      <c r="I113" s="101">
        <f>ROUND(G113*E113,2)</f>
        <v>13700</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16">
        <f>(C114+D114)/2</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1780944.78</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1708894.36</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1708894.36</v>
      </c>
      <c r="I135" s="94">
        <f>ROUND(IF(E30=0,0,IF(E30&gt;250,-(((250/E30)*H135)*IF(G135="H",0.02,0.05)),IF(G135="H",-0.02*H135,-0.05*H135))),2)</f>
        <v>-85444.72</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1695500.06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-288335.7-140413.24-140413.24-140413.24-140413.24-142387.44-143516.55-143984.03</f>
        <v>-1279876.68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415623.38000000012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138541.13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FFCCCC"/>
  </sheetPr>
  <dimension ref="A1:V221"/>
  <sheetViews>
    <sheetView workbookViewId="0">
      <selection activeCell="C26" sqref="C26"/>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286</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75.680000000000007</v>
      </c>
      <c r="D14" s="141">
        <v>78.36</v>
      </c>
      <c r="E14" s="187">
        <f>IF(D$30=0,C14*2,C14+D14)</f>
        <v>154.04000000000002</v>
      </c>
      <c r="F14" s="639">
        <f>'1461'!F14:G14</f>
        <v>1.1220000000000001</v>
      </c>
      <c r="G14" s="639"/>
      <c r="H14" s="145">
        <f>ROUND(E14*F14,4)</f>
        <v>172.8329</v>
      </c>
      <c r="I14" s="111">
        <f>ROUND(ROUND(ROUND(H14*$C$8,4)*($H$8),2)*(MAX($H$9,1)),2)</f>
        <v>927577.94</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6</v>
      </c>
      <c r="D15" s="143">
        <v>6</v>
      </c>
      <c r="E15" s="116">
        <f t="shared" ref="E15:E29" si="1">IF(D$30=0,C15*2,C15+D15)</f>
        <v>12</v>
      </c>
      <c r="F15" s="635">
        <f>'1461'!F15:G15</f>
        <v>1.1220000000000001</v>
      </c>
      <c r="G15" s="635"/>
      <c r="H15" s="80">
        <f t="shared" ref="H15:H29" si="2">ROUND(E15*F15,4)</f>
        <v>13.464</v>
      </c>
      <c r="I15" s="101">
        <f t="shared" ref="I15:I29" si="3">ROUND(ROUND(ROUND(H15*$C$8,4)*($H$8),2)*(MAX($H$9,1)),2)</f>
        <v>72260.02</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103.38</v>
      </c>
      <c r="D16" s="143">
        <v>106.41</v>
      </c>
      <c r="E16" s="116">
        <f t="shared" si="1"/>
        <v>209.79</v>
      </c>
      <c r="F16" s="635">
        <f>'1461'!F16:G16</f>
        <v>1</v>
      </c>
      <c r="G16" s="635"/>
      <c r="H16" s="80">
        <f t="shared" si="2"/>
        <v>209.79</v>
      </c>
      <c r="I16" s="101">
        <f t="shared" si="3"/>
        <v>1125923.22</v>
      </c>
      <c r="N16" s="573" t="s">
        <v>22</v>
      </c>
      <c r="O16" s="573"/>
      <c r="P16" s="614">
        <f t="shared" si="0"/>
        <v>0</v>
      </c>
      <c r="Q16" s="614"/>
      <c r="R16" s="619">
        <v>1</v>
      </c>
      <c r="S16" s="619"/>
      <c r="T16" s="95">
        <f t="shared" si="4"/>
        <v>0</v>
      </c>
      <c r="U16" s="474">
        <f t="shared" si="5"/>
        <v>0</v>
      </c>
    </row>
    <row r="17" spans="1:21" x14ac:dyDescent="0.25">
      <c r="A17" s="550" t="s">
        <v>23</v>
      </c>
      <c r="B17" s="550"/>
      <c r="C17" s="143">
        <v>21.5</v>
      </c>
      <c r="D17" s="143">
        <v>20</v>
      </c>
      <c r="E17" s="116">
        <f t="shared" si="1"/>
        <v>41.5</v>
      </c>
      <c r="F17" s="635">
        <f>'1461'!F17:G17</f>
        <v>1</v>
      </c>
      <c r="G17" s="635"/>
      <c r="H17" s="80">
        <f t="shared" si="2"/>
        <v>41.5</v>
      </c>
      <c r="I17" s="101">
        <f t="shared" si="3"/>
        <v>222726.6</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0</v>
      </c>
      <c r="D18" s="143">
        <v>0</v>
      </c>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0</v>
      </c>
      <c r="D19" s="143">
        <v>0</v>
      </c>
      <c r="E19" s="116">
        <f t="shared" si="1"/>
        <v>0</v>
      </c>
      <c r="F19" s="635">
        <f>'1461'!F19:G19</f>
        <v>0.98799999999999999</v>
      </c>
      <c r="G19" s="635"/>
      <c r="H19" s="80">
        <f t="shared" si="2"/>
        <v>0</v>
      </c>
      <c r="I19" s="101">
        <f t="shared" si="3"/>
        <v>0</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41.82</v>
      </c>
      <c r="D26" s="143">
        <v>40.64</v>
      </c>
      <c r="E26" s="116">
        <f t="shared" si="1"/>
        <v>82.460000000000008</v>
      </c>
      <c r="F26" s="635">
        <f>'1461'!F26:G26</f>
        <v>1.208</v>
      </c>
      <c r="G26" s="635"/>
      <c r="H26" s="80">
        <f t="shared" si="2"/>
        <v>99.611699999999999</v>
      </c>
      <c r="I26" s="101">
        <f t="shared" si="3"/>
        <v>534606.64</v>
      </c>
      <c r="N26" s="573" t="s">
        <v>85</v>
      </c>
      <c r="O26" s="573"/>
      <c r="P26" s="614">
        <f t="shared" si="0"/>
        <v>0</v>
      </c>
      <c r="Q26" s="614"/>
      <c r="R26" s="619">
        <v>1</v>
      </c>
      <c r="S26" s="619"/>
      <c r="T26" s="95">
        <f t="shared" si="4"/>
        <v>0</v>
      </c>
      <c r="U26" s="474">
        <f t="shared" si="5"/>
        <v>0</v>
      </c>
    </row>
    <row r="27" spans="1:21" x14ac:dyDescent="0.25">
      <c r="A27" s="550" t="s">
        <v>86</v>
      </c>
      <c r="B27" s="550"/>
      <c r="C27" s="143">
        <v>15.12</v>
      </c>
      <c r="D27" s="143">
        <v>9.59</v>
      </c>
      <c r="E27" s="116">
        <f t="shared" si="1"/>
        <v>24.71</v>
      </c>
      <c r="F27" s="635">
        <f>'1461'!F27:G27</f>
        <v>1.208</v>
      </c>
      <c r="G27" s="635"/>
      <c r="H27" s="80">
        <f t="shared" si="2"/>
        <v>29.849699999999999</v>
      </c>
      <c r="I27" s="101">
        <f t="shared" si="3"/>
        <v>160200.54</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263.5</v>
      </c>
      <c r="D30" s="94">
        <f>SUM(D14:D29)</f>
        <v>260.99999999999994</v>
      </c>
      <c r="E30" s="94">
        <f>SUM(E14:E29)</f>
        <v>524.50000000000011</v>
      </c>
      <c r="F30" s="554"/>
      <c r="G30" s="554"/>
      <c r="H30" s="99">
        <f>SUM(H14:H29)</f>
        <v>567.04830000000004</v>
      </c>
      <c r="I30" s="94">
        <f>SUM(I14:I29)</f>
        <v>3043294.96</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567.04830000000004</v>
      </c>
      <c r="F46" s="34"/>
      <c r="G46" s="106"/>
      <c r="H46" s="107" t="s">
        <v>98</v>
      </c>
      <c r="I46" s="94">
        <f>SUM(I44,I30)</f>
        <v>3043294.96</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3043294.96</v>
      </c>
      <c r="G51" s="109" t="s">
        <v>6</v>
      </c>
      <c r="H51" s="402">
        <v>4.5199999999999997E-2</v>
      </c>
      <c r="I51" s="101">
        <f>ROUND(F51*H51,2)</f>
        <v>137556.93</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3043294.96</v>
      </c>
      <c r="G52" s="109" t="s">
        <v>6</v>
      </c>
      <c r="H52" s="402">
        <v>1.41E-2</v>
      </c>
      <c r="I52" s="101">
        <f>ROUND(F52*H52,2)</f>
        <v>42910.46</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180467.38999999998</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6</v>
      </c>
      <c r="D57" s="143">
        <v>6</v>
      </c>
      <c r="E57" s="116">
        <f t="shared" ref="E57:E65" si="10">IF(D$66=0,C57*2,C57+D57)</f>
        <v>12</v>
      </c>
      <c r="F57" s="444" t="s">
        <v>434</v>
      </c>
      <c r="G57" s="444">
        <v>251</v>
      </c>
      <c r="H57" s="458">
        <f>'1461'!H57</f>
        <v>1047</v>
      </c>
      <c r="I57" s="101">
        <f>ROUND(E57*H57,2)</f>
        <v>12564</v>
      </c>
      <c r="N57" s="590" t="s">
        <v>442</v>
      </c>
      <c r="O57" s="590"/>
      <c r="P57" s="593"/>
      <c r="Q57" s="593"/>
      <c r="R57" s="450" t="s">
        <v>434</v>
      </c>
      <c r="S57" s="450">
        <v>251</v>
      </c>
      <c r="T57" s="461">
        <f>H57</f>
        <v>1047</v>
      </c>
      <c r="U57" s="475">
        <f>ROUND(P57*T57,2)</f>
        <v>0</v>
      </c>
      <c r="V57" s="425"/>
    </row>
    <row r="58" spans="1:22" x14ac:dyDescent="0.25">
      <c r="A58" s="561"/>
      <c r="B58" s="561"/>
      <c r="C58" s="143">
        <v>0</v>
      </c>
      <c r="D58" s="143">
        <v>0</v>
      </c>
      <c r="E58" s="116">
        <f t="shared" si="10"/>
        <v>0</v>
      </c>
      <c r="F58" s="444" t="s">
        <v>434</v>
      </c>
      <c r="G58" s="444">
        <v>252</v>
      </c>
      <c r="H58" s="458">
        <f>'1461'!H58</f>
        <v>3380</v>
      </c>
      <c r="I58" s="101">
        <f t="shared" ref="I58:I65" si="11">ROUND(E58*H58,2)</f>
        <v>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21.5</v>
      </c>
      <c r="D60" s="143">
        <v>20</v>
      </c>
      <c r="E60" s="116">
        <f t="shared" si="10"/>
        <v>41.5</v>
      </c>
      <c r="F60" s="445" t="s">
        <v>13</v>
      </c>
      <c r="G60" s="444">
        <v>251</v>
      </c>
      <c r="H60" s="458">
        <f>'1461'!H60</f>
        <v>1173</v>
      </c>
      <c r="I60" s="101">
        <f t="shared" si="11"/>
        <v>48679.5</v>
      </c>
      <c r="N60" s="591"/>
      <c r="O60" s="591"/>
      <c r="P60" s="594"/>
      <c r="Q60" s="594"/>
      <c r="R60" s="40" t="s">
        <v>13</v>
      </c>
      <c r="S60" s="450">
        <v>251</v>
      </c>
      <c r="T60" s="461">
        <f t="shared" si="12"/>
        <v>1173</v>
      </c>
      <c r="U60" s="475">
        <f t="shared" si="13"/>
        <v>0</v>
      </c>
      <c r="V60" s="425"/>
    </row>
    <row r="61" spans="1:22" x14ac:dyDescent="0.25">
      <c r="A61" s="561"/>
      <c r="B61" s="561"/>
      <c r="C61" s="143">
        <v>0</v>
      </c>
      <c r="D61" s="143">
        <v>0</v>
      </c>
      <c r="E61" s="116">
        <f t="shared" si="10"/>
        <v>0</v>
      </c>
      <c r="F61" s="445" t="s">
        <v>13</v>
      </c>
      <c r="G61" s="444">
        <v>252</v>
      </c>
      <c r="H61" s="458">
        <f>'1461'!H61</f>
        <v>3506</v>
      </c>
      <c r="I61" s="101">
        <f t="shared" si="11"/>
        <v>0</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0</v>
      </c>
      <c r="D63" s="143">
        <v>0</v>
      </c>
      <c r="E63" s="116">
        <f t="shared" si="10"/>
        <v>0</v>
      </c>
      <c r="F63" s="445" t="s">
        <v>14</v>
      </c>
      <c r="G63" s="444">
        <v>251</v>
      </c>
      <c r="H63" s="458">
        <f>'1461'!H63</f>
        <v>835</v>
      </c>
      <c r="I63" s="101">
        <f t="shared" si="11"/>
        <v>0</v>
      </c>
      <c r="N63" s="591"/>
      <c r="O63" s="591"/>
      <c r="P63" s="594"/>
      <c r="Q63" s="594"/>
      <c r="R63" s="40" t="s">
        <v>14</v>
      </c>
      <c r="S63" s="450">
        <v>251</v>
      </c>
      <c r="T63" s="461">
        <f t="shared" si="12"/>
        <v>835</v>
      </c>
      <c r="U63" s="475">
        <f t="shared" si="13"/>
        <v>0</v>
      </c>
      <c r="V63" s="425"/>
    </row>
    <row r="64" spans="1:22" x14ac:dyDescent="0.25">
      <c r="A64" s="561"/>
      <c r="B64" s="561"/>
      <c r="C64" s="143">
        <v>0</v>
      </c>
      <c r="D64" s="143">
        <v>0</v>
      </c>
      <c r="E64" s="116">
        <f t="shared" si="10"/>
        <v>0</v>
      </c>
      <c r="F64" s="445" t="s">
        <v>14</v>
      </c>
      <c r="G64" s="444">
        <v>252</v>
      </c>
      <c r="H64" s="458">
        <f>'1461'!H64</f>
        <v>3168</v>
      </c>
      <c r="I64" s="101">
        <f t="shared" si="11"/>
        <v>0</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27.5</v>
      </c>
      <c r="D66" s="97">
        <f>SUM(D57:D65)</f>
        <v>26</v>
      </c>
      <c r="E66" s="97">
        <f>SUM(E57:E65)</f>
        <v>53.5</v>
      </c>
      <c r="F66" s="562" t="s">
        <v>443</v>
      </c>
      <c r="G66" s="562"/>
      <c r="H66" s="562"/>
      <c r="I66" s="97">
        <f>SUM(I57:I65)</f>
        <v>61243.5</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524.50000000000011</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2.5990000000000002E-3</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567.04830000000004</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2.4970000000000001E-3</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524.50000000000011</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2.813E-3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524.50000000000011</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2.6029999999999998E-3</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524.50000000000011</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2.8180000000000002E-3</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2.6029999999999998E-3</v>
      </c>
      <c r="I85" s="101">
        <f>ROUND(F85*H85,2)</f>
        <v>115337.08</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2.5990000000000002E-3</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2.8180000000000002E-3</v>
      </c>
      <c r="I90" s="101">
        <f>ROUND(F90*H90,2)</f>
        <v>45864.87</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2.813E-3</v>
      </c>
      <c r="I92" s="101">
        <f t="shared" ref="I92:I96" si="14">ROUND(F92*H92,2)</f>
        <v>28490.17</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2.4970000000000001E-3</v>
      </c>
      <c r="I94" s="101">
        <f t="shared" si="14"/>
        <v>596777.18999999994</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2.4970000000000001E-3</v>
      </c>
      <c r="I96" s="101">
        <f t="shared" si="14"/>
        <v>0</v>
      </c>
      <c r="N96" s="572" t="s">
        <v>418</v>
      </c>
      <c r="O96" s="573"/>
      <c r="P96" s="573"/>
      <c r="Q96" s="44"/>
      <c r="R96" s="420">
        <f t="shared" si="15"/>
        <v>0</v>
      </c>
      <c r="S96" s="38" t="s">
        <v>6</v>
      </c>
      <c r="T96" s="422">
        <f>T73</f>
        <v>0</v>
      </c>
      <c r="U96" s="474">
        <f>ROUND(R96*T96,2)</f>
        <v>0</v>
      </c>
    </row>
    <row r="97" spans="1:21" x14ac:dyDescent="0.25">
      <c r="A97" s="513"/>
      <c r="B97" s="512"/>
      <c r="C97" s="512"/>
      <c r="D97" s="512"/>
      <c r="E97" s="510"/>
      <c r="F97" s="117"/>
      <c r="G97" s="511"/>
      <c r="H97" s="423"/>
      <c r="I97" s="101"/>
      <c r="N97" s="516"/>
      <c r="O97" s="515"/>
      <c r="P97" s="515"/>
      <c r="Q97" s="44"/>
      <c r="R97" s="518"/>
      <c r="S97" s="517"/>
      <c r="T97" s="422"/>
      <c r="U97" s="478"/>
    </row>
    <row r="98" spans="1:21" x14ac:dyDescent="0.25">
      <c r="A98" s="513" t="s">
        <v>475</v>
      </c>
      <c r="B98" s="512"/>
      <c r="C98" s="512"/>
      <c r="D98" s="512"/>
      <c r="E98" s="510" t="s">
        <v>3</v>
      </c>
      <c r="F98" s="291">
        <v>0</v>
      </c>
      <c r="G98" s="511" t="s">
        <v>6</v>
      </c>
      <c r="H98" s="423">
        <f>H70</f>
        <v>2.5990000000000002E-3</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285.90859999999998</v>
      </c>
      <c r="D104" s="568"/>
      <c r="E104" s="46">
        <f>H8</f>
        <v>1.0442</v>
      </c>
      <c r="F104" s="304">
        <f>'1461'!F104</f>
        <v>947.59</v>
      </c>
      <c r="G104" s="39" t="s">
        <v>12</v>
      </c>
      <c r="H104" s="101">
        <f>ROUND(C104*E104*F104,2)</f>
        <v>282898.98</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281.1397</v>
      </c>
      <c r="D105" s="568"/>
      <c r="E105" s="46">
        <f>H8</f>
        <v>1.0442</v>
      </c>
      <c r="F105" s="304">
        <f>'1461'!F105</f>
        <v>904.74</v>
      </c>
      <c r="G105" s="39" t="s">
        <v>12</v>
      </c>
      <c r="H105" s="101">
        <f>ROUND(C105*E105*F105,2)</f>
        <v>265600.96999999997</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0</v>
      </c>
      <c r="D106" s="568"/>
      <c r="E106" s="46">
        <f>H8</f>
        <v>1.0442</v>
      </c>
      <c r="F106" s="304">
        <f>'1461'!F106</f>
        <v>906.93</v>
      </c>
      <c r="G106" s="39" t="s">
        <v>12</v>
      </c>
      <c r="H106" s="94">
        <f>ROUND(C106*E106*F106,2)</f>
        <v>0</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567.04829999999993</v>
      </c>
      <c r="D107" s="558"/>
      <c r="E107" s="123"/>
      <c r="F107" s="123"/>
      <c r="G107" s="123"/>
      <c r="H107" s="124" t="s">
        <v>100</v>
      </c>
      <c r="I107" s="101">
        <f>IF(A1=75,0,H106+H105+H104)</f>
        <v>548499.94999999995</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25</v>
      </c>
      <c r="D113" s="143">
        <v>0</v>
      </c>
      <c r="E113" s="116">
        <f>C113</f>
        <v>25</v>
      </c>
      <c r="F113" s="126" t="s">
        <v>30</v>
      </c>
      <c r="G113" s="305">
        <f>'1461'!G113</f>
        <v>548</v>
      </c>
      <c r="I113" s="101">
        <f>ROUND(G113*E113,2)</f>
        <v>13700</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16">
        <f>(C114+D114)/2</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4453207.72</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4272740.33</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4272740.33</v>
      </c>
      <c r="I135" s="94">
        <f>ROUND(IF(E30=0,0,IF(E30&gt;250,-(((250/E30)*H135)*IF(G135="H",0.02,0.05)),IF(G135="H",-0.02*H135,-0.05*H135))),2)</f>
        <v>-101828.89</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4351378.83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-719753.09-350402.77-350402.76-350402.77-350402.76-376373.89-375403.27-376760.54</f>
        <v>-3249901.85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1101476.98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367158.99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111808.13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CCCC"/>
  </sheetPr>
  <dimension ref="A1:V221"/>
  <sheetViews>
    <sheetView topLeftCell="A114" workbookViewId="0">
      <selection activeCell="E63" sqref="E6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120</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0</v>
      </c>
      <c r="D14" s="141">
        <v>0</v>
      </c>
      <c r="E14" s="187">
        <f>IF(D$30=0,C14*2,C14+D14)</f>
        <v>0</v>
      </c>
      <c r="F14" s="639">
        <f>'1461'!F14:G14</f>
        <v>1.1220000000000001</v>
      </c>
      <c r="G14" s="639"/>
      <c r="H14" s="145">
        <f>ROUND(E14*F14,4)</f>
        <v>0</v>
      </c>
      <c r="I14" s="111">
        <f>ROUND(ROUND(ROUND(H14*$C$8,4)*($H$8),2)*(MAX($H$9,1)),2)</f>
        <v>0</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0</v>
      </c>
      <c r="D15" s="143">
        <v>0</v>
      </c>
      <c r="E15" s="116">
        <f t="shared" ref="E15:E29" si="1">IF(D$30=0,C15*2,C15+D15)</f>
        <v>0</v>
      </c>
      <c r="F15" s="635">
        <f>'1461'!F15:G15</f>
        <v>1.1220000000000001</v>
      </c>
      <c r="G15" s="635"/>
      <c r="H15" s="80">
        <f t="shared" ref="H15:H29" si="2">ROUND(E15*F15,4)</f>
        <v>0</v>
      </c>
      <c r="I15" s="101">
        <f t="shared" ref="I15:I29" si="3">ROUND(ROUND(ROUND(H15*$C$8,4)*($H$8),2)*(MAX($H$9,1)),2)</f>
        <v>0</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0</v>
      </c>
      <c r="D16" s="143">
        <v>0</v>
      </c>
      <c r="E16" s="116">
        <f t="shared" si="1"/>
        <v>0</v>
      </c>
      <c r="F16" s="635">
        <f>'1461'!F16:G16</f>
        <v>1</v>
      </c>
      <c r="G16" s="635"/>
      <c r="H16" s="80">
        <f t="shared" si="2"/>
        <v>0</v>
      </c>
      <c r="I16" s="101">
        <f t="shared" si="3"/>
        <v>0</v>
      </c>
      <c r="N16" s="573" t="s">
        <v>22</v>
      </c>
      <c r="O16" s="573"/>
      <c r="P16" s="614">
        <f t="shared" si="0"/>
        <v>0</v>
      </c>
      <c r="Q16" s="614"/>
      <c r="R16" s="619">
        <v>1</v>
      </c>
      <c r="S16" s="619"/>
      <c r="T16" s="95">
        <f t="shared" si="4"/>
        <v>0</v>
      </c>
      <c r="U16" s="474">
        <f t="shared" si="5"/>
        <v>0</v>
      </c>
    </row>
    <row r="17" spans="1:21" x14ac:dyDescent="0.25">
      <c r="A17" s="550" t="s">
        <v>23</v>
      </c>
      <c r="B17" s="550"/>
      <c r="C17" s="143">
        <v>0</v>
      </c>
      <c r="D17" s="143">
        <v>0</v>
      </c>
      <c r="E17" s="116">
        <f t="shared" si="1"/>
        <v>0</v>
      </c>
      <c r="F17" s="635">
        <f>'1461'!F17:G17</f>
        <v>1</v>
      </c>
      <c r="G17" s="635"/>
      <c r="H17" s="80">
        <f t="shared" si="2"/>
        <v>0</v>
      </c>
      <c r="I17" s="101">
        <f t="shared" si="3"/>
        <v>0</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259.93</v>
      </c>
      <c r="D18" s="143">
        <v>255.44</v>
      </c>
      <c r="E18" s="116">
        <f t="shared" si="1"/>
        <v>515.37</v>
      </c>
      <c r="F18" s="635">
        <f>'1461'!F18:G18</f>
        <v>0.98799999999999999</v>
      </c>
      <c r="G18" s="635"/>
      <c r="H18" s="80">
        <f t="shared" si="2"/>
        <v>509.18560000000002</v>
      </c>
      <c r="I18" s="101">
        <f t="shared" si="3"/>
        <v>2732751.29</v>
      </c>
      <c r="N18" s="573" t="s">
        <v>24</v>
      </c>
      <c r="O18" s="573"/>
      <c r="P18" s="614">
        <f t="shared" si="0"/>
        <v>0</v>
      </c>
      <c r="Q18" s="614"/>
      <c r="R18" s="619">
        <v>1</v>
      </c>
      <c r="S18" s="619"/>
      <c r="T18" s="95">
        <f t="shared" si="4"/>
        <v>0</v>
      </c>
      <c r="U18" s="474">
        <f t="shared" si="5"/>
        <v>0</v>
      </c>
    </row>
    <row r="19" spans="1:21" x14ac:dyDescent="0.25">
      <c r="A19" s="550" t="s">
        <v>25</v>
      </c>
      <c r="B19" s="550"/>
      <c r="C19" s="143">
        <v>44</v>
      </c>
      <c r="D19" s="143">
        <v>39.950000000000003</v>
      </c>
      <c r="E19" s="116">
        <f t="shared" si="1"/>
        <v>83.95</v>
      </c>
      <c r="F19" s="635">
        <f>'1461'!F19:G19</f>
        <v>0.98799999999999999</v>
      </c>
      <c r="G19" s="635"/>
      <c r="H19" s="80">
        <f t="shared" si="2"/>
        <v>82.942599999999999</v>
      </c>
      <c r="I19" s="101">
        <f t="shared" si="3"/>
        <v>445145.14</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0</v>
      </c>
      <c r="D26" s="143">
        <v>0</v>
      </c>
      <c r="E26" s="116">
        <f t="shared" si="1"/>
        <v>0</v>
      </c>
      <c r="F26" s="635">
        <f>'1461'!F26:G26</f>
        <v>1.208</v>
      </c>
      <c r="G26" s="635"/>
      <c r="H26" s="80">
        <f t="shared" si="2"/>
        <v>0</v>
      </c>
      <c r="I26" s="101">
        <f t="shared" si="3"/>
        <v>0</v>
      </c>
      <c r="N26" s="573" t="s">
        <v>85</v>
      </c>
      <c r="O26" s="573"/>
      <c r="P26" s="614">
        <f t="shared" si="0"/>
        <v>0</v>
      </c>
      <c r="Q26" s="614"/>
      <c r="R26" s="619">
        <v>1</v>
      </c>
      <c r="S26" s="619"/>
      <c r="T26" s="95">
        <f t="shared" si="4"/>
        <v>0</v>
      </c>
      <c r="U26" s="474">
        <f t="shared" si="5"/>
        <v>0</v>
      </c>
    </row>
    <row r="27" spans="1:21" x14ac:dyDescent="0.25">
      <c r="A27" s="550" t="s">
        <v>86</v>
      </c>
      <c r="B27" s="550"/>
      <c r="C27" s="143">
        <v>0</v>
      </c>
      <c r="D27" s="143">
        <v>0</v>
      </c>
      <c r="E27" s="116">
        <f t="shared" si="1"/>
        <v>0</v>
      </c>
      <c r="F27" s="635">
        <f>'1461'!F27:G27</f>
        <v>1.208</v>
      </c>
      <c r="G27" s="635"/>
      <c r="H27" s="80">
        <f t="shared" si="2"/>
        <v>0</v>
      </c>
      <c r="I27" s="101">
        <f t="shared" si="3"/>
        <v>0</v>
      </c>
      <c r="N27" s="573" t="s">
        <v>86</v>
      </c>
      <c r="O27" s="573"/>
      <c r="P27" s="614">
        <f t="shared" si="0"/>
        <v>0</v>
      </c>
      <c r="Q27" s="614"/>
      <c r="R27" s="619">
        <v>1</v>
      </c>
      <c r="S27" s="619"/>
      <c r="T27" s="95">
        <f t="shared" si="4"/>
        <v>0</v>
      </c>
      <c r="U27" s="474">
        <f t="shared" si="5"/>
        <v>0</v>
      </c>
    </row>
    <row r="28" spans="1:21" x14ac:dyDescent="0.25">
      <c r="A28" s="550" t="s">
        <v>87</v>
      </c>
      <c r="B28" s="550"/>
      <c r="C28" s="143">
        <v>11.15</v>
      </c>
      <c r="D28" s="143">
        <v>11.09</v>
      </c>
      <c r="E28" s="116">
        <f t="shared" si="1"/>
        <v>22.240000000000002</v>
      </c>
      <c r="F28" s="635">
        <f>'1461'!F28:G28</f>
        <v>1.208</v>
      </c>
      <c r="G28" s="635"/>
      <c r="H28" s="80">
        <f t="shared" si="2"/>
        <v>26.8659</v>
      </c>
      <c r="I28" s="101">
        <f t="shared" si="3"/>
        <v>144186.76</v>
      </c>
      <c r="N28" s="573" t="s">
        <v>87</v>
      </c>
      <c r="O28" s="573"/>
      <c r="P28" s="614">
        <f t="shared" si="0"/>
        <v>0</v>
      </c>
      <c r="Q28" s="614"/>
      <c r="R28" s="619">
        <v>1</v>
      </c>
      <c r="S28" s="619"/>
      <c r="T28" s="95">
        <f t="shared" si="4"/>
        <v>0</v>
      </c>
      <c r="U28" s="474">
        <f t="shared" si="5"/>
        <v>0</v>
      </c>
    </row>
    <row r="29" spans="1:21" x14ac:dyDescent="0.25">
      <c r="A29" s="550" t="s">
        <v>88</v>
      </c>
      <c r="B29" s="550"/>
      <c r="C29" s="110">
        <v>26.61</v>
      </c>
      <c r="D29" s="110">
        <v>26.39</v>
      </c>
      <c r="E29" s="116">
        <f t="shared" si="1"/>
        <v>53</v>
      </c>
      <c r="F29" s="635">
        <f>'1461'!F29:G29</f>
        <v>1.0720000000000001</v>
      </c>
      <c r="G29" s="635"/>
      <c r="H29" s="93">
        <f t="shared" si="2"/>
        <v>56.816000000000003</v>
      </c>
      <c r="I29" s="94">
        <f t="shared" si="3"/>
        <v>304926.14</v>
      </c>
      <c r="N29" s="588" t="s">
        <v>88</v>
      </c>
      <c r="O29" s="588"/>
      <c r="P29" s="614">
        <f t="shared" si="0"/>
        <v>0</v>
      </c>
      <c r="Q29" s="614"/>
      <c r="R29" s="615">
        <v>1</v>
      </c>
      <c r="S29" s="615"/>
      <c r="T29" s="95">
        <f t="shared" si="4"/>
        <v>0</v>
      </c>
      <c r="U29" s="474">
        <f t="shared" si="5"/>
        <v>0</v>
      </c>
    </row>
    <row r="30" spans="1:21" x14ac:dyDescent="0.25">
      <c r="A30" s="562" t="s">
        <v>5</v>
      </c>
      <c r="B30" s="562"/>
      <c r="C30" s="94">
        <f>SUM(C14:C29)</f>
        <v>341.69</v>
      </c>
      <c r="D30" s="94">
        <f>SUM(D14:D29)</f>
        <v>332.86999999999995</v>
      </c>
      <c r="E30" s="97">
        <f>SUM(E14:E29)</f>
        <v>674.56000000000006</v>
      </c>
      <c r="F30" s="554"/>
      <c r="G30" s="554"/>
      <c r="H30" s="99">
        <f>SUM(H14:H29)</f>
        <v>675.81010000000003</v>
      </c>
      <c r="I30" s="94">
        <f>SUM(I14:I29)</f>
        <v>3627009.3300000005</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675.81010000000003</v>
      </c>
      <c r="F46" s="34"/>
      <c r="G46" s="106"/>
      <c r="H46" s="107" t="s">
        <v>98</v>
      </c>
      <c r="I46" s="94">
        <f>SUM(I44,I30)</f>
        <v>3627009.3300000005</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3627009.3300000005</v>
      </c>
      <c r="G51" s="109" t="s">
        <v>6</v>
      </c>
      <c r="H51" s="402">
        <v>4.5199999999999997E-2</v>
      </c>
      <c r="I51" s="101">
        <f>ROUND(F51*H51,2)</f>
        <v>163940.82</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3627009.3300000005</v>
      </c>
      <c r="G52" s="109" t="s">
        <v>6</v>
      </c>
      <c r="H52" s="402">
        <v>1.41E-2</v>
      </c>
      <c r="I52" s="101">
        <f>ROUND(F52*H52,2)</f>
        <v>51140.83</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215081.65000000002</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0</v>
      </c>
      <c r="D57" s="143">
        <v>0</v>
      </c>
      <c r="E57" s="116">
        <f t="shared" ref="E57:E65" si="10">IF(D$66=0,C57*2,C57+D57)</f>
        <v>0</v>
      </c>
      <c r="F57" s="444" t="s">
        <v>434</v>
      </c>
      <c r="G57" s="444">
        <v>251</v>
      </c>
      <c r="H57" s="458">
        <f>'1461'!H57</f>
        <v>1047</v>
      </c>
      <c r="I57" s="101">
        <f>ROUND(E57*H57,2)</f>
        <v>0</v>
      </c>
      <c r="N57" s="590" t="s">
        <v>442</v>
      </c>
      <c r="O57" s="590"/>
      <c r="P57" s="593"/>
      <c r="Q57" s="593"/>
      <c r="R57" s="450" t="s">
        <v>434</v>
      </c>
      <c r="S57" s="450">
        <v>251</v>
      </c>
      <c r="T57" s="461">
        <f>H57</f>
        <v>1047</v>
      </c>
      <c r="U57" s="475">
        <f>ROUND(P57*T57,2)</f>
        <v>0</v>
      </c>
      <c r="V57" s="425"/>
    </row>
    <row r="58" spans="1:22" x14ac:dyDescent="0.25">
      <c r="A58" s="561"/>
      <c r="B58" s="561"/>
      <c r="C58" s="143">
        <v>0</v>
      </c>
      <c r="D58" s="143">
        <v>0</v>
      </c>
      <c r="E58" s="116">
        <f t="shared" si="10"/>
        <v>0</v>
      </c>
      <c r="F58" s="444" t="s">
        <v>434</v>
      </c>
      <c r="G58" s="444">
        <v>252</v>
      </c>
      <c r="H58" s="458">
        <f>'1461'!H58</f>
        <v>3380</v>
      </c>
      <c r="I58" s="101">
        <f t="shared" ref="I58:I65" si="11">ROUND(E58*H58,2)</f>
        <v>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0</v>
      </c>
      <c r="D60" s="143">
        <v>0</v>
      </c>
      <c r="E60" s="116">
        <f t="shared" si="10"/>
        <v>0</v>
      </c>
      <c r="F60" s="445" t="s">
        <v>13</v>
      </c>
      <c r="G60" s="444">
        <v>251</v>
      </c>
      <c r="H60" s="458">
        <f>'1461'!H60</f>
        <v>1173</v>
      </c>
      <c r="I60" s="101">
        <f t="shared" si="11"/>
        <v>0</v>
      </c>
      <c r="N60" s="591"/>
      <c r="O60" s="591"/>
      <c r="P60" s="594"/>
      <c r="Q60" s="594"/>
      <c r="R60" s="40" t="s">
        <v>13</v>
      </c>
      <c r="S60" s="450">
        <v>251</v>
      </c>
      <c r="T60" s="461">
        <f t="shared" si="12"/>
        <v>1173</v>
      </c>
      <c r="U60" s="475">
        <f t="shared" si="13"/>
        <v>0</v>
      </c>
      <c r="V60" s="425"/>
    </row>
    <row r="61" spans="1:22" x14ac:dyDescent="0.25">
      <c r="A61" s="561"/>
      <c r="B61" s="561"/>
      <c r="C61" s="143">
        <v>0</v>
      </c>
      <c r="D61" s="143">
        <v>0</v>
      </c>
      <c r="E61" s="116">
        <f t="shared" si="10"/>
        <v>0</v>
      </c>
      <c r="F61" s="445" t="s">
        <v>13</v>
      </c>
      <c r="G61" s="444">
        <v>252</v>
      </c>
      <c r="H61" s="458">
        <f>'1461'!H61</f>
        <v>3506</v>
      </c>
      <c r="I61" s="101">
        <f t="shared" si="11"/>
        <v>0</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39.99</v>
      </c>
      <c r="D63" s="143">
        <v>36.31</v>
      </c>
      <c r="E63" s="116">
        <f t="shared" si="10"/>
        <v>76.300000000000011</v>
      </c>
      <c r="F63" s="445" t="s">
        <v>14</v>
      </c>
      <c r="G63" s="444">
        <v>251</v>
      </c>
      <c r="H63" s="458">
        <f>'1461'!H63</f>
        <v>835</v>
      </c>
      <c r="I63" s="101">
        <f t="shared" si="11"/>
        <v>63710.5</v>
      </c>
      <c r="N63" s="591"/>
      <c r="O63" s="591"/>
      <c r="P63" s="594"/>
      <c r="Q63" s="594"/>
      <c r="R63" s="40" t="s">
        <v>14</v>
      </c>
      <c r="S63" s="450">
        <v>251</v>
      </c>
      <c r="T63" s="461">
        <f t="shared" si="12"/>
        <v>835</v>
      </c>
      <c r="U63" s="475">
        <f t="shared" si="13"/>
        <v>0</v>
      </c>
      <c r="V63" s="425"/>
    </row>
    <row r="64" spans="1:22" x14ac:dyDescent="0.25">
      <c r="A64" s="561"/>
      <c r="B64" s="561"/>
      <c r="C64" s="143">
        <v>4.01</v>
      </c>
      <c r="D64" s="143">
        <v>3.64</v>
      </c>
      <c r="E64" s="116">
        <f t="shared" si="10"/>
        <v>7.65</v>
      </c>
      <c r="F64" s="445" t="s">
        <v>14</v>
      </c>
      <c r="G64" s="444">
        <v>252</v>
      </c>
      <c r="H64" s="458">
        <f>'1461'!H64</f>
        <v>3168</v>
      </c>
      <c r="I64" s="101">
        <f t="shared" si="11"/>
        <v>24235.200000000001</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44</v>
      </c>
      <c r="D66" s="97">
        <f>SUM(D57:D65)</f>
        <v>39.950000000000003</v>
      </c>
      <c r="E66" s="97">
        <f>SUM(E57:E65)</f>
        <v>83.950000000000017</v>
      </c>
      <c r="F66" s="562" t="s">
        <v>443</v>
      </c>
      <c r="G66" s="562"/>
      <c r="H66" s="562"/>
      <c r="I66" s="97">
        <f>SUM(I57:I65)</f>
        <v>87945.7</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674.56000000000006</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3.3430000000000001E-3</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675.81010000000003</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2.9759999999999999E-3</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674.56000000000006</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3.6180000000000001E-3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674.56000000000006</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3.3479999999999998E-3</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674.56000000000006</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3.6250000000000002E-3</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3.3479999999999998E-3</v>
      </c>
      <c r="I85" s="101">
        <f>ROUND(F85*H85,2)</f>
        <v>148347.5</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3.3430000000000001E-3</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3.6250000000000002E-3</v>
      </c>
      <c r="I90" s="101">
        <f>ROUND(F90*H90,2)</f>
        <v>58999.34</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3.6180000000000001E-3</v>
      </c>
      <c r="I92" s="101">
        <f t="shared" ref="I92:I96" si="14">ROUND(F92*H92,2)</f>
        <v>36643.25</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2.9759999999999999E-3</v>
      </c>
      <c r="I94" s="101">
        <f t="shared" si="14"/>
        <v>711257.08</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2.9759999999999999E-3</v>
      </c>
      <c r="I96" s="101">
        <f t="shared" si="14"/>
        <v>0</v>
      </c>
      <c r="N96" s="572" t="s">
        <v>418</v>
      </c>
      <c r="O96" s="573"/>
      <c r="P96" s="573"/>
      <c r="Q96" s="44"/>
      <c r="R96" s="420">
        <f t="shared" si="15"/>
        <v>0</v>
      </c>
      <c r="S96" s="38" t="s">
        <v>6</v>
      </c>
      <c r="T96" s="422">
        <f>T73</f>
        <v>0</v>
      </c>
      <c r="U96" s="474">
        <f>ROUND(R96*T96,2)</f>
        <v>0</v>
      </c>
    </row>
    <row r="97" spans="1:21" x14ac:dyDescent="0.25">
      <c r="A97" s="513"/>
      <c r="B97" s="512"/>
      <c r="C97" s="512"/>
      <c r="D97" s="512"/>
      <c r="E97" s="510"/>
      <c r="F97" s="117"/>
      <c r="G97" s="511"/>
      <c r="H97" s="423"/>
      <c r="I97" s="101"/>
      <c r="N97" s="516"/>
      <c r="O97" s="515"/>
      <c r="P97" s="515"/>
      <c r="Q97" s="44"/>
      <c r="R97" s="518"/>
      <c r="S97" s="517"/>
      <c r="T97" s="422"/>
      <c r="U97" s="478"/>
    </row>
    <row r="98" spans="1:21" x14ac:dyDescent="0.25">
      <c r="A98" s="513" t="s">
        <v>475</v>
      </c>
      <c r="B98" s="512"/>
      <c r="C98" s="512"/>
      <c r="D98" s="512"/>
      <c r="E98" s="510" t="s">
        <v>3</v>
      </c>
      <c r="F98" s="291">
        <v>0</v>
      </c>
      <c r="G98" s="511" t="s">
        <v>6</v>
      </c>
      <c r="H98" s="423">
        <f>H70</f>
        <v>3.3430000000000001E-3</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419</v>
      </c>
      <c r="N101" s="408" t="s">
        <v>419</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0</v>
      </c>
      <c r="D104" s="568"/>
      <c r="E104" s="46">
        <f>H8</f>
        <v>1.0442</v>
      </c>
      <c r="F104" s="304">
        <f>'1461'!F104</f>
        <v>947.59</v>
      </c>
      <c r="G104" s="39" t="s">
        <v>12</v>
      </c>
      <c r="H104" s="101">
        <f>ROUND(C104*E104*F104,2)</f>
        <v>0</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0</v>
      </c>
      <c r="D105" s="568"/>
      <c r="E105" s="46">
        <f>H8</f>
        <v>1.0442</v>
      </c>
      <c r="F105" s="304">
        <f>'1461'!F105</f>
        <v>904.74</v>
      </c>
      <c r="G105" s="39" t="s">
        <v>12</v>
      </c>
      <c r="H105" s="101">
        <f>ROUND(C105*E105*F105,2)</f>
        <v>0</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675.81010000000003</v>
      </c>
      <c r="D106" s="568"/>
      <c r="E106" s="46">
        <f>H8</f>
        <v>1.0442</v>
      </c>
      <c r="F106" s="304">
        <f>'1461'!F106</f>
        <v>906.93</v>
      </c>
      <c r="G106" s="39" t="s">
        <v>12</v>
      </c>
      <c r="H106" s="94">
        <f>ROUND(C106*E106*F106,2)</f>
        <v>640003.18000000005</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675.81010000000003</v>
      </c>
      <c r="D107" s="558"/>
      <c r="E107" s="123"/>
      <c r="F107" s="123"/>
      <c r="G107" s="123"/>
      <c r="H107" s="124" t="s">
        <v>100</v>
      </c>
      <c r="I107" s="101">
        <f>IF(A1=75,0,H106+H105+H104)</f>
        <v>640003.18000000005</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81" t="s">
        <v>424</v>
      </c>
      <c r="C110" s="43"/>
      <c r="D110" s="69"/>
      <c r="E110" s="43" t="s">
        <v>32</v>
      </c>
      <c r="F110" s="528"/>
      <c r="G110" s="528"/>
      <c r="H110" s="528"/>
      <c r="I110" s="528"/>
      <c r="N110" s="572" t="s">
        <v>424</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384</v>
      </c>
      <c r="D113" s="143">
        <v>0</v>
      </c>
      <c r="E113" s="116">
        <f>C113</f>
        <v>384</v>
      </c>
      <c r="F113" s="126" t="s">
        <v>30</v>
      </c>
      <c r="G113" s="305">
        <f>'1461'!G113</f>
        <v>548</v>
      </c>
      <c r="I113" s="101">
        <f>ROUND(G113*E113,2)</f>
        <v>210432</v>
      </c>
      <c r="N113" s="602" t="s">
        <v>52</v>
      </c>
      <c r="O113" s="602"/>
      <c r="P113" s="582">
        <f>IF(H133=1,E113,0)</f>
        <v>0</v>
      </c>
      <c r="Q113" s="582"/>
      <c r="R113" s="582"/>
      <c r="S113" s="83" t="s">
        <v>30</v>
      </c>
      <c r="T113" s="58">
        <f>G113</f>
        <v>548</v>
      </c>
      <c r="U113" s="474">
        <f>ROUND(T113*P113,2)</f>
        <v>0</v>
      </c>
    </row>
    <row r="114" spans="1:21" x14ac:dyDescent="0.25">
      <c r="A114" s="529" t="s">
        <v>376</v>
      </c>
      <c r="B114" s="530"/>
      <c r="C114" s="143">
        <v>1</v>
      </c>
      <c r="D114" s="143">
        <v>0</v>
      </c>
      <c r="E114" s="116">
        <f>C114</f>
        <v>1</v>
      </c>
      <c r="F114" s="126" t="s">
        <v>30</v>
      </c>
      <c r="G114" s="305">
        <f>'1461'!G114</f>
        <v>1762</v>
      </c>
      <c r="I114" s="101">
        <f>ROUND(G114*E114,2)</f>
        <v>1762</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483</v>
      </c>
      <c r="B126" s="550"/>
      <c r="C126" s="550"/>
      <c r="D126" s="69"/>
      <c r="E126" s="68" t="s">
        <v>34</v>
      </c>
      <c r="F126" s="569"/>
      <c r="G126" s="569"/>
      <c r="H126" s="569"/>
      <c r="I126" s="154">
        <v>0</v>
      </c>
      <c r="N126" s="572" t="s">
        <v>483</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5522399.3799999999</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5307317.7299999995</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c r="H135" s="139">
        <f>IF(H133=1,I133,I130)</f>
        <v>5307317.7299999995</v>
      </c>
      <c r="I135" s="94">
        <f>ROUND(IF(E30=0,0,IF(E30&gt;250,-(((250/E30)*H135)*IF(G135="H",0.02,0.05)),IF(G135="H",-0.02*H135,-0.05*H135))),2)</f>
        <v>-98347.77</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5424051.6100000003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-995405.93-483819.17-483819.17-483819.17-483819.17-415103.02-429910.37-430025.35</f>
        <v>-4205721.3499999996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1218330.2600000007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406110.09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167018.12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I56"/>
  <sheetViews>
    <sheetView workbookViewId="0"/>
  </sheetViews>
  <sheetFormatPr defaultColWidth="9.140625" defaultRowHeight="12.75" x14ac:dyDescent="0.2"/>
  <cols>
    <col min="1" max="1" width="4.140625" style="188" bestFit="1" customWidth="1"/>
    <col min="2" max="2" width="9.140625" style="188"/>
    <col min="3" max="3" width="52.140625" style="188" bestFit="1" customWidth="1"/>
    <col min="4" max="4" width="2.140625" style="188" customWidth="1"/>
    <col min="5" max="5" width="9.140625" style="188" customWidth="1"/>
    <col min="6" max="6" width="52.140625" style="188" bestFit="1" customWidth="1"/>
    <col min="7" max="16384" width="9.140625" style="188"/>
  </cols>
  <sheetData>
    <row r="1" spans="1:6" x14ac:dyDescent="0.2">
      <c r="B1" s="204" t="s">
        <v>186</v>
      </c>
      <c r="C1" s="205"/>
      <c r="D1" s="205"/>
      <c r="E1" s="206"/>
      <c r="F1" s="205"/>
    </row>
    <row r="2" spans="1:6" x14ac:dyDescent="0.2">
      <c r="B2" s="207"/>
      <c r="C2" s="205"/>
      <c r="D2" s="205"/>
      <c r="E2" s="206"/>
      <c r="F2" s="205"/>
    </row>
    <row r="3" spans="1:6" x14ac:dyDescent="0.2">
      <c r="B3" s="525" t="s">
        <v>306</v>
      </c>
      <c r="C3" s="526"/>
      <c r="D3" s="205"/>
      <c r="E3" s="525" t="s">
        <v>187</v>
      </c>
      <c r="F3" s="526"/>
    </row>
    <row r="4" spans="1:6" x14ac:dyDescent="0.2">
      <c r="B4" s="208" t="s">
        <v>188</v>
      </c>
      <c r="C4" s="209" t="s">
        <v>189</v>
      </c>
      <c r="D4" s="205"/>
      <c r="E4" s="208" t="s">
        <v>188</v>
      </c>
      <c r="F4" s="209" t="s">
        <v>189</v>
      </c>
    </row>
    <row r="5" spans="1:6" x14ac:dyDescent="0.2">
      <c r="A5" s="216">
        <v>1</v>
      </c>
      <c r="B5" s="210" t="s">
        <v>159</v>
      </c>
      <c r="C5" s="212" t="s">
        <v>191</v>
      </c>
      <c r="D5" s="205"/>
      <c r="E5" s="210" t="s">
        <v>176</v>
      </c>
      <c r="F5" s="211" t="s">
        <v>190</v>
      </c>
    </row>
    <row r="6" spans="1:6" x14ac:dyDescent="0.2">
      <c r="A6" s="216">
        <v>2</v>
      </c>
      <c r="B6" s="210" t="s">
        <v>160</v>
      </c>
      <c r="C6" s="212" t="s">
        <v>193</v>
      </c>
      <c r="D6" s="205"/>
      <c r="E6" s="210" t="s">
        <v>181</v>
      </c>
      <c r="F6" s="211" t="s">
        <v>192</v>
      </c>
    </row>
    <row r="7" spans="1:6" x14ac:dyDescent="0.2">
      <c r="A7" s="216">
        <v>3</v>
      </c>
      <c r="B7" s="210" t="s">
        <v>161</v>
      </c>
      <c r="C7" s="212" t="s">
        <v>194</v>
      </c>
      <c r="D7" s="205"/>
      <c r="E7" s="210" t="s">
        <v>282</v>
      </c>
      <c r="F7" s="211" t="s">
        <v>283</v>
      </c>
    </row>
    <row r="8" spans="1:6" x14ac:dyDescent="0.2">
      <c r="A8" s="216">
        <v>4</v>
      </c>
      <c r="B8" s="210" t="s">
        <v>162</v>
      </c>
      <c r="C8" s="211" t="s">
        <v>195</v>
      </c>
      <c r="D8" s="205"/>
      <c r="E8" s="210" t="s">
        <v>269</v>
      </c>
      <c r="F8" s="211" t="s">
        <v>268</v>
      </c>
    </row>
    <row r="9" spans="1:6" x14ac:dyDescent="0.2">
      <c r="A9" s="216">
        <v>5</v>
      </c>
      <c r="B9" s="210" t="s">
        <v>163</v>
      </c>
      <c r="C9" s="211" t="s">
        <v>256</v>
      </c>
      <c r="D9" s="205"/>
      <c r="E9" s="210" t="s">
        <v>161</v>
      </c>
      <c r="F9" s="212" t="s">
        <v>194</v>
      </c>
    </row>
    <row r="10" spans="1:6" x14ac:dyDescent="0.2">
      <c r="A10" s="216">
        <v>6</v>
      </c>
      <c r="B10" s="210" t="s">
        <v>164</v>
      </c>
      <c r="C10" s="211" t="s">
        <v>354</v>
      </c>
      <c r="D10" s="205"/>
      <c r="E10" s="210" t="s">
        <v>175</v>
      </c>
      <c r="F10" s="211" t="s">
        <v>196</v>
      </c>
    </row>
    <row r="11" spans="1:6" x14ac:dyDescent="0.2">
      <c r="A11" s="216">
        <v>7</v>
      </c>
      <c r="B11" s="210" t="s">
        <v>165</v>
      </c>
      <c r="C11" s="212" t="s">
        <v>197</v>
      </c>
      <c r="D11" s="205"/>
      <c r="E11" s="210" t="s">
        <v>234</v>
      </c>
      <c r="F11" s="211" t="s">
        <v>235</v>
      </c>
    </row>
    <row r="12" spans="1:6" x14ac:dyDescent="0.2">
      <c r="A12" s="216">
        <v>8</v>
      </c>
      <c r="B12" s="210" t="s">
        <v>166</v>
      </c>
      <c r="C12" s="211" t="s">
        <v>198</v>
      </c>
      <c r="D12" s="205"/>
      <c r="E12" s="210" t="s">
        <v>199</v>
      </c>
      <c r="F12" s="211" t="s">
        <v>321</v>
      </c>
    </row>
    <row r="13" spans="1:6" x14ac:dyDescent="0.2">
      <c r="A13" s="216">
        <v>9</v>
      </c>
      <c r="B13" s="210" t="s">
        <v>167</v>
      </c>
      <c r="C13" s="211" t="s">
        <v>311</v>
      </c>
      <c r="D13" s="205"/>
      <c r="E13" s="210" t="s">
        <v>200</v>
      </c>
      <c r="F13" s="211" t="s">
        <v>323</v>
      </c>
    </row>
    <row r="14" spans="1:6" x14ac:dyDescent="0.2">
      <c r="A14" s="216">
        <v>10</v>
      </c>
      <c r="B14" s="210" t="s">
        <v>168</v>
      </c>
      <c r="C14" s="213" t="s">
        <v>360</v>
      </c>
      <c r="D14" s="205"/>
      <c r="E14" s="210" t="s">
        <v>182</v>
      </c>
      <c r="F14" s="212" t="s">
        <v>202</v>
      </c>
    </row>
    <row r="15" spans="1:6" x14ac:dyDescent="0.2">
      <c r="A15" s="216">
        <v>11</v>
      </c>
      <c r="B15" s="210" t="s">
        <v>169</v>
      </c>
      <c r="C15" s="212" t="s">
        <v>201</v>
      </c>
      <c r="D15" s="205"/>
      <c r="E15" s="210" t="s">
        <v>170</v>
      </c>
      <c r="F15" s="212" t="s">
        <v>203</v>
      </c>
    </row>
    <row r="16" spans="1:6" x14ac:dyDescent="0.2">
      <c r="A16" s="216">
        <v>12</v>
      </c>
      <c r="B16" s="210" t="s">
        <v>170</v>
      </c>
      <c r="C16" s="212" t="s">
        <v>203</v>
      </c>
      <c r="D16" s="205"/>
      <c r="E16" s="210" t="s">
        <v>174</v>
      </c>
      <c r="F16" s="212" t="s">
        <v>204</v>
      </c>
    </row>
    <row r="17" spans="1:9" x14ac:dyDescent="0.2">
      <c r="A17" s="216">
        <v>13</v>
      </c>
      <c r="B17" s="210" t="s">
        <v>171</v>
      </c>
      <c r="C17" s="212" t="s">
        <v>205</v>
      </c>
      <c r="D17" s="205"/>
      <c r="E17" s="210" t="s">
        <v>168</v>
      </c>
      <c r="F17" s="213" t="s">
        <v>360</v>
      </c>
    </row>
    <row r="18" spans="1:9" x14ac:dyDescent="0.2">
      <c r="A18" s="216">
        <v>14</v>
      </c>
      <c r="B18" s="210" t="s">
        <v>172</v>
      </c>
      <c r="C18" s="212" t="s">
        <v>206</v>
      </c>
      <c r="D18" s="205"/>
      <c r="E18" s="210" t="s">
        <v>169</v>
      </c>
      <c r="F18" s="212" t="s">
        <v>201</v>
      </c>
    </row>
    <row r="19" spans="1:9" x14ac:dyDescent="0.2">
      <c r="A19" s="216">
        <v>15</v>
      </c>
      <c r="B19" s="210" t="s">
        <v>173</v>
      </c>
      <c r="C19" s="211" t="s">
        <v>287</v>
      </c>
      <c r="D19" s="205"/>
      <c r="E19" s="210" t="s">
        <v>159</v>
      </c>
      <c r="F19" s="212" t="s">
        <v>191</v>
      </c>
    </row>
    <row r="20" spans="1:9" x14ac:dyDescent="0.2">
      <c r="A20" s="216">
        <v>16</v>
      </c>
      <c r="B20" s="210" t="s">
        <v>174</v>
      </c>
      <c r="C20" s="212" t="s">
        <v>204</v>
      </c>
      <c r="D20" s="205"/>
      <c r="E20" s="210" t="s">
        <v>172</v>
      </c>
      <c r="F20" s="212" t="s">
        <v>206</v>
      </c>
    </row>
    <row r="21" spans="1:9" x14ac:dyDescent="0.2">
      <c r="A21" s="216">
        <v>17</v>
      </c>
      <c r="B21" s="210" t="s">
        <v>175</v>
      </c>
      <c r="C21" s="211" t="s">
        <v>196</v>
      </c>
      <c r="D21" s="205"/>
      <c r="E21" s="210" t="s">
        <v>313</v>
      </c>
      <c r="F21" s="215" t="s">
        <v>310</v>
      </c>
    </row>
    <row r="22" spans="1:9" x14ac:dyDescent="0.2">
      <c r="A22" s="216">
        <v>18</v>
      </c>
      <c r="B22" s="210" t="s">
        <v>176</v>
      </c>
      <c r="C22" s="211" t="s">
        <v>190</v>
      </c>
      <c r="D22" s="205"/>
      <c r="E22" s="210" t="s">
        <v>164</v>
      </c>
      <c r="F22" s="211" t="s">
        <v>354</v>
      </c>
    </row>
    <row r="23" spans="1:9" x14ac:dyDescent="0.2">
      <c r="A23" s="216">
        <v>19</v>
      </c>
      <c r="B23" s="210" t="s">
        <v>177</v>
      </c>
      <c r="C23" s="212" t="s">
        <v>207</v>
      </c>
      <c r="D23" s="205"/>
      <c r="E23" s="210" t="s">
        <v>210</v>
      </c>
      <c r="F23" s="215" t="s">
        <v>353</v>
      </c>
    </row>
    <row r="24" spans="1:9" x14ac:dyDescent="0.2">
      <c r="A24" s="216">
        <v>20</v>
      </c>
      <c r="B24" s="210" t="s">
        <v>178</v>
      </c>
      <c r="C24" s="211" t="s">
        <v>208</v>
      </c>
      <c r="D24" s="205"/>
      <c r="E24" s="210" t="s">
        <v>183</v>
      </c>
      <c r="F24" s="212" t="s">
        <v>315</v>
      </c>
    </row>
    <row r="25" spans="1:9" x14ac:dyDescent="0.2">
      <c r="A25" s="216">
        <v>21</v>
      </c>
      <c r="B25" s="214" t="s">
        <v>179</v>
      </c>
      <c r="C25" s="211" t="s">
        <v>209</v>
      </c>
      <c r="D25" s="205"/>
      <c r="E25" s="210" t="s">
        <v>166</v>
      </c>
      <c r="F25" s="211" t="s">
        <v>198</v>
      </c>
    </row>
    <row r="26" spans="1:9" x14ac:dyDescent="0.2">
      <c r="A26" s="216">
        <v>22</v>
      </c>
      <c r="B26" s="210" t="s">
        <v>180</v>
      </c>
      <c r="C26" s="212" t="s">
        <v>211</v>
      </c>
      <c r="D26" s="205"/>
      <c r="E26" s="210" t="s">
        <v>162</v>
      </c>
      <c r="F26" s="211" t="s">
        <v>195</v>
      </c>
    </row>
    <row r="27" spans="1:9" x14ac:dyDescent="0.2">
      <c r="A27" s="216">
        <v>23</v>
      </c>
      <c r="B27" s="210" t="s">
        <v>212</v>
      </c>
      <c r="C27" s="211" t="s">
        <v>213</v>
      </c>
      <c r="D27" s="205"/>
      <c r="E27" s="210" t="s">
        <v>177</v>
      </c>
      <c r="F27" s="212" t="s">
        <v>207</v>
      </c>
    </row>
    <row r="28" spans="1:9" x14ac:dyDescent="0.2">
      <c r="A28" s="216">
        <v>24</v>
      </c>
      <c r="B28" s="210" t="s">
        <v>210</v>
      </c>
      <c r="C28" s="215" t="s">
        <v>353</v>
      </c>
      <c r="D28" s="205"/>
      <c r="E28" s="210" t="s">
        <v>214</v>
      </c>
      <c r="F28" s="211" t="s">
        <v>215</v>
      </c>
    </row>
    <row r="29" spans="1:9" x14ac:dyDescent="0.2">
      <c r="A29" s="216">
        <v>25</v>
      </c>
      <c r="B29" s="210" t="s">
        <v>181</v>
      </c>
      <c r="C29" s="211" t="s">
        <v>192</v>
      </c>
      <c r="D29" s="205"/>
      <c r="E29" s="210" t="s">
        <v>216</v>
      </c>
      <c r="F29" s="211" t="s">
        <v>217</v>
      </c>
      <c r="I29" s="297"/>
    </row>
    <row r="30" spans="1:9" x14ac:dyDescent="0.2">
      <c r="A30" s="216">
        <v>26</v>
      </c>
      <c r="B30" s="210" t="s">
        <v>182</v>
      </c>
      <c r="C30" s="212" t="s">
        <v>202</v>
      </c>
      <c r="D30" s="205"/>
      <c r="E30" s="210" t="s">
        <v>218</v>
      </c>
      <c r="F30" s="211" t="s">
        <v>219</v>
      </c>
      <c r="I30" s="297"/>
    </row>
    <row r="31" spans="1:9" x14ac:dyDescent="0.2">
      <c r="A31" s="216">
        <v>27</v>
      </c>
      <c r="B31" s="210" t="s">
        <v>183</v>
      </c>
      <c r="C31" s="212" t="s">
        <v>315</v>
      </c>
      <c r="D31" s="205"/>
      <c r="E31" s="210" t="s">
        <v>184</v>
      </c>
      <c r="F31" s="212" t="s">
        <v>220</v>
      </c>
    </row>
    <row r="32" spans="1:9" x14ac:dyDescent="0.2">
      <c r="A32" s="216">
        <v>28</v>
      </c>
      <c r="B32" s="210" t="s">
        <v>184</v>
      </c>
      <c r="C32" s="212" t="s">
        <v>220</v>
      </c>
      <c r="D32" s="205"/>
      <c r="E32" s="210" t="s">
        <v>180</v>
      </c>
      <c r="F32" s="212" t="s">
        <v>211</v>
      </c>
    </row>
    <row r="33" spans="1:6" x14ac:dyDescent="0.2">
      <c r="A33" s="216">
        <v>29</v>
      </c>
      <c r="B33" s="210" t="s">
        <v>218</v>
      </c>
      <c r="C33" s="211" t="s">
        <v>219</v>
      </c>
      <c r="D33" s="205"/>
      <c r="E33" s="210" t="s">
        <v>171</v>
      </c>
      <c r="F33" s="212" t="s">
        <v>205</v>
      </c>
    </row>
    <row r="34" spans="1:6" x14ac:dyDescent="0.2">
      <c r="A34" s="216">
        <v>30</v>
      </c>
      <c r="B34" s="210" t="s">
        <v>221</v>
      </c>
      <c r="C34" s="215" t="s">
        <v>222</v>
      </c>
      <c r="D34" s="205"/>
      <c r="E34" s="210">
        <v>4111</v>
      </c>
      <c r="F34" s="212" t="s">
        <v>316</v>
      </c>
    </row>
    <row r="35" spans="1:6" x14ac:dyDescent="0.2">
      <c r="A35" s="216">
        <v>31</v>
      </c>
      <c r="B35" s="210" t="s">
        <v>223</v>
      </c>
      <c r="C35" s="212" t="s">
        <v>224</v>
      </c>
      <c r="D35" s="205"/>
      <c r="E35" s="210" t="s">
        <v>178</v>
      </c>
      <c r="F35" s="211" t="s">
        <v>208</v>
      </c>
    </row>
    <row r="36" spans="1:6" x14ac:dyDescent="0.2">
      <c r="A36" s="216">
        <v>32</v>
      </c>
      <c r="B36" s="210" t="s">
        <v>199</v>
      </c>
      <c r="C36" s="211" t="s">
        <v>321</v>
      </c>
      <c r="D36" s="205"/>
      <c r="E36" s="210" t="s">
        <v>225</v>
      </c>
      <c r="F36" s="211" t="s">
        <v>226</v>
      </c>
    </row>
    <row r="37" spans="1:6" x14ac:dyDescent="0.2">
      <c r="A37" s="216">
        <v>33</v>
      </c>
      <c r="B37" s="210" t="s">
        <v>313</v>
      </c>
      <c r="C37" s="212" t="s">
        <v>310</v>
      </c>
      <c r="D37" s="205"/>
      <c r="E37" s="210" t="s">
        <v>223</v>
      </c>
      <c r="F37" s="212" t="s">
        <v>224</v>
      </c>
    </row>
    <row r="38" spans="1:6" x14ac:dyDescent="0.2">
      <c r="A38" s="216">
        <v>34</v>
      </c>
      <c r="B38" s="210">
        <v>4031</v>
      </c>
      <c r="C38" s="211" t="s">
        <v>326</v>
      </c>
      <c r="D38" s="205"/>
      <c r="E38" s="210" t="s">
        <v>221</v>
      </c>
      <c r="F38" s="215" t="s">
        <v>222</v>
      </c>
    </row>
    <row r="39" spans="1:6" x14ac:dyDescent="0.2">
      <c r="A39" s="216">
        <v>35</v>
      </c>
      <c r="B39" s="210" t="s">
        <v>225</v>
      </c>
      <c r="C39" s="211" t="s">
        <v>226</v>
      </c>
      <c r="D39" s="205"/>
      <c r="E39" s="210" t="s">
        <v>173</v>
      </c>
      <c r="F39" s="212" t="s">
        <v>287</v>
      </c>
    </row>
    <row r="40" spans="1:6" x14ac:dyDescent="0.2">
      <c r="A40" s="216">
        <v>36</v>
      </c>
      <c r="B40" s="210" t="s">
        <v>216</v>
      </c>
      <c r="C40" s="211" t="s">
        <v>217</v>
      </c>
      <c r="D40" s="205"/>
      <c r="E40" s="210">
        <v>4091</v>
      </c>
      <c r="F40" s="212" t="s">
        <v>276</v>
      </c>
    </row>
    <row r="41" spans="1:6" x14ac:dyDescent="0.2">
      <c r="A41" s="216">
        <v>37</v>
      </c>
      <c r="B41" s="210" t="s">
        <v>214</v>
      </c>
      <c r="C41" s="211" t="s">
        <v>215</v>
      </c>
      <c r="D41" s="205"/>
      <c r="E41" s="210">
        <v>4031</v>
      </c>
      <c r="F41" s="211" t="s">
        <v>326</v>
      </c>
    </row>
    <row r="42" spans="1:6" x14ac:dyDescent="0.2">
      <c r="A42" s="216">
        <v>38</v>
      </c>
      <c r="B42" s="210" t="s">
        <v>200</v>
      </c>
      <c r="C42" s="211" t="s">
        <v>323</v>
      </c>
      <c r="D42" s="205"/>
      <c r="E42" s="214" t="s">
        <v>350</v>
      </c>
      <c r="F42" s="211" t="s">
        <v>351</v>
      </c>
    </row>
    <row r="43" spans="1:6" x14ac:dyDescent="0.2">
      <c r="A43" s="216">
        <v>39</v>
      </c>
      <c r="B43" s="210" t="s">
        <v>239</v>
      </c>
      <c r="C43" s="211" t="s">
        <v>243</v>
      </c>
      <c r="D43" s="205"/>
      <c r="E43" s="210" t="s">
        <v>160</v>
      </c>
      <c r="F43" s="212" t="s">
        <v>193</v>
      </c>
    </row>
    <row r="44" spans="1:6" x14ac:dyDescent="0.2">
      <c r="A44" s="216">
        <v>40</v>
      </c>
      <c r="B44" s="243" t="s">
        <v>234</v>
      </c>
      <c r="C44" s="188" t="s">
        <v>235</v>
      </c>
      <c r="D44" s="205"/>
      <c r="E44" s="210" t="s">
        <v>212</v>
      </c>
      <c r="F44" s="211" t="s">
        <v>213</v>
      </c>
    </row>
    <row r="45" spans="1:6" x14ac:dyDescent="0.2">
      <c r="A45" s="216">
        <v>41</v>
      </c>
      <c r="B45" s="243">
        <v>4090</v>
      </c>
      <c r="C45" s="188" t="s">
        <v>277</v>
      </c>
      <c r="D45" s="205"/>
      <c r="E45" s="210">
        <v>4090</v>
      </c>
      <c r="F45" s="212" t="s">
        <v>277</v>
      </c>
    </row>
    <row r="46" spans="1:6" x14ac:dyDescent="0.2">
      <c r="A46" s="216">
        <v>42</v>
      </c>
      <c r="B46" s="243">
        <v>4091</v>
      </c>
      <c r="C46" s="188" t="s">
        <v>276</v>
      </c>
      <c r="D46" s="205"/>
      <c r="E46" s="210" t="s">
        <v>301</v>
      </c>
      <c r="F46" s="212" t="s">
        <v>302</v>
      </c>
    </row>
    <row r="47" spans="1:6" x14ac:dyDescent="0.2">
      <c r="A47" s="216">
        <v>43</v>
      </c>
      <c r="B47" s="210" t="s">
        <v>269</v>
      </c>
      <c r="C47" s="211" t="s">
        <v>268</v>
      </c>
      <c r="D47" s="205"/>
      <c r="E47" s="210" t="s">
        <v>167</v>
      </c>
      <c r="F47" s="211" t="s">
        <v>311</v>
      </c>
    </row>
    <row r="48" spans="1:6" x14ac:dyDescent="0.2">
      <c r="A48" s="216">
        <v>44</v>
      </c>
      <c r="B48" s="210" t="s">
        <v>282</v>
      </c>
      <c r="C48" s="211" t="s">
        <v>283</v>
      </c>
      <c r="D48" s="205"/>
      <c r="E48" s="210" t="s">
        <v>163</v>
      </c>
      <c r="F48" s="211" t="s">
        <v>256</v>
      </c>
    </row>
    <row r="49" spans="1:6" x14ac:dyDescent="0.2">
      <c r="A49" s="216">
        <v>45</v>
      </c>
      <c r="B49" s="210" t="s">
        <v>301</v>
      </c>
      <c r="C49" s="242" t="s">
        <v>302</v>
      </c>
      <c r="D49" s="205"/>
      <c r="E49" s="210" t="s">
        <v>239</v>
      </c>
      <c r="F49" s="211" t="s">
        <v>243</v>
      </c>
    </row>
    <row r="50" spans="1:6" x14ac:dyDescent="0.2">
      <c r="A50" s="216">
        <v>46</v>
      </c>
      <c r="B50" s="210">
        <v>4111</v>
      </c>
      <c r="C50" s="211" t="s">
        <v>316</v>
      </c>
      <c r="D50" s="205"/>
      <c r="E50" s="210" t="s">
        <v>165</v>
      </c>
      <c r="F50" s="212" t="s">
        <v>197</v>
      </c>
    </row>
    <row r="51" spans="1:6" x14ac:dyDescent="0.2">
      <c r="A51" s="216">
        <v>47</v>
      </c>
      <c r="B51" s="210" t="s">
        <v>350</v>
      </c>
      <c r="C51" s="211" t="s">
        <v>351</v>
      </c>
      <c r="D51" s="205"/>
      <c r="E51" s="214" t="s">
        <v>179</v>
      </c>
      <c r="F51" s="211" t="s">
        <v>209</v>
      </c>
    </row>
    <row r="52" spans="1:6" x14ac:dyDescent="0.2">
      <c r="A52" s="216"/>
      <c r="D52" s="205"/>
    </row>
    <row r="53" spans="1:6" x14ac:dyDescent="0.2">
      <c r="A53" s="216"/>
      <c r="D53" s="205"/>
    </row>
    <row r="54" spans="1:6" x14ac:dyDescent="0.2">
      <c r="A54" s="216"/>
      <c r="D54" s="205"/>
    </row>
    <row r="55" spans="1:6" x14ac:dyDescent="0.2">
      <c r="A55" s="216"/>
      <c r="D55" s="205"/>
    </row>
    <row r="56" spans="1:6" x14ac:dyDescent="0.2">
      <c r="D56" s="205"/>
    </row>
  </sheetData>
  <mergeCells count="2">
    <mergeCell ref="B3:C3"/>
    <mergeCell ref="E3:F3"/>
  </mergeCells>
  <conditionalFormatting sqref="B5:C51">
    <cfRule type="expression" dxfId="1" priority="2" stopIfTrue="1">
      <formula>MOD(ROW(),2)=0</formula>
    </cfRule>
  </conditionalFormatting>
  <conditionalFormatting sqref="E5:F51">
    <cfRule type="expression" dxfId="0" priority="1">
      <formula>MOD(ROW(),2)=0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FFCCCC"/>
  </sheetPr>
  <dimension ref="A1:V221"/>
  <sheetViews>
    <sheetView topLeftCell="A129" workbookViewId="0">
      <selection activeCell="D60" sqref="D60"/>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121</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0</v>
      </c>
      <c r="D14" s="141">
        <v>0</v>
      </c>
      <c r="E14" s="187">
        <f>IF(D$30=0,C14*2,C14+D14)</f>
        <v>0</v>
      </c>
      <c r="F14" s="639">
        <f>'1461'!F14:G14</f>
        <v>1.1220000000000001</v>
      </c>
      <c r="G14" s="639"/>
      <c r="H14" s="145">
        <f>ROUND(E14*F14,4)</f>
        <v>0</v>
      </c>
      <c r="I14" s="111">
        <f>ROUND(ROUND(ROUND(H14*$C$8,4)*($H$8),2)*(MAX($H$9,1)),2)</f>
        <v>0</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0</v>
      </c>
      <c r="D15" s="143">
        <v>0</v>
      </c>
      <c r="E15" s="116">
        <f t="shared" ref="E15:E29" si="1">IF(D$30=0,C15*2,C15+D15)</f>
        <v>0</v>
      </c>
      <c r="F15" s="635">
        <f>'1461'!F15:G15</f>
        <v>1.1220000000000001</v>
      </c>
      <c r="G15" s="635"/>
      <c r="H15" s="80">
        <f t="shared" ref="H15:H29" si="2">ROUND(E15*F15,4)</f>
        <v>0</v>
      </c>
      <c r="I15" s="101">
        <f t="shared" ref="I15:I29" si="3">ROUND(ROUND(ROUND(H15*$C$8,4)*($H$8),2)*(MAX($H$9,1)),2)</f>
        <v>0</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6</v>
      </c>
      <c r="D16" s="143">
        <v>4.8899999999999997</v>
      </c>
      <c r="E16" s="116">
        <f t="shared" si="1"/>
        <v>10.89</v>
      </c>
      <c r="F16" s="635">
        <f>'1461'!F16:G16</f>
        <v>1</v>
      </c>
      <c r="G16" s="635"/>
      <c r="H16" s="80">
        <f t="shared" si="2"/>
        <v>10.89</v>
      </c>
      <c r="I16" s="101">
        <f t="shared" si="3"/>
        <v>58445.61</v>
      </c>
      <c r="N16" s="573" t="s">
        <v>22</v>
      </c>
      <c r="O16" s="573"/>
      <c r="P16" s="614">
        <f t="shared" si="0"/>
        <v>0</v>
      </c>
      <c r="Q16" s="614"/>
      <c r="R16" s="619">
        <v>1</v>
      </c>
      <c r="S16" s="619"/>
      <c r="T16" s="95">
        <f t="shared" si="4"/>
        <v>0</v>
      </c>
      <c r="U16" s="474">
        <f t="shared" si="5"/>
        <v>0</v>
      </c>
    </row>
    <row r="17" spans="1:21" x14ac:dyDescent="0.25">
      <c r="A17" s="550" t="s">
        <v>23</v>
      </c>
      <c r="B17" s="550"/>
      <c r="C17" s="143">
        <v>0.5</v>
      </c>
      <c r="D17" s="143">
        <v>0.98</v>
      </c>
      <c r="E17" s="116">
        <f t="shared" si="1"/>
        <v>1.48</v>
      </c>
      <c r="F17" s="635">
        <f>'1461'!F17:G17</f>
        <v>1</v>
      </c>
      <c r="G17" s="635"/>
      <c r="H17" s="80">
        <f t="shared" si="2"/>
        <v>1.48</v>
      </c>
      <c r="I17" s="101">
        <f t="shared" si="3"/>
        <v>7943.02</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41.11</v>
      </c>
      <c r="D18" s="143">
        <v>39.1</v>
      </c>
      <c r="E18" s="116">
        <f t="shared" si="1"/>
        <v>80.210000000000008</v>
      </c>
      <c r="F18" s="635">
        <f>'1461'!F18:G18</f>
        <v>0.98799999999999999</v>
      </c>
      <c r="G18" s="635"/>
      <c r="H18" s="80">
        <f t="shared" si="2"/>
        <v>79.247500000000002</v>
      </c>
      <c r="I18" s="101">
        <f t="shared" si="3"/>
        <v>425313.89</v>
      </c>
      <c r="N18" s="573" t="s">
        <v>24</v>
      </c>
      <c r="O18" s="573"/>
      <c r="P18" s="614">
        <f t="shared" si="0"/>
        <v>0</v>
      </c>
      <c r="Q18" s="614"/>
      <c r="R18" s="619">
        <v>1</v>
      </c>
      <c r="S18" s="619"/>
      <c r="T18" s="95">
        <f t="shared" si="4"/>
        <v>0</v>
      </c>
      <c r="U18" s="474">
        <f t="shared" si="5"/>
        <v>0</v>
      </c>
    </row>
    <row r="19" spans="1:21" x14ac:dyDescent="0.25">
      <c r="A19" s="550" t="s">
        <v>25</v>
      </c>
      <c r="B19" s="550"/>
      <c r="C19" s="143">
        <v>13.15</v>
      </c>
      <c r="D19" s="143">
        <v>12.99</v>
      </c>
      <c r="E19" s="116">
        <f t="shared" si="1"/>
        <v>26.14</v>
      </c>
      <c r="F19" s="635">
        <f>'1461'!F19:G19</f>
        <v>0.98799999999999999</v>
      </c>
      <c r="G19" s="635"/>
      <c r="H19" s="80">
        <f t="shared" si="2"/>
        <v>25.8263</v>
      </c>
      <c r="I19" s="101">
        <f t="shared" si="3"/>
        <v>138607.32999999999</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0</v>
      </c>
      <c r="D26" s="143">
        <v>0</v>
      </c>
      <c r="E26" s="116">
        <f t="shared" si="1"/>
        <v>0</v>
      </c>
      <c r="F26" s="635">
        <f>'1461'!F26:G26</f>
        <v>1.208</v>
      </c>
      <c r="G26" s="635"/>
      <c r="H26" s="80">
        <f t="shared" si="2"/>
        <v>0</v>
      </c>
      <c r="I26" s="101">
        <f t="shared" si="3"/>
        <v>0</v>
      </c>
      <c r="N26" s="573" t="s">
        <v>85</v>
      </c>
      <c r="O26" s="573"/>
      <c r="P26" s="614">
        <f t="shared" si="0"/>
        <v>0</v>
      </c>
      <c r="Q26" s="614"/>
      <c r="R26" s="619">
        <v>1</v>
      </c>
      <c r="S26" s="619"/>
      <c r="T26" s="95">
        <f t="shared" si="4"/>
        <v>0</v>
      </c>
      <c r="U26" s="474">
        <f t="shared" si="5"/>
        <v>0</v>
      </c>
    </row>
    <row r="27" spans="1:21" x14ac:dyDescent="0.25">
      <c r="A27" s="550" t="s">
        <v>86</v>
      </c>
      <c r="B27" s="550"/>
      <c r="C27" s="143">
        <v>0</v>
      </c>
      <c r="D27" s="143">
        <v>0</v>
      </c>
      <c r="E27" s="116">
        <f t="shared" si="1"/>
        <v>0</v>
      </c>
      <c r="F27" s="635">
        <f>'1461'!F27:G27</f>
        <v>1.208</v>
      </c>
      <c r="G27" s="635"/>
      <c r="H27" s="80">
        <f t="shared" si="2"/>
        <v>0</v>
      </c>
      <c r="I27" s="101">
        <f t="shared" si="3"/>
        <v>0</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1.56</v>
      </c>
      <c r="D29" s="110">
        <v>2.4700000000000002</v>
      </c>
      <c r="E29" s="116">
        <f t="shared" si="1"/>
        <v>4.03</v>
      </c>
      <c r="F29" s="635">
        <f>'1461'!F29:G29</f>
        <v>1.0720000000000001</v>
      </c>
      <c r="G29" s="635"/>
      <c r="H29" s="93">
        <f t="shared" si="2"/>
        <v>4.3201999999999998</v>
      </c>
      <c r="I29" s="94">
        <f t="shared" si="3"/>
        <v>23186.11</v>
      </c>
      <c r="N29" s="588" t="s">
        <v>88</v>
      </c>
      <c r="O29" s="588"/>
      <c r="P29" s="614">
        <f t="shared" si="0"/>
        <v>0</v>
      </c>
      <c r="Q29" s="614"/>
      <c r="R29" s="615">
        <v>1</v>
      </c>
      <c r="S29" s="615"/>
      <c r="T29" s="95">
        <f t="shared" si="4"/>
        <v>0</v>
      </c>
      <c r="U29" s="474">
        <f t="shared" si="5"/>
        <v>0</v>
      </c>
    </row>
    <row r="30" spans="1:21" x14ac:dyDescent="0.25">
      <c r="A30" s="562" t="s">
        <v>5</v>
      </c>
      <c r="B30" s="562"/>
      <c r="C30" s="94">
        <f>SUM(C14:C29)</f>
        <v>62.32</v>
      </c>
      <c r="D30" s="94">
        <f>SUM(D14:D29)</f>
        <v>60.43</v>
      </c>
      <c r="E30" s="97">
        <f>SUM(E14:E29)</f>
        <v>122.75000000000001</v>
      </c>
      <c r="F30" s="554"/>
      <c r="G30" s="554"/>
      <c r="H30" s="99">
        <f>SUM(H14:H29)</f>
        <v>121.76400000000001</v>
      </c>
      <c r="I30" s="94">
        <f>SUM(I14:I29)</f>
        <v>653495.96</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121.76400000000001</v>
      </c>
      <c r="F46" s="34"/>
      <c r="G46" s="106"/>
      <c r="H46" s="107" t="s">
        <v>98</v>
      </c>
      <c r="I46" s="94">
        <f>SUM(I44,I30)</f>
        <v>653495.96</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653495.96</v>
      </c>
      <c r="G51" s="109" t="s">
        <v>6</v>
      </c>
      <c r="H51" s="402">
        <v>4.5199999999999997E-2</v>
      </c>
      <c r="I51" s="101">
        <f>ROUND(F51*H51,2)</f>
        <v>29538.02</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653495.96</v>
      </c>
      <c r="G52" s="109" t="s">
        <v>6</v>
      </c>
      <c r="H52" s="402">
        <v>1.41E-2</v>
      </c>
      <c r="I52" s="101">
        <f>ROUND(F52*H52,2)</f>
        <v>9214.2900000000009</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38752.31</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0</v>
      </c>
      <c r="D57" s="143">
        <v>0</v>
      </c>
      <c r="E57" s="116">
        <f t="shared" ref="E57:E65" si="10">IF(D$66=0,C57*2,C57+D57)</f>
        <v>0</v>
      </c>
      <c r="F57" s="444" t="s">
        <v>434</v>
      </c>
      <c r="G57" s="444">
        <v>251</v>
      </c>
      <c r="H57" s="458">
        <f>'1461'!H57</f>
        <v>1047</v>
      </c>
      <c r="I57" s="101">
        <f>ROUND(E57*H57,2)</f>
        <v>0</v>
      </c>
      <c r="N57" s="590" t="s">
        <v>442</v>
      </c>
      <c r="O57" s="590"/>
      <c r="P57" s="593"/>
      <c r="Q57" s="593"/>
      <c r="R57" s="450" t="s">
        <v>434</v>
      </c>
      <c r="S57" s="450">
        <v>251</v>
      </c>
      <c r="T57" s="461">
        <f>H57</f>
        <v>1047</v>
      </c>
      <c r="U57" s="475">
        <f>ROUND(P57*T57,2)</f>
        <v>0</v>
      </c>
      <c r="V57" s="425"/>
    </row>
    <row r="58" spans="1:22" x14ac:dyDescent="0.25">
      <c r="A58" s="561"/>
      <c r="B58" s="561"/>
      <c r="C58" s="143">
        <v>0</v>
      </c>
      <c r="D58" s="143">
        <v>0</v>
      </c>
      <c r="E58" s="116">
        <f t="shared" si="10"/>
        <v>0</v>
      </c>
      <c r="F58" s="444" t="s">
        <v>434</v>
      </c>
      <c r="G58" s="444">
        <v>252</v>
      </c>
      <c r="H58" s="458">
        <f>'1461'!H58</f>
        <v>3380</v>
      </c>
      <c r="I58" s="101">
        <f t="shared" ref="I58:I65" si="11">ROUND(E58*H58,2)</f>
        <v>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0.5</v>
      </c>
      <c r="D60" s="143">
        <v>0.98</v>
      </c>
      <c r="E60" s="116">
        <f t="shared" si="10"/>
        <v>1.48</v>
      </c>
      <c r="F60" s="445" t="s">
        <v>13</v>
      </c>
      <c r="G60" s="444">
        <v>251</v>
      </c>
      <c r="H60" s="458">
        <f>'1461'!H60</f>
        <v>1173</v>
      </c>
      <c r="I60" s="101">
        <f t="shared" si="11"/>
        <v>1736.04</v>
      </c>
      <c r="N60" s="591"/>
      <c r="O60" s="591"/>
      <c r="P60" s="594"/>
      <c r="Q60" s="594"/>
      <c r="R60" s="40" t="s">
        <v>13</v>
      </c>
      <c r="S60" s="450">
        <v>251</v>
      </c>
      <c r="T60" s="461">
        <f t="shared" si="12"/>
        <v>1173</v>
      </c>
      <c r="U60" s="475">
        <f t="shared" si="13"/>
        <v>0</v>
      </c>
      <c r="V60" s="425"/>
    </row>
    <row r="61" spans="1:22" x14ac:dyDescent="0.25">
      <c r="A61" s="561"/>
      <c r="B61" s="561"/>
      <c r="C61" s="143">
        <v>0</v>
      </c>
      <c r="D61" s="143">
        <v>0</v>
      </c>
      <c r="E61" s="116">
        <f t="shared" si="10"/>
        <v>0</v>
      </c>
      <c r="F61" s="445" t="s">
        <v>13</v>
      </c>
      <c r="G61" s="444">
        <v>252</v>
      </c>
      <c r="H61" s="458">
        <f>'1461'!H61</f>
        <v>3506</v>
      </c>
      <c r="I61" s="101">
        <f t="shared" si="11"/>
        <v>0</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13.15</v>
      </c>
      <c r="D63" s="143">
        <v>12.99</v>
      </c>
      <c r="E63" s="116">
        <f t="shared" si="10"/>
        <v>26.14</v>
      </c>
      <c r="F63" s="445" t="s">
        <v>14</v>
      </c>
      <c r="G63" s="444">
        <v>251</v>
      </c>
      <c r="H63" s="458">
        <f>'1461'!H63</f>
        <v>835</v>
      </c>
      <c r="I63" s="101">
        <f t="shared" si="11"/>
        <v>21826.9</v>
      </c>
      <c r="N63" s="591"/>
      <c r="O63" s="591"/>
      <c r="P63" s="594"/>
      <c r="Q63" s="594"/>
      <c r="R63" s="40" t="s">
        <v>14</v>
      </c>
      <c r="S63" s="450">
        <v>251</v>
      </c>
      <c r="T63" s="461">
        <f t="shared" si="12"/>
        <v>835</v>
      </c>
      <c r="U63" s="475">
        <f t="shared" si="13"/>
        <v>0</v>
      </c>
      <c r="V63" s="425"/>
    </row>
    <row r="64" spans="1:22" x14ac:dyDescent="0.25">
      <c r="A64" s="561"/>
      <c r="B64" s="561"/>
      <c r="C64" s="143">
        <v>0</v>
      </c>
      <c r="D64" s="143">
        <v>0</v>
      </c>
      <c r="E64" s="116">
        <f t="shared" si="10"/>
        <v>0</v>
      </c>
      <c r="F64" s="445" t="s">
        <v>14</v>
      </c>
      <c r="G64" s="444">
        <v>252</v>
      </c>
      <c r="H64" s="458">
        <f>'1461'!H64</f>
        <v>3168</v>
      </c>
      <c r="I64" s="101">
        <f t="shared" si="11"/>
        <v>0</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13.65</v>
      </c>
      <c r="D66" s="97">
        <f>SUM(D57:D65)</f>
        <v>13.97</v>
      </c>
      <c r="E66" s="97">
        <f>SUM(E57:E65)</f>
        <v>27.62</v>
      </c>
      <c r="F66" s="562" t="s">
        <v>443</v>
      </c>
      <c r="G66" s="562"/>
      <c r="H66" s="562"/>
      <c r="I66" s="97">
        <f>SUM(I57:I65)</f>
        <v>23562.940000000002</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122.75000000000001</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6.0800000000000003E-4</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121.76400000000001</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5.3600000000000002E-4</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122.75000000000001</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6.5799999999999995E-4</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122.75000000000001</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6.0899999999999995E-4</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122.75000000000001</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6.6E-4</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6.0899999999999995E-4</v>
      </c>
      <c r="I85" s="101">
        <f>ROUND(F85*H85,2)</f>
        <v>26984.36</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6.0800000000000003E-4</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6.6E-4</v>
      </c>
      <c r="I90" s="101">
        <f>ROUND(F90*H90,2)</f>
        <v>10741.95</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6.5799999999999995E-4</v>
      </c>
      <c r="I92" s="101">
        <f t="shared" ref="I92:I96" si="14">ROUND(F92*H92,2)</f>
        <v>6664.25</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5.3600000000000002E-4</v>
      </c>
      <c r="I94" s="101">
        <f t="shared" si="14"/>
        <v>128102.75</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5.3600000000000002E-4</v>
      </c>
      <c r="I96" s="101">
        <f t="shared" si="14"/>
        <v>0</v>
      </c>
      <c r="N96" s="572" t="s">
        <v>418</v>
      </c>
      <c r="O96" s="573"/>
      <c r="P96" s="573"/>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475</v>
      </c>
      <c r="B98" s="512"/>
      <c r="C98" s="512"/>
      <c r="D98" s="512"/>
      <c r="E98" s="510" t="s">
        <v>3</v>
      </c>
      <c r="F98" s="291">
        <v>0</v>
      </c>
      <c r="G98" s="511" t="s">
        <v>6</v>
      </c>
      <c r="H98" s="423">
        <f>H70</f>
        <v>6.0800000000000003E-4</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0</v>
      </c>
      <c r="D104" s="568"/>
      <c r="E104" s="46">
        <f>H8</f>
        <v>1.0442</v>
      </c>
      <c r="F104" s="304">
        <f>'1461'!F104</f>
        <v>947.59</v>
      </c>
      <c r="G104" s="39" t="s">
        <v>12</v>
      </c>
      <c r="H104" s="101">
        <f>ROUND(C104*E104*F104,2)</f>
        <v>0</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12.370000000000001</v>
      </c>
      <c r="D105" s="568"/>
      <c r="E105" s="46">
        <f>H8</f>
        <v>1.0442</v>
      </c>
      <c r="F105" s="304">
        <f>'1461'!F105</f>
        <v>904.74</v>
      </c>
      <c r="G105" s="39" t="s">
        <v>12</v>
      </c>
      <c r="H105" s="101">
        <f>ROUND(C105*E105*F105,2)</f>
        <v>11686.3</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109.39400000000001</v>
      </c>
      <c r="D106" s="568"/>
      <c r="E106" s="46">
        <f>H8</f>
        <v>1.0442</v>
      </c>
      <c r="F106" s="304">
        <f>'1461'!F106</f>
        <v>906.93</v>
      </c>
      <c r="G106" s="39" t="s">
        <v>12</v>
      </c>
      <c r="H106" s="94">
        <f>ROUND(C106*E106*F106,2)</f>
        <v>103597.9</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121.76400000000001</v>
      </c>
      <c r="D107" s="558"/>
      <c r="E107" s="123"/>
      <c r="F107" s="123"/>
      <c r="G107" s="123"/>
      <c r="H107" s="124" t="s">
        <v>100</v>
      </c>
      <c r="I107" s="101">
        <f>IF(A1=75,0,H106+H105+H104)</f>
        <v>115284.2</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103</v>
      </c>
      <c r="D113" s="143">
        <v>0</v>
      </c>
      <c r="E113" s="116">
        <f>C113</f>
        <v>103</v>
      </c>
      <c r="F113" s="126" t="s">
        <v>30</v>
      </c>
      <c r="G113" s="305">
        <f>'1461'!G113</f>
        <v>548</v>
      </c>
      <c r="I113" s="101">
        <f>ROUND(G113*E113,2)</f>
        <v>56444</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16">
        <f>(C114+D114)/2</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1021280.4099999998</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982528.09999999986</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982528.09999999986</v>
      </c>
      <c r="I135" s="94">
        <f>ROUND(IF(E30=0,0,IF(E30&gt;250,-(((250/E30)*H135)*IF(G135="H",0.02,0.05)),IF(G135="H",-0.02*H135,-0.05*H135))),2)</f>
        <v>-49126.41</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972153.99999999977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-181975.22-87830.88-87830.88-87830.88-87830.88-74426.2-75553.37-75444.99</f>
        <v>-758723.29999999993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213430.69999999984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71143.570000000007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FFCCCC"/>
  </sheetPr>
  <dimension ref="A1:V221"/>
  <sheetViews>
    <sheetView topLeftCell="A102" workbookViewId="0">
      <selection activeCell="C64" sqref="C64"/>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113</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0</v>
      </c>
      <c r="D14" s="141">
        <v>0</v>
      </c>
      <c r="E14" s="187">
        <f>IF(D$30=0,C14*2,C14+D14)</f>
        <v>0</v>
      </c>
      <c r="F14" s="639">
        <f>'1461'!F14:G14</f>
        <v>1.1220000000000001</v>
      </c>
      <c r="G14" s="639"/>
      <c r="H14" s="145">
        <f>ROUND(E14*F14,4)</f>
        <v>0</v>
      </c>
      <c r="I14" s="111">
        <f>ROUND(ROUND(ROUND(H14*$C$8,4)*($H$8),2)*(MAX($H$9,1)),2)</f>
        <v>0</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0</v>
      </c>
      <c r="D15" s="143">
        <v>0</v>
      </c>
      <c r="E15" s="116">
        <f t="shared" ref="E15:E29" si="1">IF(D$30=0,C15*2,C15+D15)</f>
        <v>0</v>
      </c>
      <c r="F15" s="635">
        <f>'1461'!F15:G15</f>
        <v>1.1220000000000001</v>
      </c>
      <c r="G15" s="635"/>
      <c r="H15" s="80">
        <f t="shared" ref="H15:H29" si="2">ROUND(E15*F15,4)</f>
        <v>0</v>
      </c>
      <c r="I15" s="101">
        <f t="shared" ref="I15:I29" si="3">ROUND(ROUND(ROUND(H15*$C$8,4)*($H$8),2)*(MAX($H$9,1)),2)</f>
        <v>0</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0</v>
      </c>
      <c r="D16" s="143">
        <v>0</v>
      </c>
      <c r="E16" s="116">
        <f t="shared" si="1"/>
        <v>0</v>
      </c>
      <c r="F16" s="635">
        <f>'1461'!F16:G16</f>
        <v>1</v>
      </c>
      <c r="G16" s="635"/>
      <c r="H16" s="80">
        <f t="shared" si="2"/>
        <v>0</v>
      </c>
      <c r="I16" s="101">
        <f t="shared" si="3"/>
        <v>0</v>
      </c>
      <c r="N16" s="573" t="s">
        <v>22</v>
      </c>
      <c r="O16" s="573"/>
      <c r="P16" s="614">
        <f t="shared" si="0"/>
        <v>0</v>
      </c>
      <c r="Q16" s="614"/>
      <c r="R16" s="619">
        <v>1</v>
      </c>
      <c r="S16" s="619"/>
      <c r="T16" s="95">
        <f t="shared" si="4"/>
        <v>0</v>
      </c>
      <c r="U16" s="474">
        <f t="shared" si="5"/>
        <v>0</v>
      </c>
    </row>
    <row r="17" spans="1:21" x14ac:dyDescent="0.25">
      <c r="A17" s="550" t="s">
        <v>23</v>
      </c>
      <c r="B17" s="550"/>
      <c r="C17" s="143">
        <v>0</v>
      </c>
      <c r="D17" s="143">
        <v>0</v>
      </c>
      <c r="E17" s="116">
        <f t="shared" si="1"/>
        <v>0</v>
      </c>
      <c r="F17" s="635">
        <f>'1461'!F17:G17</f>
        <v>1</v>
      </c>
      <c r="G17" s="635"/>
      <c r="H17" s="80">
        <f t="shared" si="2"/>
        <v>0</v>
      </c>
      <c r="I17" s="101">
        <f t="shared" si="3"/>
        <v>0</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0</v>
      </c>
      <c r="D18" s="143">
        <v>0</v>
      </c>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45.43</v>
      </c>
      <c r="D19" s="143">
        <v>48.32</v>
      </c>
      <c r="E19" s="116">
        <f t="shared" si="1"/>
        <v>93.75</v>
      </c>
      <c r="F19" s="635">
        <f>'1461'!F19:G19</f>
        <v>0.98799999999999999</v>
      </c>
      <c r="G19" s="635"/>
      <c r="H19" s="80">
        <f t="shared" si="2"/>
        <v>92.625</v>
      </c>
      <c r="I19" s="101">
        <f>ROUND(ROUND(ROUND(H19*$C$8,4)*($H$8),2)*(MAX($H$9,1)),2)</f>
        <v>497109.67</v>
      </c>
      <c r="J19" s="65" t="str">
        <f>IF(ROUND(E19,2)=ROUND(SUM(E63:E65),2)," ","CHECK 4-8 LINES BELOW")</f>
        <v xml:space="preserve"> </v>
      </c>
      <c r="N19" s="573" t="s">
        <v>25</v>
      </c>
      <c r="O19" s="573"/>
      <c r="P19" s="614">
        <f t="shared" si="0"/>
        <v>93.75</v>
      </c>
      <c r="Q19" s="614"/>
      <c r="R19" s="619">
        <v>1</v>
      </c>
      <c r="S19" s="619"/>
      <c r="T19" s="95">
        <f t="shared" si="4"/>
        <v>93.75</v>
      </c>
      <c r="U19" s="473">
        <f t="shared" si="5"/>
        <v>503147.44</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0</v>
      </c>
      <c r="D26" s="143">
        <v>0</v>
      </c>
      <c r="E26" s="116">
        <f t="shared" si="1"/>
        <v>0</v>
      </c>
      <c r="F26" s="635">
        <f>'1461'!F26:G26</f>
        <v>1.208</v>
      </c>
      <c r="G26" s="635"/>
      <c r="H26" s="80">
        <f t="shared" si="2"/>
        <v>0</v>
      </c>
      <c r="I26" s="101">
        <f t="shared" si="3"/>
        <v>0</v>
      </c>
      <c r="N26" s="573" t="s">
        <v>85</v>
      </c>
      <c r="O26" s="573"/>
      <c r="P26" s="614">
        <f t="shared" si="0"/>
        <v>0</v>
      </c>
      <c r="Q26" s="614"/>
      <c r="R26" s="619">
        <v>1</v>
      </c>
      <c r="S26" s="619"/>
      <c r="T26" s="95">
        <f t="shared" si="4"/>
        <v>0</v>
      </c>
      <c r="U26" s="474">
        <f t="shared" si="5"/>
        <v>0</v>
      </c>
    </row>
    <row r="27" spans="1:21" x14ac:dyDescent="0.25">
      <c r="A27" s="550" t="s">
        <v>86</v>
      </c>
      <c r="B27" s="550"/>
      <c r="C27" s="143">
        <v>0</v>
      </c>
      <c r="D27" s="143">
        <v>0</v>
      </c>
      <c r="E27" s="116">
        <f t="shared" si="1"/>
        <v>0</v>
      </c>
      <c r="F27" s="635">
        <f>'1461'!F27:G27</f>
        <v>1.208</v>
      </c>
      <c r="G27" s="635"/>
      <c r="H27" s="80">
        <f t="shared" si="2"/>
        <v>0</v>
      </c>
      <c r="I27" s="101">
        <f t="shared" si="3"/>
        <v>0</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45.43</v>
      </c>
      <c r="D30" s="94">
        <f>SUM(D14:D29)</f>
        <v>48.32</v>
      </c>
      <c r="E30" s="94">
        <f>SUM(E14:E29)</f>
        <v>93.75</v>
      </c>
      <c r="F30" s="554"/>
      <c r="G30" s="554"/>
      <c r="H30" s="99">
        <f>SUM(H14:H29)</f>
        <v>92.625</v>
      </c>
      <c r="I30" s="94">
        <f>SUM(I14:I29)</f>
        <v>497109.67</v>
      </c>
      <c r="N30" s="616" t="s">
        <v>5</v>
      </c>
      <c r="O30" s="616"/>
      <c r="P30" s="617">
        <f>SUM(P14:P29)</f>
        <v>93.75</v>
      </c>
      <c r="Q30" s="617"/>
      <c r="R30" s="589"/>
      <c r="S30" s="589"/>
      <c r="T30" s="100">
        <f>SUM(T14:T29)</f>
        <v>93.75</v>
      </c>
      <c r="U30" s="474">
        <f>SUM(U14:U29)</f>
        <v>503147.44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92.625</v>
      </c>
      <c r="F46" s="34"/>
      <c r="G46" s="106"/>
      <c r="H46" s="107" t="s">
        <v>98</v>
      </c>
      <c r="I46" s="94">
        <f>SUM(I44,I30)</f>
        <v>497109.67</v>
      </c>
      <c r="N46" s="575" t="s">
        <v>44</v>
      </c>
      <c r="O46" s="575"/>
      <c r="P46" s="575"/>
      <c r="Q46" s="575"/>
      <c r="R46" s="35">
        <f>R44+T30</f>
        <v>93.75</v>
      </c>
      <c r="S46" s="589" t="s">
        <v>42</v>
      </c>
      <c r="T46" s="589"/>
      <c r="U46" s="108">
        <f>SUM(U44,U30)</f>
        <v>503147.44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497109.67</v>
      </c>
      <c r="G51" s="109" t="s">
        <v>6</v>
      </c>
      <c r="H51" s="402">
        <v>4.5199999999999997E-2</v>
      </c>
      <c r="I51" s="101">
        <f>ROUND(F51*H51,2)</f>
        <v>22469.360000000001</v>
      </c>
      <c r="N51" s="407"/>
      <c r="O51" s="408" t="s">
        <v>394</v>
      </c>
      <c r="P51" s="28"/>
      <c r="Q51" s="44" t="s">
        <v>395</v>
      </c>
      <c r="R51" s="409">
        <f>U30</f>
        <v>503147.44</v>
      </c>
      <c r="S51" s="410" t="s">
        <v>6</v>
      </c>
      <c r="T51" s="411">
        <v>4.5199999999999997E-2</v>
      </c>
      <c r="U51" s="403">
        <f>ROUND(R51*T51,2)</f>
        <v>22742.26</v>
      </c>
    </row>
    <row r="52" spans="1:22" x14ac:dyDescent="0.25">
      <c r="A52" s="26"/>
      <c r="B52" s="81" t="s">
        <v>396</v>
      </c>
      <c r="C52" s="26"/>
      <c r="D52" s="26"/>
      <c r="E52" s="43" t="s">
        <v>395</v>
      </c>
      <c r="F52" s="401">
        <f>I46</f>
        <v>497109.67</v>
      </c>
      <c r="G52" s="109" t="s">
        <v>6</v>
      </c>
      <c r="H52" s="402">
        <v>1.41E-2</v>
      </c>
      <c r="I52" s="101">
        <f>ROUND(F52*H52,2)</f>
        <v>7009.25</v>
      </c>
      <c r="N52" s="28"/>
      <c r="O52" s="384" t="s">
        <v>396</v>
      </c>
      <c r="P52" s="28"/>
      <c r="Q52" s="44" t="s">
        <v>395</v>
      </c>
      <c r="R52" s="409">
        <f>U30</f>
        <v>503147.44</v>
      </c>
      <c r="S52" s="410" t="s">
        <v>6</v>
      </c>
      <c r="T52" s="411">
        <v>1.41E-2</v>
      </c>
      <c r="U52" s="412">
        <f>ROUND(R52*T52,2)</f>
        <v>7094.38</v>
      </c>
    </row>
    <row r="53" spans="1:22" x14ac:dyDescent="0.25">
      <c r="A53" s="26"/>
      <c r="B53" s="81" t="s">
        <v>397</v>
      </c>
      <c r="C53" s="26"/>
      <c r="D53" s="26"/>
      <c r="E53" s="43"/>
      <c r="F53" s="401"/>
      <c r="G53" s="109"/>
      <c r="H53" s="402"/>
      <c r="I53" s="97">
        <f>SUM(I51:I52)</f>
        <v>29478.61</v>
      </c>
      <c r="N53" s="28"/>
      <c r="O53" s="384" t="s">
        <v>397</v>
      </c>
      <c r="P53" s="28"/>
      <c r="Q53" s="44"/>
      <c r="R53" s="409"/>
      <c r="S53" s="410"/>
      <c r="T53" s="411"/>
      <c r="U53" s="403">
        <f>SUM(U51:U52)</f>
        <v>29836.639999999999</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0</v>
      </c>
      <c r="D57" s="143">
        <v>0</v>
      </c>
      <c r="E57" s="116">
        <f t="shared" ref="E57:E65" si="10">IF(D$66=0,C57*2,C57+D57)</f>
        <v>0</v>
      </c>
      <c r="F57" s="444" t="s">
        <v>434</v>
      </c>
      <c r="G57" s="444">
        <v>251</v>
      </c>
      <c r="H57" s="458">
        <f>'1461'!H57</f>
        <v>1047</v>
      </c>
      <c r="I57" s="101">
        <f>ROUND(E57*H57,2)</f>
        <v>0</v>
      </c>
      <c r="N57" s="590" t="s">
        <v>442</v>
      </c>
      <c r="O57" s="590"/>
      <c r="P57" s="593"/>
      <c r="Q57" s="593"/>
      <c r="R57" s="450" t="s">
        <v>434</v>
      </c>
      <c r="S57" s="450">
        <v>251</v>
      </c>
      <c r="T57" s="461">
        <f>H57</f>
        <v>1047</v>
      </c>
      <c r="U57" s="475">
        <f>ROUND(P57*T57,2)</f>
        <v>0</v>
      </c>
      <c r="V57" s="425"/>
    </row>
    <row r="58" spans="1:22" x14ac:dyDescent="0.25">
      <c r="A58" s="561"/>
      <c r="B58" s="561"/>
      <c r="C58" s="143">
        <v>0</v>
      </c>
      <c r="D58" s="143">
        <v>0</v>
      </c>
      <c r="E58" s="116">
        <f t="shared" si="10"/>
        <v>0</v>
      </c>
      <c r="F58" s="444" t="s">
        <v>434</v>
      </c>
      <c r="G58" s="444">
        <v>252</v>
      </c>
      <c r="H58" s="458">
        <f>'1461'!H58</f>
        <v>3380</v>
      </c>
      <c r="I58" s="101">
        <f t="shared" ref="I58:I65" si="11">ROUND(E58*H58,2)</f>
        <v>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0</v>
      </c>
      <c r="D60" s="143">
        <v>0</v>
      </c>
      <c r="E60" s="116">
        <f t="shared" si="10"/>
        <v>0</v>
      </c>
      <c r="F60" s="445" t="s">
        <v>13</v>
      </c>
      <c r="G60" s="444">
        <v>251</v>
      </c>
      <c r="H60" s="458">
        <f>'1461'!H60</f>
        <v>1173</v>
      </c>
      <c r="I60" s="101">
        <f t="shared" si="11"/>
        <v>0</v>
      </c>
      <c r="N60" s="591"/>
      <c r="O60" s="591"/>
      <c r="P60" s="594"/>
      <c r="Q60" s="594"/>
      <c r="R60" s="40" t="s">
        <v>13</v>
      </c>
      <c r="S60" s="450">
        <v>251</v>
      </c>
      <c r="T60" s="461">
        <f t="shared" si="12"/>
        <v>1173</v>
      </c>
      <c r="U60" s="475">
        <f t="shared" si="13"/>
        <v>0</v>
      </c>
      <c r="V60" s="425"/>
    </row>
    <row r="61" spans="1:22" x14ac:dyDescent="0.25">
      <c r="A61" s="561"/>
      <c r="B61" s="561"/>
      <c r="C61" s="143">
        <v>0</v>
      </c>
      <c r="D61" s="143">
        <v>0</v>
      </c>
      <c r="E61" s="116">
        <f t="shared" si="10"/>
        <v>0</v>
      </c>
      <c r="F61" s="445" t="s">
        <v>13</v>
      </c>
      <c r="G61" s="444">
        <v>252</v>
      </c>
      <c r="H61" s="458">
        <f>'1461'!H61</f>
        <v>3506</v>
      </c>
      <c r="I61" s="101">
        <f t="shared" si="11"/>
        <v>0</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0</v>
      </c>
      <c r="D63" s="143">
        <v>0</v>
      </c>
      <c r="E63" s="116">
        <f t="shared" si="10"/>
        <v>0</v>
      </c>
      <c r="F63" s="445" t="s">
        <v>14</v>
      </c>
      <c r="G63" s="444">
        <v>251</v>
      </c>
      <c r="H63" s="458">
        <f>'1461'!H63</f>
        <v>835</v>
      </c>
      <c r="I63" s="101">
        <f t="shared" si="11"/>
        <v>0</v>
      </c>
      <c r="N63" s="591"/>
      <c r="O63" s="591"/>
      <c r="P63" s="594"/>
      <c r="Q63" s="594"/>
      <c r="R63" s="40" t="s">
        <v>14</v>
      </c>
      <c r="S63" s="450">
        <v>251</v>
      </c>
      <c r="T63" s="461">
        <f t="shared" si="12"/>
        <v>835</v>
      </c>
      <c r="U63" s="475">
        <f t="shared" si="13"/>
        <v>0</v>
      </c>
      <c r="V63" s="425"/>
    </row>
    <row r="64" spans="1:22" x14ac:dyDescent="0.25">
      <c r="A64" s="561"/>
      <c r="B64" s="561"/>
      <c r="C64" s="143">
        <v>31.42</v>
      </c>
      <c r="D64" s="143">
        <v>33.42</v>
      </c>
      <c r="E64" s="116">
        <f t="shared" si="10"/>
        <v>64.84</v>
      </c>
      <c r="F64" s="445" t="s">
        <v>14</v>
      </c>
      <c r="G64" s="444">
        <v>252</v>
      </c>
      <c r="H64" s="458">
        <f>'1461'!H64</f>
        <v>3168</v>
      </c>
      <c r="I64" s="101">
        <f t="shared" si="11"/>
        <v>205413.12</v>
      </c>
      <c r="N64" s="591"/>
      <c r="O64" s="591"/>
      <c r="P64" s="594"/>
      <c r="Q64" s="594"/>
      <c r="R64" s="40" t="s">
        <v>14</v>
      </c>
      <c r="S64" s="450">
        <v>252</v>
      </c>
      <c r="T64" s="461">
        <f t="shared" si="12"/>
        <v>3168</v>
      </c>
      <c r="U64" s="475">
        <f t="shared" si="13"/>
        <v>0</v>
      </c>
      <c r="V64" s="425"/>
    </row>
    <row r="65" spans="1:22" ht="16.5" thickBot="1" x14ac:dyDescent="0.3">
      <c r="A65" s="561"/>
      <c r="B65" s="561"/>
      <c r="C65" s="143">
        <v>14.01</v>
      </c>
      <c r="D65" s="143">
        <v>14.9</v>
      </c>
      <c r="E65" s="116">
        <f t="shared" si="10"/>
        <v>28.91</v>
      </c>
      <c r="F65" s="445" t="s">
        <v>14</v>
      </c>
      <c r="G65" s="444">
        <v>253</v>
      </c>
      <c r="H65" s="458">
        <f>'1461'!H65</f>
        <v>6685</v>
      </c>
      <c r="I65" s="101">
        <f t="shared" si="11"/>
        <v>193263.35</v>
      </c>
      <c r="N65" s="591"/>
      <c r="O65" s="591"/>
      <c r="P65" s="595"/>
      <c r="Q65" s="595"/>
      <c r="R65" s="40" t="s">
        <v>14</v>
      </c>
      <c r="S65" s="450">
        <v>253</v>
      </c>
      <c r="T65" s="461">
        <f t="shared" si="12"/>
        <v>6685</v>
      </c>
      <c r="U65" s="476">
        <f t="shared" si="13"/>
        <v>0</v>
      </c>
      <c r="V65" s="425"/>
    </row>
    <row r="66" spans="1:22" ht="16.5" thickBot="1" x14ac:dyDescent="0.3">
      <c r="A66" s="441"/>
      <c r="C66" s="97">
        <f>SUM(C57:C65)</f>
        <v>45.43</v>
      </c>
      <c r="D66" s="97">
        <f>SUM(D57:D65)</f>
        <v>48.32</v>
      </c>
      <c r="E66" s="97">
        <f>SUM(E57:E65)</f>
        <v>93.75</v>
      </c>
      <c r="F66" s="562" t="s">
        <v>443</v>
      </c>
      <c r="G66" s="562"/>
      <c r="H66" s="562"/>
      <c r="I66" s="97">
        <f>SUM(I57:I65)</f>
        <v>398676.47</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93.75</v>
      </c>
      <c r="D69" s="537" t="s">
        <v>409</v>
      </c>
      <c r="E69" s="537"/>
      <c r="F69" s="537"/>
      <c r="G69" s="537"/>
      <c r="H69" s="301">
        <f>'1461'!H69</f>
        <v>201799.89</v>
      </c>
      <c r="I69" s="113"/>
      <c r="N69" s="572" t="s">
        <v>402</v>
      </c>
      <c r="O69" s="573"/>
      <c r="P69" s="41">
        <f>P30</f>
        <v>93.75</v>
      </c>
      <c r="Q69" s="578" t="s">
        <v>404</v>
      </c>
      <c r="R69" s="579"/>
      <c r="S69" s="579"/>
      <c r="T69" s="576">
        <f>H69</f>
        <v>201799.89</v>
      </c>
      <c r="U69" s="576"/>
    </row>
    <row r="70" spans="1:22" x14ac:dyDescent="0.25">
      <c r="B70" s="69"/>
      <c r="G70" s="42" t="s">
        <v>12</v>
      </c>
      <c r="H70" s="114">
        <f>ROUND(C69/H69,6)</f>
        <v>4.6500000000000003E-4</v>
      </c>
      <c r="I70" s="115"/>
      <c r="N70" s="573"/>
      <c r="O70" s="573"/>
      <c r="P70" s="573"/>
      <c r="Q70" s="573"/>
      <c r="R70" s="573"/>
      <c r="S70" s="573"/>
      <c r="T70" s="577">
        <f>ROUND(P69/T69,6)</f>
        <v>4.6500000000000003E-4</v>
      </c>
      <c r="U70" s="577"/>
    </row>
    <row r="71" spans="1:22" x14ac:dyDescent="0.25">
      <c r="A71" s="443" t="s">
        <v>446</v>
      </c>
      <c r="N71" s="454" t="s">
        <v>454</v>
      </c>
      <c r="O71" s="51"/>
      <c r="P71" s="51"/>
      <c r="Q71" s="51"/>
      <c r="R71" s="51"/>
      <c r="S71" s="51"/>
      <c r="T71" s="51"/>
      <c r="U71" s="51"/>
    </row>
    <row r="72" spans="1:22" x14ac:dyDescent="0.25">
      <c r="A72" s="556" t="s">
        <v>399</v>
      </c>
      <c r="B72" s="550"/>
      <c r="C72" s="112">
        <f>H30</f>
        <v>92.625</v>
      </c>
      <c r="D72" s="537" t="s">
        <v>410</v>
      </c>
      <c r="E72" s="537"/>
      <c r="F72" s="537"/>
      <c r="G72" s="537"/>
      <c r="H72" s="302">
        <f>'1461'!H72</f>
        <v>227090.59</v>
      </c>
      <c r="I72" s="116"/>
      <c r="N72" s="572" t="s">
        <v>403</v>
      </c>
      <c r="O72" s="573"/>
      <c r="P72" s="41">
        <f>T30</f>
        <v>93.75</v>
      </c>
      <c r="Q72" s="578" t="s">
        <v>405</v>
      </c>
      <c r="R72" s="579"/>
      <c r="S72" s="579"/>
      <c r="T72" s="576">
        <f>H72</f>
        <v>227090.59</v>
      </c>
      <c r="U72" s="576"/>
    </row>
    <row r="73" spans="1:22" x14ac:dyDescent="0.25">
      <c r="G73" s="42" t="s">
        <v>12</v>
      </c>
      <c r="H73" s="114">
        <f>ROUND(C72/H72,6)</f>
        <v>4.08E-4</v>
      </c>
      <c r="I73" s="114"/>
      <c r="N73" s="573"/>
      <c r="O73" s="573"/>
      <c r="P73" s="573"/>
      <c r="Q73" s="573"/>
      <c r="R73" s="573"/>
      <c r="S73" s="573"/>
      <c r="T73" s="577">
        <f>ROUND(P72/T72,6)</f>
        <v>4.1300000000000001E-4</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93.75</v>
      </c>
      <c r="D75" s="529" t="s">
        <v>411</v>
      </c>
      <c r="E75" s="529"/>
      <c r="F75" s="529"/>
      <c r="G75" s="529"/>
      <c r="H75" s="301">
        <f>'1461'!H75</f>
        <v>186438.39</v>
      </c>
      <c r="I75" s="113"/>
      <c r="N75" s="572" t="s">
        <v>401</v>
      </c>
      <c r="O75" s="573"/>
      <c r="P75" s="41">
        <f>P30</f>
        <v>93.75</v>
      </c>
      <c r="Q75" s="608" t="s">
        <v>406</v>
      </c>
      <c r="R75" s="609"/>
      <c r="S75" s="609"/>
      <c r="T75" s="576">
        <f>H75</f>
        <v>186438.39</v>
      </c>
      <c r="U75" s="576"/>
    </row>
    <row r="76" spans="1:22" x14ac:dyDescent="0.25">
      <c r="B76" s="69"/>
      <c r="G76" s="42" t="s">
        <v>12</v>
      </c>
      <c r="H76" s="114">
        <f>ROUND(C75/H75,6)</f>
        <v>5.0299999999999997E-4</v>
      </c>
      <c r="I76" s="115"/>
      <c r="N76" s="573"/>
      <c r="O76" s="573"/>
      <c r="P76" s="573"/>
      <c r="Q76" s="573"/>
      <c r="R76" s="573"/>
      <c r="S76" s="573"/>
      <c r="T76" s="577">
        <f>ROUND(P75/T75,6)</f>
        <v>5.0299999999999997E-4</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93.75</v>
      </c>
      <c r="D78" s="557" t="s">
        <v>412</v>
      </c>
      <c r="E78" s="557"/>
      <c r="F78" s="557"/>
      <c r="G78" s="557"/>
      <c r="H78" s="301">
        <f>'1461'!H78</f>
        <v>201460.8</v>
      </c>
      <c r="I78" s="113"/>
      <c r="N78" s="572" t="s">
        <v>401</v>
      </c>
      <c r="O78" s="573"/>
      <c r="P78" s="41">
        <f>P30</f>
        <v>93.75</v>
      </c>
      <c r="Q78" s="606" t="s">
        <v>407</v>
      </c>
      <c r="R78" s="607"/>
      <c r="S78" s="607"/>
      <c r="T78" s="576">
        <f>H78</f>
        <v>201460.8</v>
      </c>
      <c r="U78" s="576"/>
    </row>
    <row r="79" spans="1:22" x14ac:dyDescent="0.25">
      <c r="B79" s="69"/>
      <c r="G79" s="42" t="s">
        <v>12</v>
      </c>
      <c r="H79" s="114">
        <f>ROUND(C78/H78,6)</f>
        <v>4.6500000000000003E-4</v>
      </c>
      <c r="I79" s="115"/>
      <c r="N79" s="573"/>
      <c r="O79" s="573"/>
      <c r="P79" s="573"/>
      <c r="Q79" s="573"/>
      <c r="R79" s="573"/>
      <c r="S79" s="573"/>
      <c r="T79" s="577">
        <f>ROUND(P78/T78,6)</f>
        <v>4.6500000000000003E-4</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93.75</v>
      </c>
      <c r="D81" s="529" t="s">
        <v>413</v>
      </c>
      <c r="E81" s="529"/>
      <c r="F81" s="529"/>
      <c r="G81" s="529"/>
      <c r="H81" s="301">
        <f>'1461'!H81</f>
        <v>186099.3</v>
      </c>
      <c r="I81" s="113"/>
      <c r="N81" s="572" t="s">
        <v>414</v>
      </c>
      <c r="O81" s="573"/>
      <c r="P81" s="41">
        <f>P30</f>
        <v>93.75</v>
      </c>
      <c r="Q81" s="608" t="s">
        <v>415</v>
      </c>
      <c r="R81" s="609"/>
      <c r="S81" s="609"/>
      <c r="T81" s="576">
        <f>H81</f>
        <v>186099.3</v>
      </c>
      <c r="U81" s="576"/>
    </row>
    <row r="82" spans="1:21" x14ac:dyDescent="0.25">
      <c r="B82" s="69"/>
      <c r="G82" s="42" t="s">
        <v>12</v>
      </c>
      <c r="H82" s="114">
        <f>ROUND(C81/H81,6)</f>
        <v>5.04E-4</v>
      </c>
      <c r="I82" s="115"/>
      <c r="N82" s="573"/>
      <c r="O82" s="573"/>
      <c r="P82" s="573"/>
      <c r="Q82" s="573"/>
      <c r="R82" s="573"/>
      <c r="S82" s="573"/>
      <c r="T82" s="577">
        <f>ROUND(P81/T81,6)</f>
        <v>5.04E-4</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4.6500000000000003E-4</v>
      </c>
      <c r="I85" s="101">
        <f>ROUND(F85*H85,2)</f>
        <v>20603.82</v>
      </c>
      <c r="N85" s="454" t="s">
        <v>450</v>
      </c>
      <c r="O85" s="51"/>
      <c r="P85" s="51"/>
      <c r="Q85" s="44"/>
      <c r="R85" s="420">
        <f>F85</f>
        <v>44309288</v>
      </c>
      <c r="S85" s="38" t="s">
        <v>6</v>
      </c>
      <c r="T85" s="422">
        <f>T79</f>
        <v>4.6500000000000003E-4</v>
      </c>
      <c r="U85" s="474">
        <f>ROUND(R85*T85,2)</f>
        <v>20603.82</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4.6500000000000003E-4</v>
      </c>
      <c r="I88" s="101">
        <f>ROUND(F88*H88,2)</f>
        <v>0</v>
      </c>
      <c r="N88" s="610" t="s">
        <v>99</v>
      </c>
      <c r="O88" s="573"/>
      <c r="P88" s="573"/>
      <c r="Q88" s="44"/>
      <c r="R88" s="420">
        <f>F88</f>
        <v>0</v>
      </c>
      <c r="S88" s="38" t="s">
        <v>6</v>
      </c>
      <c r="T88" s="422">
        <f>T70</f>
        <v>4.6500000000000003E-4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5.04E-4</v>
      </c>
      <c r="I90" s="101">
        <f>ROUND(F90*H90,2)</f>
        <v>8202.94</v>
      </c>
      <c r="N90" s="454" t="s">
        <v>451</v>
      </c>
      <c r="O90" s="51"/>
      <c r="P90" s="51"/>
      <c r="Q90" s="44"/>
      <c r="R90" s="420">
        <f>F90</f>
        <v>16275680</v>
      </c>
      <c r="S90" s="38" t="s">
        <v>6</v>
      </c>
      <c r="T90" s="422">
        <f>T82</f>
        <v>5.04E-4</v>
      </c>
      <c r="U90" s="474">
        <f>ROUND(R90*T90,2)</f>
        <v>8202.94</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5.0299999999999997E-4</v>
      </c>
      <c r="I92" s="101">
        <f t="shared" ref="I92:I96" si="14">ROUND(F92*H92,2)</f>
        <v>5094.3999999999996</v>
      </c>
      <c r="N92" s="454" t="s">
        <v>452</v>
      </c>
      <c r="O92" s="51"/>
      <c r="P92" s="51"/>
      <c r="Q92" s="44"/>
      <c r="R92" s="420">
        <f t="shared" ref="R92:R96" si="15">F92</f>
        <v>10128039</v>
      </c>
      <c r="S92" s="38" t="s">
        <v>6</v>
      </c>
      <c r="T92" s="422">
        <f>T76</f>
        <v>5.0299999999999997E-4</v>
      </c>
      <c r="U92" s="474">
        <f>ROUND(R92*T92,2)</f>
        <v>5094.3999999999996</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4.08E-4</v>
      </c>
      <c r="I94" s="101">
        <f t="shared" si="14"/>
        <v>97511.05</v>
      </c>
      <c r="N94" s="573" t="s">
        <v>417</v>
      </c>
      <c r="O94" s="573"/>
      <c r="P94" s="573"/>
      <c r="Q94" s="44"/>
      <c r="R94" s="420">
        <f t="shared" si="15"/>
        <v>238997674</v>
      </c>
      <c r="S94" s="38" t="s">
        <v>6</v>
      </c>
      <c r="T94" s="422">
        <f>T73</f>
        <v>4.1300000000000001E-4</v>
      </c>
      <c r="U94" s="474">
        <f>ROUND(R94*T94,2)</f>
        <v>98706.04</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4.08E-4</v>
      </c>
      <c r="I96" s="101">
        <f t="shared" si="14"/>
        <v>0</v>
      </c>
      <c r="N96" s="572" t="s">
        <v>418</v>
      </c>
      <c r="O96" s="573"/>
      <c r="P96" s="573"/>
      <c r="Q96" s="44"/>
      <c r="R96" s="420">
        <f t="shared" si="15"/>
        <v>0</v>
      </c>
      <c r="S96" s="38" t="s">
        <v>6</v>
      </c>
      <c r="T96" s="422">
        <f>T73</f>
        <v>4.1300000000000001E-4</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475</v>
      </c>
      <c r="B98" s="512"/>
      <c r="C98" s="512"/>
      <c r="D98" s="512"/>
      <c r="E98" s="510" t="s">
        <v>3</v>
      </c>
      <c r="F98" s="291">
        <v>0</v>
      </c>
      <c r="G98" s="511" t="s">
        <v>6</v>
      </c>
      <c r="H98" s="423">
        <f>H70</f>
        <v>4.6500000000000003E-4</v>
      </c>
      <c r="I98" s="101">
        <f t="shared" ref="I98" si="16">ROUND(F98*H98,2)</f>
        <v>0</v>
      </c>
      <c r="N98" s="516" t="s">
        <v>475</v>
      </c>
      <c r="O98" s="516"/>
      <c r="P98" s="516"/>
      <c r="Q98" s="44"/>
      <c r="R98" s="519">
        <f>F98</f>
        <v>0</v>
      </c>
      <c r="S98" s="517" t="s">
        <v>6</v>
      </c>
      <c r="T98" s="422">
        <f>T70</f>
        <v>4.6500000000000003E-4</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0</v>
      </c>
      <c r="D104" s="568"/>
      <c r="E104" s="46">
        <f>H8</f>
        <v>1.0442</v>
      </c>
      <c r="F104" s="304">
        <f>'1461'!F104</f>
        <v>947.59</v>
      </c>
      <c r="G104" s="39" t="s">
        <v>12</v>
      </c>
      <c r="H104" s="101">
        <f>ROUND(C104*E104*F104,2)</f>
        <v>0</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0</v>
      </c>
      <c r="D105" s="568"/>
      <c r="E105" s="46">
        <f>H8</f>
        <v>1.0442</v>
      </c>
      <c r="F105" s="304">
        <f>'1461'!F105</f>
        <v>904.74</v>
      </c>
      <c r="G105" s="39" t="s">
        <v>12</v>
      </c>
      <c r="H105" s="101">
        <f>ROUND(C105*E105*F105,2)</f>
        <v>0</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92.625</v>
      </c>
      <c r="D106" s="568"/>
      <c r="E106" s="46">
        <f>H8</f>
        <v>1.0442</v>
      </c>
      <c r="F106" s="304">
        <f>'1461'!F106</f>
        <v>906.93</v>
      </c>
      <c r="G106" s="39" t="s">
        <v>12</v>
      </c>
      <c r="H106" s="94">
        <f>ROUND(C106*E106*F106,2)</f>
        <v>87717.39</v>
      </c>
      <c r="N106" s="53" t="s">
        <v>14</v>
      </c>
      <c r="O106" s="54">
        <f>T18+T19+T22+T25+T28+T29</f>
        <v>93.75</v>
      </c>
      <c r="P106" s="583">
        <f>T8</f>
        <v>1.0442</v>
      </c>
      <c r="Q106" s="583"/>
      <c r="R106" s="48">
        <f>F106</f>
        <v>906.93</v>
      </c>
      <c r="S106" s="40" t="s">
        <v>12</v>
      </c>
      <c r="T106" s="480">
        <f>ROUND(O106*P106*R106,2)</f>
        <v>88782.78</v>
      </c>
      <c r="U106" s="51"/>
    </row>
    <row r="107" spans="1:21" ht="16.5" thickBot="1" x14ac:dyDescent="0.3">
      <c r="A107" s="55"/>
      <c r="B107" s="122" t="s">
        <v>102</v>
      </c>
      <c r="C107" s="558">
        <f>SUM(C104:C106)</f>
        <v>92.625</v>
      </c>
      <c r="D107" s="558"/>
      <c r="E107" s="123"/>
      <c r="F107" s="123"/>
      <c r="G107" s="123"/>
      <c r="H107" s="124" t="s">
        <v>100</v>
      </c>
      <c r="I107" s="101">
        <f>IF(A1=75,0,H106+H105+H104)</f>
        <v>87717.39</v>
      </c>
      <c r="N107" s="56" t="s">
        <v>89</v>
      </c>
      <c r="O107" s="57">
        <f>SUM(O104:O106)</f>
        <v>93.75</v>
      </c>
      <c r="P107" s="584" t="s">
        <v>16</v>
      </c>
      <c r="Q107" s="585"/>
      <c r="R107" s="585"/>
      <c r="S107" s="585"/>
      <c r="T107" s="585"/>
      <c r="U107" s="474">
        <f>IF(N1=75,0,T106+T105+T104)</f>
        <v>88782.78</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66</v>
      </c>
      <c r="D113" s="143">
        <v>0</v>
      </c>
      <c r="E113" s="116">
        <f>C113</f>
        <v>66</v>
      </c>
      <c r="F113" s="126" t="s">
        <v>30</v>
      </c>
      <c r="G113" s="305">
        <f>'1461'!G113</f>
        <v>548</v>
      </c>
      <c r="I113" s="101">
        <f>ROUND(G113*E113,2)</f>
        <v>36168</v>
      </c>
      <c r="N113" s="602" t="s">
        <v>52</v>
      </c>
      <c r="O113" s="602"/>
      <c r="P113" s="582">
        <f>IF(H133=1,E113,0)</f>
        <v>66</v>
      </c>
      <c r="Q113" s="582"/>
      <c r="R113" s="582"/>
      <c r="S113" s="83" t="s">
        <v>30</v>
      </c>
      <c r="T113" s="58">
        <f>G113</f>
        <v>548</v>
      </c>
      <c r="U113" s="474">
        <f>ROUND(T113*P113,2)</f>
        <v>36168</v>
      </c>
    </row>
    <row r="114" spans="1:21" x14ac:dyDescent="0.25">
      <c r="A114" s="529" t="s">
        <v>376</v>
      </c>
      <c r="B114" s="530"/>
      <c r="C114" s="143">
        <v>0</v>
      </c>
      <c r="D114" s="143">
        <v>0</v>
      </c>
      <c r="E114" s="116">
        <f>(C114+D114)/2</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1151083.7399999998</v>
      </c>
      <c r="N128" s="454"/>
      <c r="O128" s="453"/>
      <c r="P128" s="453"/>
      <c r="Q128" s="307"/>
      <c r="R128" s="307"/>
      <c r="S128" s="307"/>
      <c r="T128" s="307"/>
      <c r="U128" s="481">
        <f>SUM(U30,U85,U88,U90,U92,U94,U96,U107,U113,U114,U124,U126)</f>
        <v>760705.42</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1121605.1299999997</v>
      </c>
      <c r="N130" s="573" t="s">
        <v>429</v>
      </c>
      <c r="O130" s="573"/>
      <c r="P130" s="573"/>
      <c r="Q130" s="573"/>
      <c r="R130" s="573"/>
      <c r="S130" s="573"/>
      <c r="T130" s="573"/>
      <c r="U130" s="132">
        <f>U128-U53</f>
        <v>730868.78</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f>IF(E30=0,"",IF((E15+E17+SUM(E19:E25))/E30&gt;0.75,1,""))</f>
        <v>1</v>
      </c>
      <c r="I133" s="116">
        <f>U130</f>
        <v>730868.78</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730868.78</v>
      </c>
      <c r="I135" s="94">
        <f>ROUND(IF(E30=0,0,IF(E30&gt;250,-(((250/E30)*H135)*IF(G135="H",0.02,0.05)),IF(G135="H",-0.02*H135,-0.05*H135))),2)</f>
        <v>-36543.440000000002</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1114540.2999999998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-177852.28-100380.53-100380.53-100380.53-100380.53-91347.75-82154.64-82068.46</f>
        <v>-834945.25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279595.04999999981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93198.35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FFCCCC"/>
  </sheetPr>
  <dimension ref="A1:V221"/>
  <sheetViews>
    <sheetView topLeftCell="A129" workbookViewId="0">
      <selection activeCell="D63" sqref="D63:D6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122</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0</v>
      </c>
      <c r="D14" s="141">
        <v>0</v>
      </c>
      <c r="E14" s="187">
        <f>IF(D$30=0,C14*2,C14+D14)</f>
        <v>0</v>
      </c>
      <c r="F14" s="639">
        <f>'1461'!F14:G14</f>
        <v>1.1220000000000001</v>
      </c>
      <c r="G14" s="639"/>
      <c r="H14" s="145">
        <f>ROUND(E14*F14,4)</f>
        <v>0</v>
      </c>
      <c r="I14" s="111">
        <f>ROUND(ROUND(ROUND(H14*$C$8,4)*($H$8),2)*(MAX($H$9,1)),2)</f>
        <v>0</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0</v>
      </c>
      <c r="D15" s="143">
        <v>0</v>
      </c>
      <c r="E15" s="116">
        <f t="shared" ref="E15:E29" si="1">IF(D$30=0,C15*2,C15+D15)</f>
        <v>0</v>
      </c>
      <c r="F15" s="635">
        <f>'1461'!F15:G15</f>
        <v>1.1220000000000001</v>
      </c>
      <c r="G15" s="635"/>
      <c r="H15" s="80">
        <f t="shared" ref="H15:H29" si="2">ROUND(E15*F15,4)</f>
        <v>0</v>
      </c>
      <c r="I15" s="101">
        <f t="shared" ref="I15:I29" si="3">ROUND(ROUND(ROUND(H15*$C$8,4)*($H$8),2)*(MAX($H$9,1)),2)</f>
        <v>0</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0</v>
      </c>
      <c r="D16" s="143">
        <v>0</v>
      </c>
      <c r="E16" s="116">
        <f t="shared" si="1"/>
        <v>0</v>
      </c>
      <c r="F16" s="635">
        <f>'1461'!F16:G16</f>
        <v>1</v>
      </c>
      <c r="G16" s="635"/>
      <c r="H16" s="80">
        <f t="shared" si="2"/>
        <v>0</v>
      </c>
      <c r="I16" s="101">
        <f t="shared" si="3"/>
        <v>0</v>
      </c>
      <c r="N16" s="573" t="s">
        <v>22</v>
      </c>
      <c r="O16" s="573"/>
      <c r="P16" s="614">
        <f t="shared" si="0"/>
        <v>0</v>
      </c>
      <c r="Q16" s="614"/>
      <c r="R16" s="619">
        <v>1</v>
      </c>
      <c r="S16" s="619"/>
      <c r="T16" s="95">
        <f t="shared" si="4"/>
        <v>0</v>
      </c>
      <c r="U16" s="474">
        <f t="shared" si="5"/>
        <v>0</v>
      </c>
    </row>
    <row r="17" spans="1:21" x14ac:dyDescent="0.25">
      <c r="A17" s="550" t="s">
        <v>23</v>
      </c>
      <c r="B17" s="550"/>
      <c r="C17" s="143">
        <v>0</v>
      </c>
      <c r="D17" s="143">
        <v>0</v>
      </c>
      <c r="E17" s="116">
        <f t="shared" si="1"/>
        <v>0</v>
      </c>
      <c r="F17" s="635">
        <f>'1461'!F17:G17</f>
        <v>1</v>
      </c>
      <c r="G17" s="635"/>
      <c r="H17" s="80">
        <f t="shared" si="2"/>
        <v>0</v>
      </c>
      <c r="I17" s="101">
        <f t="shared" si="3"/>
        <v>0</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136.83000000000001</v>
      </c>
      <c r="D18" s="143">
        <v>158.69999999999999</v>
      </c>
      <c r="E18" s="116">
        <f t="shared" si="1"/>
        <v>295.52999999999997</v>
      </c>
      <c r="F18" s="635">
        <f>'1461'!F18:G18</f>
        <v>0.98799999999999999</v>
      </c>
      <c r="G18" s="635"/>
      <c r="H18" s="80">
        <f t="shared" si="2"/>
        <v>291.98360000000002</v>
      </c>
      <c r="I18" s="101">
        <f t="shared" si="3"/>
        <v>1567048.55</v>
      </c>
      <c r="N18" s="573" t="s">
        <v>24</v>
      </c>
      <c r="O18" s="573"/>
      <c r="P18" s="614">
        <f t="shared" si="0"/>
        <v>0</v>
      </c>
      <c r="Q18" s="614"/>
      <c r="R18" s="619">
        <v>1</v>
      </c>
      <c r="S18" s="619"/>
      <c r="T18" s="95">
        <f t="shared" si="4"/>
        <v>0</v>
      </c>
      <c r="U18" s="474">
        <f t="shared" si="5"/>
        <v>0</v>
      </c>
    </row>
    <row r="19" spans="1:21" x14ac:dyDescent="0.25">
      <c r="A19" s="550" t="s">
        <v>25</v>
      </c>
      <c r="B19" s="550"/>
      <c r="C19" s="143">
        <v>29.23</v>
      </c>
      <c r="D19" s="143">
        <v>38.130000000000003</v>
      </c>
      <c r="E19" s="116">
        <f t="shared" si="1"/>
        <v>67.36</v>
      </c>
      <c r="F19" s="635">
        <f>'1461'!F19:G19</f>
        <v>0.98799999999999999</v>
      </c>
      <c r="G19" s="635"/>
      <c r="H19" s="80">
        <f t="shared" si="2"/>
        <v>66.551699999999997</v>
      </c>
      <c r="I19" s="101">
        <f t="shared" si="3"/>
        <v>357176.72</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0</v>
      </c>
      <c r="D26" s="143">
        <v>0</v>
      </c>
      <c r="E26" s="116">
        <f t="shared" si="1"/>
        <v>0</v>
      </c>
      <c r="F26" s="635">
        <f>'1461'!F26:G26</f>
        <v>1.208</v>
      </c>
      <c r="G26" s="635"/>
      <c r="H26" s="80">
        <f t="shared" si="2"/>
        <v>0</v>
      </c>
      <c r="I26" s="101">
        <f t="shared" si="3"/>
        <v>0</v>
      </c>
      <c r="N26" s="573" t="s">
        <v>85</v>
      </c>
      <c r="O26" s="573"/>
      <c r="P26" s="614">
        <f t="shared" si="0"/>
        <v>0</v>
      </c>
      <c r="Q26" s="614"/>
      <c r="R26" s="619">
        <v>1</v>
      </c>
      <c r="S26" s="619"/>
      <c r="T26" s="95">
        <f t="shared" si="4"/>
        <v>0</v>
      </c>
      <c r="U26" s="474">
        <f t="shared" si="5"/>
        <v>0</v>
      </c>
    </row>
    <row r="27" spans="1:21" x14ac:dyDescent="0.25">
      <c r="A27" s="550" t="s">
        <v>86</v>
      </c>
      <c r="B27" s="550"/>
      <c r="C27" s="143">
        <v>0</v>
      </c>
      <c r="D27" s="143">
        <v>0</v>
      </c>
      <c r="E27" s="116">
        <f t="shared" si="1"/>
        <v>0</v>
      </c>
      <c r="F27" s="635">
        <f>'1461'!F27:G27</f>
        <v>1.208</v>
      </c>
      <c r="G27" s="635"/>
      <c r="H27" s="80">
        <f t="shared" si="2"/>
        <v>0</v>
      </c>
      <c r="I27" s="101">
        <f t="shared" si="3"/>
        <v>0</v>
      </c>
      <c r="N27" s="573" t="s">
        <v>86</v>
      </c>
      <c r="O27" s="573"/>
      <c r="P27" s="614">
        <f t="shared" si="0"/>
        <v>0</v>
      </c>
      <c r="Q27" s="614"/>
      <c r="R27" s="619">
        <v>1</v>
      </c>
      <c r="S27" s="619"/>
      <c r="T27" s="95">
        <f t="shared" si="4"/>
        <v>0</v>
      </c>
      <c r="U27" s="474">
        <f t="shared" si="5"/>
        <v>0</v>
      </c>
    </row>
    <row r="28" spans="1:21" x14ac:dyDescent="0.25">
      <c r="A28" s="550" t="s">
        <v>87</v>
      </c>
      <c r="B28" s="550"/>
      <c r="C28" s="143">
        <v>7.3</v>
      </c>
      <c r="D28" s="143">
        <v>9.2200000000000006</v>
      </c>
      <c r="E28" s="116">
        <f t="shared" si="1"/>
        <v>16.52</v>
      </c>
      <c r="F28" s="635">
        <f>'1461'!F28:G28</f>
        <v>1.208</v>
      </c>
      <c r="G28" s="635"/>
      <c r="H28" s="80">
        <f t="shared" si="2"/>
        <v>19.956199999999999</v>
      </c>
      <c r="I28" s="101">
        <f t="shared" si="3"/>
        <v>107103.05</v>
      </c>
      <c r="N28" s="573" t="s">
        <v>87</v>
      </c>
      <c r="O28" s="573"/>
      <c r="P28" s="614">
        <f t="shared" si="0"/>
        <v>0</v>
      </c>
      <c r="Q28" s="614"/>
      <c r="R28" s="619">
        <v>1</v>
      </c>
      <c r="S28" s="619"/>
      <c r="T28" s="95">
        <f t="shared" si="4"/>
        <v>0</v>
      </c>
      <c r="U28" s="474">
        <f t="shared" si="5"/>
        <v>0</v>
      </c>
    </row>
    <row r="29" spans="1:21" x14ac:dyDescent="0.25">
      <c r="A29" s="550" t="s">
        <v>88</v>
      </c>
      <c r="B29" s="550"/>
      <c r="C29" s="110">
        <v>1.9</v>
      </c>
      <c r="D29" s="110">
        <v>1.78</v>
      </c>
      <c r="E29" s="154">
        <f t="shared" si="1"/>
        <v>3.6799999999999997</v>
      </c>
      <c r="F29" s="635">
        <f>'1461'!F29:G29</f>
        <v>1.0720000000000001</v>
      </c>
      <c r="G29" s="635"/>
      <c r="H29" s="93">
        <f t="shared" si="2"/>
        <v>3.9449999999999998</v>
      </c>
      <c r="I29" s="94">
        <f t="shared" si="3"/>
        <v>21172.44</v>
      </c>
      <c r="N29" s="588" t="s">
        <v>88</v>
      </c>
      <c r="O29" s="588"/>
      <c r="P29" s="614">
        <f t="shared" si="0"/>
        <v>0</v>
      </c>
      <c r="Q29" s="614"/>
      <c r="R29" s="615">
        <v>1</v>
      </c>
      <c r="S29" s="615"/>
      <c r="T29" s="95">
        <f t="shared" si="4"/>
        <v>0</v>
      </c>
      <c r="U29" s="474">
        <f t="shared" si="5"/>
        <v>0</v>
      </c>
    </row>
    <row r="30" spans="1:21" x14ac:dyDescent="0.25">
      <c r="A30" s="562" t="s">
        <v>5</v>
      </c>
      <c r="B30" s="562"/>
      <c r="C30" s="94">
        <f>SUM(C14:C29)</f>
        <v>175.26000000000002</v>
      </c>
      <c r="D30" s="94">
        <f>SUM(D14:D29)</f>
        <v>207.82999999999998</v>
      </c>
      <c r="E30" s="94">
        <f>SUM(E14:E29)</f>
        <v>383.09</v>
      </c>
      <c r="F30" s="554"/>
      <c r="G30" s="554"/>
      <c r="H30" s="99">
        <f>SUM(H14:H29)</f>
        <v>382.43650000000002</v>
      </c>
      <c r="I30" s="94">
        <f>SUM(I14:I29)</f>
        <v>2052500.76</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382.43650000000002</v>
      </c>
      <c r="F46" s="34"/>
      <c r="G46" s="106"/>
      <c r="H46" s="107" t="s">
        <v>98</v>
      </c>
      <c r="I46" s="94">
        <f>SUM(I44,I30)</f>
        <v>2052500.76</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2052500.76</v>
      </c>
      <c r="G51" s="109" t="s">
        <v>6</v>
      </c>
      <c r="H51" s="402">
        <v>4.5199999999999997E-2</v>
      </c>
      <c r="I51" s="101">
        <f>ROUND(F51*H51,2)</f>
        <v>92773.03</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2052500.76</v>
      </c>
      <c r="G52" s="109" t="s">
        <v>6</v>
      </c>
      <c r="H52" s="402">
        <v>1.41E-2</v>
      </c>
      <c r="I52" s="101">
        <f>ROUND(F52*H52,2)</f>
        <v>28940.26</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121713.29</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0</v>
      </c>
      <c r="D57" s="143">
        <v>0</v>
      </c>
      <c r="E57" s="116">
        <f t="shared" ref="E57:E65" si="10">IF(D$66=0,C57*2,C57+D57)</f>
        <v>0</v>
      </c>
      <c r="F57" s="444" t="s">
        <v>434</v>
      </c>
      <c r="G57" s="444">
        <v>251</v>
      </c>
      <c r="H57" s="458">
        <f>'1461'!H57</f>
        <v>1047</v>
      </c>
      <c r="I57" s="101">
        <f>ROUND(E57*H57,2)</f>
        <v>0</v>
      </c>
      <c r="N57" s="590" t="s">
        <v>442</v>
      </c>
      <c r="O57" s="590"/>
      <c r="P57" s="593"/>
      <c r="Q57" s="593"/>
      <c r="R57" s="450" t="s">
        <v>434</v>
      </c>
      <c r="S57" s="450">
        <v>251</v>
      </c>
      <c r="T57" s="461">
        <f>H57</f>
        <v>1047</v>
      </c>
      <c r="U57" s="475">
        <f>ROUND(P57*T57,2)</f>
        <v>0</v>
      </c>
      <c r="V57" s="425"/>
    </row>
    <row r="58" spans="1:22" x14ac:dyDescent="0.25">
      <c r="A58" s="561"/>
      <c r="B58" s="561"/>
      <c r="C58" s="143">
        <v>0</v>
      </c>
      <c r="D58" s="143">
        <v>0</v>
      </c>
      <c r="E58" s="116">
        <f t="shared" si="10"/>
        <v>0</v>
      </c>
      <c r="F58" s="444" t="s">
        <v>434</v>
      </c>
      <c r="G58" s="444">
        <v>252</v>
      </c>
      <c r="H58" s="458">
        <f>'1461'!H58</f>
        <v>3380</v>
      </c>
      <c r="I58" s="101">
        <f t="shared" ref="I58:I65" si="11">ROUND(E58*H58,2)</f>
        <v>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0</v>
      </c>
      <c r="D60" s="143">
        <v>0</v>
      </c>
      <c r="E60" s="116">
        <f t="shared" si="10"/>
        <v>0</v>
      </c>
      <c r="F60" s="445" t="s">
        <v>13</v>
      </c>
      <c r="G60" s="444">
        <v>251</v>
      </c>
      <c r="H60" s="458">
        <f>'1461'!H60</f>
        <v>1173</v>
      </c>
      <c r="I60" s="101">
        <f t="shared" si="11"/>
        <v>0</v>
      </c>
      <c r="N60" s="591"/>
      <c r="O60" s="591"/>
      <c r="P60" s="594"/>
      <c r="Q60" s="594"/>
      <c r="R60" s="40" t="s">
        <v>13</v>
      </c>
      <c r="S60" s="450">
        <v>251</v>
      </c>
      <c r="T60" s="461">
        <f t="shared" si="12"/>
        <v>1173</v>
      </c>
      <c r="U60" s="475">
        <f t="shared" si="13"/>
        <v>0</v>
      </c>
      <c r="V60" s="425"/>
    </row>
    <row r="61" spans="1:22" x14ac:dyDescent="0.25">
      <c r="A61" s="561"/>
      <c r="B61" s="561"/>
      <c r="C61" s="143">
        <v>0</v>
      </c>
      <c r="D61" s="143">
        <v>0</v>
      </c>
      <c r="E61" s="116">
        <f t="shared" si="10"/>
        <v>0</v>
      </c>
      <c r="F61" s="445" t="s">
        <v>13</v>
      </c>
      <c r="G61" s="444">
        <v>252</v>
      </c>
      <c r="H61" s="458">
        <f>'1461'!H61</f>
        <v>3506</v>
      </c>
      <c r="I61" s="101">
        <f t="shared" si="11"/>
        <v>0</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25.23</v>
      </c>
      <c r="D63" s="143">
        <v>32.909999999999997</v>
      </c>
      <c r="E63" s="116">
        <f t="shared" si="10"/>
        <v>58.14</v>
      </c>
      <c r="F63" s="445" t="s">
        <v>14</v>
      </c>
      <c r="G63" s="444">
        <v>251</v>
      </c>
      <c r="H63" s="458">
        <f>'1461'!H63</f>
        <v>835</v>
      </c>
      <c r="I63" s="101">
        <f t="shared" si="11"/>
        <v>48546.9</v>
      </c>
      <c r="N63" s="591"/>
      <c r="O63" s="591"/>
      <c r="P63" s="594"/>
      <c r="Q63" s="594"/>
      <c r="R63" s="40" t="s">
        <v>14</v>
      </c>
      <c r="S63" s="450">
        <v>251</v>
      </c>
      <c r="T63" s="461">
        <f t="shared" si="12"/>
        <v>835</v>
      </c>
      <c r="U63" s="475">
        <f t="shared" si="13"/>
        <v>0</v>
      </c>
      <c r="V63" s="425"/>
    </row>
    <row r="64" spans="1:22" x14ac:dyDescent="0.25">
      <c r="A64" s="561"/>
      <c r="B64" s="561"/>
      <c r="C64" s="143">
        <v>4</v>
      </c>
      <c r="D64" s="143">
        <v>5.22</v>
      </c>
      <c r="E64" s="116">
        <f t="shared" si="10"/>
        <v>9.2199999999999989</v>
      </c>
      <c r="F64" s="445" t="s">
        <v>14</v>
      </c>
      <c r="G64" s="444">
        <v>252</v>
      </c>
      <c r="H64" s="458">
        <f>'1461'!H64</f>
        <v>3168</v>
      </c>
      <c r="I64" s="101">
        <f t="shared" si="11"/>
        <v>29208.959999999999</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29.23</v>
      </c>
      <c r="D66" s="97">
        <f>SUM(D57:D65)</f>
        <v>38.129999999999995</v>
      </c>
      <c r="E66" s="97">
        <f>SUM(E57:E65)</f>
        <v>67.36</v>
      </c>
      <c r="F66" s="562" t="s">
        <v>443</v>
      </c>
      <c r="G66" s="562"/>
      <c r="H66" s="562"/>
      <c r="I66" s="97">
        <f>SUM(I57:I65)</f>
        <v>77755.86</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383.09</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1.8979999999999999E-3</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382.43650000000002</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1.684E-3</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383.09</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2.055E-3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383.09</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1.902E-3</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383.09</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2.0590000000000001E-3</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1.902E-3</v>
      </c>
      <c r="I85" s="101">
        <f>ROUND(F85*H85,2)</f>
        <v>84276.27</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1.8979999999999999E-3</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2.0590000000000001E-3</v>
      </c>
      <c r="I90" s="101">
        <f>ROUND(F90*H90,2)</f>
        <v>33511.629999999997</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2.055E-3</v>
      </c>
      <c r="I92" s="101">
        <f t="shared" ref="I92:I96" si="14">ROUND(F92*H92,2)</f>
        <v>20813.12</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1.684E-3</v>
      </c>
      <c r="I94" s="101">
        <f t="shared" si="14"/>
        <v>402472.08</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1.684E-3</v>
      </c>
      <c r="I96" s="101">
        <f t="shared" si="14"/>
        <v>0</v>
      </c>
      <c r="N96" s="572" t="s">
        <v>418</v>
      </c>
      <c r="O96" s="573"/>
      <c r="P96" s="573"/>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475</v>
      </c>
      <c r="B98" s="512"/>
      <c r="C98" s="512"/>
      <c r="D98" s="512"/>
      <c r="E98" s="510" t="s">
        <v>3</v>
      </c>
      <c r="F98" s="291">
        <v>0</v>
      </c>
      <c r="G98" s="511" t="s">
        <v>6</v>
      </c>
      <c r="H98" s="423">
        <f>H70</f>
        <v>1.8979999999999999E-3</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0</v>
      </c>
      <c r="D104" s="568"/>
      <c r="E104" s="46">
        <f>H8</f>
        <v>1.0442</v>
      </c>
      <c r="F104" s="304">
        <f>'1461'!F104</f>
        <v>947.59</v>
      </c>
      <c r="G104" s="39" t="s">
        <v>12</v>
      </c>
      <c r="H104" s="101">
        <f>ROUND(C104*E104*F104,2)</f>
        <v>0</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0</v>
      </c>
      <c r="D105" s="568"/>
      <c r="E105" s="46">
        <f>H8</f>
        <v>1.0442</v>
      </c>
      <c r="F105" s="304">
        <f>'1461'!F105</f>
        <v>904.74</v>
      </c>
      <c r="G105" s="39" t="s">
        <v>12</v>
      </c>
      <c r="H105" s="101">
        <f>ROUND(C105*E105*F105,2)</f>
        <v>0</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382.43650000000002</v>
      </c>
      <c r="D106" s="568"/>
      <c r="E106" s="46">
        <f>H8</f>
        <v>1.0442</v>
      </c>
      <c r="F106" s="304">
        <f>'1461'!F106</f>
        <v>906.93</v>
      </c>
      <c r="G106" s="39" t="s">
        <v>12</v>
      </c>
      <c r="H106" s="94">
        <f>ROUND(C106*E106*F106,2)</f>
        <v>362173.6</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382.43650000000002</v>
      </c>
      <c r="D107" s="558"/>
      <c r="E107" s="123"/>
      <c r="F107" s="123"/>
      <c r="G107" s="123"/>
      <c r="H107" s="124" t="s">
        <v>100</v>
      </c>
      <c r="I107" s="101">
        <f>IF(A1=75,0,H106+H105+H104)</f>
        <v>362173.6</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254</v>
      </c>
      <c r="D113" s="143">
        <v>0</v>
      </c>
      <c r="E113" s="116">
        <f>C113</f>
        <v>254</v>
      </c>
      <c r="F113" s="126" t="s">
        <v>30</v>
      </c>
      <c r="G113" s="305">
        <f>'1461'!G113</f>
        <v>548</v>
      </c>
      <c r="I113" s="101">
        <f>ROUND(G113*E113,2)</f>
        <v>139192</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16">
        <f>(C114+D114)/2</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3172695.3200000003</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3050982.0300000003</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3050982.0300000003</v>
      </c>
      <c r="I135" s="94">
        <f>ROUND(IF(E30=0,0,IF(E30&gt;250,-(((250/E30)*H135)*IF(G135="H",0.02,0.05)),IF(G135="H",-0.02*H135,-0.05*H135))),2)</f>
        <v>-99551.74</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3073143.58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-461939.81-224112.15-224112.15-224112.15-224112.15-224736.36-245661.04-245512.17</f>
        <v>-2074297.98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998845.60000000009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332948.53000000003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52997.36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FFCCCC"/>
  </sheetPr>
  <dimension ref="A1:V221"/>
  <sheetViews>
    <sheetView topLeftCell="A114" workbookViewId="0">
      <selection activeCell="E63" sqref="E6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123</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96.11</v>
      </c>
      <c r="D14" s="141">
        <v>94.7</v>
      </c>
      <c r="E14" s="187">
        <f>IF(D$30=0,C14*2,C14+D14)</f>
        <v>190.81</v>
      </c>
      <c r="F14" s="639">
        <f>'1461'!F14:G14</f>
        <v>1.1220000000000001</v>
      </c>
      <c r="G14" s="639"/>
      <c r="H14" s="145">
        <f>ROUND(E14*F14,4)</f>
        <v>214.08879999999999</v>
      </c>
      <c r="I14" s="111">
        <f>ROUND(ROUND(ROUND(H14*$C$8,4)*($H$8),2)*(MAX($H$9,1)),2)</f>
        <v>1148994.48</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23</v>
      </c>
      <c r="D15" s="143">
        <v>23</v>
      </c>
      <c r="E15" s="116">
        <f t="shared" ref="E15:E29" si="1">IF(D$30=0,C15*2,C15+D15)</f>
        <v>46</v>
      </c>
      <c r="F15" s="635">
        <f>'1461'!F15:G15</f>
        <v>1.1220000000000001</v>
      </c>
      <c r="G15" s="635"/>
      <c r="H15" s="80">
        <f t="shared" ref="H15:H29" si="2">ROUND(E15*F15,4)</f>
        <v>51.612000000000002</v>
      </c>
      <c r="I15" s="101">
        <f t="shared" ref="I15:I29" si="3">ROUND(ROUND(ROUND(H15*$C$8,4)*($H$8),2)*(MAX($H$9,1)),2)</f>
        <v>276996.76</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50.22</v>
      </c>
      <c r="D16" s="143">
        <v>49.69</v>
      </c>
      <c r="E16" s="116">
        <f t="shared" si="1"/>
        <v>99.91</v>
      </c>
      <c r="F16" s="635">
        <f>'1461'!F16:G16</f>
        <v>1</v>
      </c>
      <c r="G16" s="635"/>
      <c r="H16" s="80">
        <f t="shared" si="2"/>
        <v>99.91</v>
      </c>
      <c r="I16" s="101">
        <f t="shared" si="3"/>
        <v>536207.59</v>
      </c>
      <c r="N16" s="573" t="s">
        <v>22</v>
      </c>
      <c r="O16" s="573"/>
      <c r="P16" s="614">
        <f t="shared" si="0"/>
        <v>0</v>
      </c>
      <c r="Q16" s="614"/>
      <c r="R16" s="619">
        <v>1</v>
      </c>
      <c r="S16" s="619"/>
      <c r="T16" s="95">
        <f t="shared" si="4"/>
        <v>0</v>
      </c>
      <c r="U16" s="474">
        <f t="shared" si="5"/>
        <v>0</v>
      </c>
    </row>
    <row r="17" spans="1:21" x14ac:dyDescent="0.25">
      <c r="A17" s="550" t="s">
        <v>23</v>
      </c>
      <c r="B17" s="550"/>
      <c r="C17" s="143">
        <v>12</v>
      </c>
      <c r="D17" s="143">
        <v>12.5</v>
      </c>
      <c r="E17" s="116">
        <f t="shared" si="1"/>
        <v>24.5</v>
      </c>
      <c r="F17" s="635">
        <f>'1461'!F17:G17</f>
        <v>1</v>
      </c>
      <c r="G17" s="635"/>
      <c r="H17" s="80">
        <f t="shared" si="2"/>
        <v>24.5</v>
      </c>
      <c r="I17" s="101">
        <f t="shared" si="3"/>
        <v>131489.20000000001</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0</v>
      </c>
      <c r="D18" s="143">
        <v>0</v>
      </c>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0</v>
      </c>
      <c r="D19" s="143">
        <v>0</v>
      </c>
      <c r="E19" s="116">
        <f t="shared" si="1"/>
        <v>0</v>
      </c>
      <c r="F19" s="635">
        <f>'1461'!F19:G19</f>
        <v>0.98799999999999999</v>
      </c>
      <c r="G19" s="635"/>
      <c r="H19" s="80">
        <f t="shared" si="2"/>
        <v>0</v>
      </c>
      <c r="I19" s="101">
        <f t="shared" si="3"/>
        <v>0</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6.17</v>
      </c>
      <c r="D26" s="143">
        <v>6.62</v>
      </c>
      <c r="E26" s="116">
        <f t="shared" si="1"/>
        <v>12.79</v>
      </c>
      <c r="F26" s="635">
        <f>'1461'!F26:G26</f>
        <v>1.208</v>
      </c>
      <c r="G26" s="635"/>
      <c r="H26" s="80">
        <f t="shared" si="2"/>
        <v>15.4503</v>
      </c>
      <c r="I26" s="101">
        <f t="shared" si="3"/>
        <v>82920.31</v>
      </c>
      <c r="N26" s="573" t="s">
        <v>85</v>
      </c>
      <c r="O26" s="573"/>
      <c r="P26" s="614">
        <f t="shared" si="0"/>
        <v>0</v>
      </c>
      <c r="Q26" s="614"/>
      <c r="R26" s="619">
        <v>1</v>
      </c>
      <c r="S26" s="619"/>
      <c r="T26" s="95">
        <f t="shared" si="4"/>
        <v>0</v>
      </c>
      <c r="U26" s="474">
        <f t="shared" si="5"/>
        <v>0</v>
      </c>
    </row>
    <row r="27" spans="1:21" x14ac:dyDescent="0.25">
      <c r="A27" s="550" t="s">
        <v>86</v>
      </c>
      <c r="B27" s="550"/>
      <c r="C27" s="143">
        <v>0</v>
      </c>
      <c r="D27" s="143">
        <v>0</v>
      </c>
      <c r="E27" s="116">
        <f t="shared" si="1"/>
        <v>0</v>
      </c>
      <c r="F27" s="635">
        <f>'1461'!F27:G27</f>
        <v>1.208</v>
      </c>
      <c r="G27" s="635"/>
      <c r="H27" s="80">
        <f t="shared" si="2"/>
        <v>0</v>
      </c>
      <c r="I27" s="101">
        <f t="shared" si="3"/>
        <v>0</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187.49999999999997</v>
      </c>
      <c r="D30" s="94">
        <f>SUM(D14:D29)</f>
        <v>186.51</v>
      </c>
      <c r="E30" s="94">
        <f>SUM(E14:E29)</f>
        <v>374.01000000000005</v>
      </c>
      <c r="F30" s="554"/>
      <c r="G30" s="554"/>
      <c r="H30" s="99">
        <f>SUM(H14:H29)</f>
        <v>405.56110000000007</v>
      </c>
      <c r="I30" s="94">
        <f>SUM(I14:I29)</f>
        <v>2176608.34</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405.56110000000007</v>
      </c>
      <c r="F46" s="34"/>
      <c r="G46" s="106"/>
      <c r="H46" s="107" t="s">
        <v>98</v>
      </c>
      <c r="I46" s="94">
        <f>SUM(I44,I30)</f>
        <v>2176608.34</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2176608.34</v>
      </c>
      <c r="G51" s="109" t="s">
        <v>6</v>
      </c>
      <c r="H51" s="402">
        <v>4.5199999999999997E-2</v>
      </c>
      <c r="I51" s="101">
        <f>ROUND(F51*H51,2)</f>
        <v>98382.7</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2176608.34</v>
      </c>
      <c r="G52" s="109" t="s">
        <v>6</v>
      </c>
      <c r="H52" s="402">
        <v>1.41E-2</v>
      </c>
      <c r="I52" s="101">
        <f>ROUND(F52*H52,2)</f>
        <v>30690.18</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129072.88</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20.5</v>
      </c>
      <c r="D57" s="143">
        <v>20.5</v>
      </c>
      <c r="E57" s="116">
        <f t="shared" ref="E57:E65" si="10">IF(D$66=0,C57*2,C57+D57)</f>
        <v>41</v>
      </c>
      <c r="F57" s="444" t="s">
        <v>434</v>
      </c>
      <c r="G57" s="444">
        <v>251</v>
      </c>
      <c r="H57" s="458">
        <f>'1461'!H57</f>
        <v>1047</v>
      </c>
      <c r="I57" s="101">
        <f>ROUND(E57*H57,2)</f>
        <v>42927</v>
      </c>
      <c r="N57" s="590" t="s">
        <v>442</v>
      </c>
      <c r="O57" s="590"/>
      <c r="P57" s="593"/>
      <c r="Q57" s="593"/>
      <c r="R57" s="450" t="s">
        <v>434</v>
      </c>
      <c r="S57" s="450">
        <v>251</v>
      </c>
      <c r="T57" s="461">
        <f>H57</f>
        <v>1047</v>
      </c>
      <c r="U57" s="475">
        <f>ROUND(P57*T57,2)</f>
        <v>0</v>
      </c>
      <c r="V57" s="425"/>
    </row>
    <row r="58" spans="1:22" x14ac:dyDescent="0.25">
      <c r="A58" s="561"/>
      <c r="B58" s="561"/>
      <c r="C58" s="143">
        <v>2.5</v>
      </c>
      <c r="D58" s="143">
        <v>2.5</v>
      </c>
      <c r="E58" s="116">
        <f t="shared" si="10"/>
        <v>5</v>
      </c>
      <c r="F58" s="444" t="s">
        <v>434</v>
      </c>
      <c r="G58" s="444">
        <v>252</v>
      </c>
      <c r="H58" s="458">
        <f>'1461'!H58</f>
        <v>3380</v>
      </c>
      <c r="I58" s="101">
        <f t="shared" ref="I58:I65" si="11">ROUND(E58*H58,2)</f>
        <v>16900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11.5</v>
      </c>
      <c r="D60" s="143">
        <v>11.98</v>
      </c>
      <c r="E60" s="116">
        <f t="shared" si="10"/>
        <v>23.48</v>
      </c>
      <c r="F60" s="445" t="s">
        <v>13</v>
      </c>
      <c r="G60" s="444">
        <v>251</v>
      </c>
      <c r="H60" s="458">
        <f>'1461'!H60</f>
        <v>1173</v>
      </c>
      <c r="I60" s="101">
        <f t="shared" si="11"/>
        <v>27542.04</v>
      </c>
      <c r="N60" s="591"/>
      <c r="O60" s="591"/>
      <c r="P60" s="594"/>
      <c r="Q60" s="594"/>
      <c r="R60" s="40" t="s">
        <v>13</v>
      </c>
      <c r="S60" s="450">
        <v>251</v>
      </c>
      <c r="T60" s="461">
        <f t="shared" si="12"/>
        <v>1173</v>
      </c>
      <c r="U60" s="475">
        <f t="shared" si="13"/>
        <v>0</v>
      </c>
      <c r="V60" s="425"/>
    </row>
    <row r="61" spans="1:22" x14ac:dyDescent="0.25">
      <c r="A61" s="561"/>
      <c r="B61" s="561"/>
      <c r="C61" s="143">
        <v>0.5</v>
      </c>
      <c r="D61" s="143">
        <v>0.52</v>
      </c>
      <c r="E61" s="116">
        <f t="shared" si="10"/>
        <v>1.02</v>
      </c>
      <c r="F61" s="445" t="s">
        <v>13</v>
      </c>
      <c r="G61" s="444">
        <v>252</v>
      </c>
      <c r="H61" s="458">
        <f>'1461'!H61</f>
        <v>3506</v>
      </c>
      <c r="I61" s="101">
        <f t="shared" si="11"/>
        <v>3576.12</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0</v>
      </c>
      <c r="D63" s="143">
        <v>0</v>
      </c>
      <c r="E63" s="116">
        <f t="shared" si="10"/>
        <v>0</v>
      </c>
      <c r="F63" s="445" t="s">
        <v>14</v>
      </c>
      <c r="G63" s="444">
        <v>251</v>
      </c>
      <c r="H63" s="458">
        <f>'1461'!H63</f>
        <v>835</v>
      </c>
      <c r="I63" s="101">
        <f t="shared" si="11"/>
        <v>0</v>
      </c>
      <c r="N63" s="591"/>
      <c r="O63" s="591"/>
      <c r="P63" s="594"/>
      <c r="Q63" s="594"/>
      <c r="R63" s="40" t="s">
        <v>14</v>
      </c>
      <c r="S63" s="450">
        <v>251</v>
      </c>
      <c r="T63" s="461">
        <f t="shared" si="12"/>
        <v>835</v>
      </c>
      <c r="U63" s="475">
        <f t="shared" si="13"/>
        <v>0</v>
      </c>
      <c r="V63" s="425"/>
    </row>
    <row r="64" spans="1:22" x14ac:dyDescent="0.25">
      <c r="A64" s="561"/>
      <c r="B64" s="561"/>
      <c r="C64" s="143">
        <v>0</v>
      </c>
      <c r="D64" s="143">
        <v>0</v>
      </c>
      <c r="E64" s="116">
        <f t="shared" si="10"/>
        <v>0</v>
      </c>
      <c r="F64" s="445" t="s">
        <v>14</v>
      </c>
      <c r="G64" s="444">
        <v>252</v>
      </c>
      <c r="H64" s="458">
        <f>'1461'!H64</f>
        <v>3168</v>
      </c>
      <c r="I64" s="101">
        <f t="shared" si="11"/>
        <v>0</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35</v>
      </c>
      <c r="D66" s="97">
        <f>SUM(D57:D65)</f>
        <v>35.500000000000007</v>
      </c>
      <c r="E66" s="97">
        <f>SUM(E57:E65)</f>
        <v>70.5</v>
      </c>
      <c r="F66" s="562" t="s">
        <v>443</v>
      </c>
      <c r="G66" s="562"/>
      <c r="H66" s="562"/>
      <c r="I66" s="97">
        <f>SUM(I57:I65)</f>
        <v>90945.16</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374.01000000000005</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1.853E-3</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405.56110000000007</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1.786E-3</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374.01000000000005</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2.006E-3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374.01000000000005</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1.856E-3</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374.01000000000005</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2.0100000000000001E-3</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1.856E-3</v>
      </c>
      <c r="I85" s="101">
        <f>ROUND(F85*H85,2)</f>
        <v>82238.039999999994</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1.853E-3</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2.0100000000000001E-3</v>
      </c>
      <c r="I90" s="101">
        <f>ROUND(F90*H90,2)</f>
        <v>32714.12</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2.006E-3</v>
      </c>
      <c r="I92" s="101">
        <f t="shared" ref="I92:I96" si="14">ROUND(F92*H92,2)</f>
        <v>20316.849999999999</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1.786E-3</v>
      </c>
      <c r="I94" s="101">
        <f t="shared" si="14"/>
        <v>426849.85</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1.786E-3</v>
      </c>
      <c r="I96" s="101">
        <f t="shared" si="14"/>
        <v>0</v>
      </c>
      <c r="N96" s="572" t="s">
        <v>418</v>
      </c>
      <c r="O96" s="573"/>
      <c r="P96" s="573"/>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475</v>
      </c>
      <c r="B98" s="512"/>
      <c r="C98" s="512"/>
      <c r="D98" s="512"/>
      <c r="E98" s="510" t="s">
        <v>3</v>
      </c>
      <c r="F98" s="291">
        <v>0</v>
      </c>
      <c r="G98" s="511" t="s">
        <v>6</v>
      </c>
      <c r="H98" s="423">
        <f>H70</f>
        <v>1.853E-3</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281.15110000000004</v>
      </c>
      <c r="D104" s="568"/>
      <c r="E104" s="46">
        <f>H8</f>
        <v>1.0442</v>
      </c>
      <c r="F104" s="304">
        <f>'1461'!F104</f>
        <v>947.59</v>
      </c>
      <c r="G104" s="39" t="s">
        <v>12</v>
      </c>
      <c r="H104" s="101">
        <f>ROUND(C104*E104*F104,2)</f>
        <v>278191.56</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124.41</v>
      </c>
      <c r="D105" s="568"/>
      <c r="E105" s="46">
        <f>H8</f>
        <v>1.0442</v>
      </c>
      <c r="F105" s="304">
        <f>'1461'!F105</f>
        <v>904.74</v>
      </c>
      <c r="G105" s="39" t="s">
        <v>12</v>
      </c>
      <c r="H105" s="101">
        <f>ROUND(C105*E105*F105,2)</f>
        <v>117533.8</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0</v>
      </c>
      <c r="D106" s="568"/>
      <c r="E106" s="46">
        <f>H8</f>
        <v>1.0442</v>
      </c>
      <c r="F106" s="304">
        <f>'1461'!F106</f>
        <v>906.93</v>
      </c>
      <c r="G106" s="39" t="s">
        <v>12</v>
      </c>
      <c r="H106" s="94">
        <f>ROUND(C106*E106*F106,2)</f>
        <v>0</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405.56110000000001</v>
      </c>
      <c r="D107" s="558"/>
      <c r="E107" s="123"/>
      <c r="F107" s="123"/>
      <c r="G107" s="123"/>
      <c r="H107" s="124" t="s">
        <v>100</v>
      </c>
      <c r="I107" s="101">
        <f>IF(A1=75,0,H106+H105+H104)</f>
        <v>395725.36</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0</v>
      </c>
      <c r="D113" s="143">
        <v>0</v>
      </c>
      <c r="E113" s="116">
        <f>(C113+D113)/2</f>
        <v>0</v>
      </c>
      <c r="F113" s="126" t="s">
        <v>30</v>
      </c>
      <c r="G113" s="305">
        <f>'1461'!G113</f>
        <v>548</v>
      </c>
      <c r="I113" s="101">
        <f>ROUND(G113*E113,2)</f>
        <v>0</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16">
        <f>(C114+D114)/2</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3225397.72</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3096324.8400000003</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3096324.8400000003</v>
      </c>
      <c r="I135" s="94">
        <f>ROUND(IF(E30=0,0,IF(E30&gt;250,-(((250/E30)*H135)*IF(G135="H",0.02,0.05)),IF(G135="H",-0.02*H135,-0.05*H135))),2)</f>
        <v>-41393.61</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3184004.1100000003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-506538.3-245982.01-245982-245982.01-245982-281697.09-283058.8-284124.54</f>
        <v>-2339346.75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844657.36000000034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281552.45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20532.89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FFCCCC"/>
  </sheetPr>
  <dimension ref="A1:V221"/>
  <sheetViews>
    <sheetView topLeftCell="A115" workbookViewId="0">
      <selection activeCell="D63" sqref="D63:D64"/>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124</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0</v>
      </c>
      <c r="D14" s="141">
        <v>0</v>
      </c>
      <c r="E14" s="187">
        <f>IF(D$30=0,C14*2,C14+D14)</f>
        <v>0</v>
      </c>
      <c r="F14" s="639">
        <f>'1461'!F14:G14</f>
        <v>1.1220000000000001</v>
      </c>
      <c r="G14" s="639"/>
      <c r="H14" s="145">
        <f>ROUND(E14*F14,4)</f>
        <v>0</v>
      </c>
      <c r="I14" s="111">
        <f>ROUND(ROUND(ROUND(H14*$C$8,4)*($H$8),2)*(MAX($H$9,1)),2)</f>
        <v>0</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0</v>
      </c>
      <c r="D15" s="143">
        <v>0</v>
      </c>
      <c r="E15" s="116">
        <f t="shared" ref="E15:E29" si="1">IF(D$30=0,C15*2,C15+D15)</f>
        <v>0</v>
      </c>
      <c r="F15" s="635">
        <f>'1461'!F15:G15</f>
        <v>1.1220000000000001</v>
      </c>
      <c r="G15" s="635"/>
      <c r="H15" s="80">
        <f t="shared" ref="H15:H29" si="2">ROUND(E15*F15,4)</f>
        <v>0</v>
      </c>
      <c r="I15" s="101">
        <f t="shared" ref="I15:I29" si="3">ROUND(ROUND(ROUND(H15*$C$8,4)*($H$8),2)*(MAX($H$9,1)),2)</f>
        <v>0</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0</v>
      </c>
      <c r="D16" s="143">
        <v>0</v>
      </c>
      <c r="E16" s="116">
        <f t="shared" si="1"/>
        <v>0</v>
      </c>
      <c r="F16" s="635">
        <f>'1461'!F16:G16</f>
        <v>1</v>
      </c>
      <c r="G16" s="635"/>
      <c r="H16" s="80">
        <f t="shared" si="2"/>
        <v>0</v>
      </c>
      <c r="I16" s="101">
        <f t="shared" si="3"/>
        <v>0</v>
      </c>
      <c r="N16" s="573" t="s">
        <v>22</v>
      </c>
      <c r="O16" s="573"/>
      <c r="P16" s="614">
        <f t="shared" si="0"/>
        <v>0</v>
      </c>
      <c r="Q16" s="614"/>
      <c r="R16" s="619">
        <v>1</v>
      </c>
      <c r="S16" s="619"/>
      <c r="T16" s="95">
        <f t="shared" si="4"/>
        <v>0</v>
      </c>
      <c r="U16" s="474">
        <f t="shared" si="5"/>
        <v>0</v>
      </c>
    </row>
    <row r="17" spans="1:21" x14ac:dyDescent="0.25">
      <c r="A17" s="550" t="s">
        <v>23</v>
      </c>
      <c r="B17" s="550"/>
      <c r="C17" s="143">
        <v>0</v>
      </c>
      <c r="D17" s="143">
        <v>0</v>
      </c>
      <c r="E17" s="116">
        <f t="shared" si="1"/>
        <v>0</v>
      </c>
      <c r="F17" s="635">
        <f>'1461'!F17:G17</f>
        <v>1</v>
      </c>
      <c r="G17" s="635"/>
      <c r="H17" s="80">
        <f t="shared" si="2"/>
        <v>0</v>
      </c>
      <c r="I17" s="101">
        <f t="shared" si="3"/>
        <v>0</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132.65</v>
      </c>
      <c r="D18" s="143">
        <v>177.44</v>
      </c>
      <c r="E18" s="116">
        <f t="shared" si="1"/>
        <v>310.09000000000003</v>
      </c>
      <c r="F18" s="635">
        <f>'1461'!F18:G18</f>
        <v>0.98799999999999999</v>
      </c>
      <c r="G18" s="635"/>
      <c r="H18" s="80">
        <f t="shared" si="2"/>
        <v>306.3689</v>
      </c>
      <c r="I18" s="101">
        <f t="shared" si="3"/>
        <v>1644253.11</v>
      </c>
      <c r="N18" s="573" t="s">
        <v>24</v>
      </c>
      <c r="O18" s="573"/>
      <c r="P18" s="614">
        <f t="shared" si="0"/>
        <v>0</v>
      </c>
      <c r="Q18" s="614"/>
      <c r="R18" s="619">
        <v>1</v>
      </c>
      <c r="S18" s="619"/>
      <c r="T18" s="95">
        <f t="shared" si="4"/>
        <v>0</v>
      </c>
      <c r="U18" s="474">
        <f t="shared" si="5"/>
        <v>0</v>
      </c>
    </row>
    <row r="19" spans="1:21" x14ac:dyDescent="0.25">
      <c r="A19" s="550" t="s">
        <v>25</v>
      </c>
      <c r="B19" s="550"/>
      <c r="C19" s="143">
        <v>28.43</v>
      </c>
      <c r="D19" s="143">
        <v>42.58</v>
      </c>
      <c r="E19" s="116">
        <f t="shared" si="1"/>
        <v>71.009999999999991</v>
      </c>
      <c r="F19" s="635">
        <f>'1461'!F19:G19</f>
        <v>0.98799999999999999</v>
      </c>
      <c r="G19" s="635"/>
      <c r="H19" s="80">
        <f t="shared" si="2"/>
        <v>70.157899999999998</v>
      </c>
      <c r="I19" s="101">
        <f t="shared" si="3"/>
        <v>376530.86</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0</v>
      </c>
      <c r="D26" s="143">
        <v>0</v>
      </c>
      <c r="E26" s="116">
        <f t="shared" si="1"/>
        <v>0</v>
      </c>
      <c r="F26" s="635">
        <f>'1461'!F26:G26</f>
        <v>1.208</v>
      </c>
      <c r="G26" s="635"/>
      <c r="H26" s="80">
        <f t="shared" si="2"/>
        <v>0</v>
      </c>
      <c r="I26" s="101">
        <f t="shared" si="3"/>
        <v>0</v>
      </c>
      <c r="N26" s="573" t="s">
        <v>85</v>
      </c>
      <c r="O26" s="573"/>
      <c r="P26" s="614">
        <f t="shared" si="0"/>
        <v>0</v>
      </c>
      <c r="Q26" s="614"/>
      <c r="R26" s="619">
        <v>1</v>
      </c>
      <c r="S26" s="619"/>
      <c r="T26" s="95">
        <f t="shared" si="4"/>
        <v>0</v>
      </c>
      <c r="U26" s="474">
        <f t="shared" si="5"/>
        <v>0</v>
      </c>
    </row>
    <row r="27" spans="1:21" x14ac:dyDescent="0.25">
      <c r="A27" s="550" t="s">
        <v>86</v>
      </c>
      <c r="B27" s="550"/>
      <c r="C27" s="143">
        <v>0</v>
      </c>
      <c r="D27" s="143">
        <v>0</v>
      </c>
      <c r="E27" s="116">
        <f t="shared" si="1"/>
        <v>0</v>
      </c>
      <c r="F27" s="635">
        <f>'1461'!F27:G27</f>
        <v>1.208</v>
      </c>
      <c r="G27" s="635"/>
      <c r="H27" s="80">
        <f t="shared" si="2"/>
        <v>0</v>
      </c>
      <c r="I27" s="101">
        <f t="shared" si="3"/>
        <v>0</v>
      </c>
      <c r="N27" s="573" t="s">
        <v>86</v>
      </c>
      <c r="O27" s="573"/>
      <c r="P27" s="614">
        <f t="shared" si="0"/>
        <v>0</v>
      </c>
      <c r="Q27" s="614"/>
      <c r="R27" s="619">
        <v>1</v>
      </c>
      <c r="S27" s="619"/>
      <c r="T27" s="95">
        <f t="shared" si="4"/>
        <v>0</v>
      </c>
      <c r="U27" s="474">
        <f t="shared" si="5"/>
        <v>0</v>
      </c>
    </row>
    <row r="28" spans="1:21" x14ac:dyDescent="0.25">
      <c r="A28" s="550" t="s">
        <v>87</v>
      </c>
      <c r="B28" s="550"/>
      <c r="C28" s="143">
        <v>11.4</v>
      </c>
      <c r="D28" s="143">
        <v>11.21</v>
      </c>
      <c r="E28" s="116">
        <f t="shared" si="1"/>
        <v>22.61</v>
      </c>
      <c r="F28" s="635">
        <f>'1461'!F28:G28</f>
        <v>1.208</v>
      </c>
      <c r="G28" s="635"/>
      <c r="H28" s="80">
        <f t="shared" si="2"/>
        <v>27.312899999999999</v>
      </c>
      <c r="I28" s="101">
        <f t="shared" si="3"/>
        <v>146585.76999999999</v>
      </c>
      <c r="N28" s="573" t="s">
        <v>87</v>
      </c>
      <c r="O28" s="573"/>
      <c r="P28" s="614">
        <f t="shared" si="0"/>
        <v>0</v>
      </c>
      <c r="Q28" s="614"/>
      <c r="R28" s="619">
        <v>1</v>
      </c>
      <c r="S28" s="619"/>
      <c r="T28" s="95">
        <f t="shared" si="4"/>
        <v>0</v>
      </c>
      <c r="U28" s="474">
        <f t="shared" si="5"/>
        <v>0</v>
      </c>
    </row>
    <row r="29" spans="1:21" x14ac:dyDescent="0.25">
      <c r="A29" s="550" t="s">
        <v>88</v>
      </c>
      <c r="B29" s="550"/>
      <c r="C29" s="110">
        <v>1.2</v>
      </c>
      <c r="D29" s="110">
        <v>1.5</v>
      </c>
      <c r="E29" s="154">
        <f t="shared" si="1"/>
        <v>2.7</v>
      </c>
      <c r="F29" s="635">
        <f>'1461'!F29:G29</f>
        <v>1.0720000000000001</v>
      </c>
      <c r="G29" s="635"/>
      <c r="H29" s="93">
        <f t="shared" si="2"/>
        <v>2.8944000000000001</v>
      </c>
      <c r="I29" s="94">
        <f t="shared" si="3"/>
        <v>15533.97</v>
      </c>
      <c r="N29" s="588" t="s">
        <v>88</v>
      </c>
      <c r="O29" s="588"/>
      <c r="P29" s="614">
        <f t="shared" si="0"/>
        <v>0</v>
      </c>
      <c r="Q29" s="614"/>
      <c r="R29" s="615">
        <v>1</v>
      </c>
      <c r="S29" s="615"/>
      <c r="T29" s="95">
        <f t="shared" si="4"/>
        <v>0</v>
      </c>
      <c r="U29" s="474">
        <f t="shared" si="5"/>
        <v>0</v>
      </c>
    </row>
    <row r="30" spans="1:21" x14ac:dyDescent="0.25">
      <c r="A30" s="562" t="s">
        <v>5</v>
      </c>
      <c r="B30" s="562"/>
      <c r="C30" s="94">
        <f>SUM(C14:C29)</f>
        <v>173.68</v>
      </c>
      <c r="D30" s="94">
        <f>SUM(D14:D29)</f>
        <v>232.73</v>
      </c>
      <c r="E30" s="94">
        <f>SUM(E14:E29)</f>
        <v>406.41</v>
      </c>
      <c r="F30" s="554"/>
      <c r="G30" s="554"/>
      <c r="H30" s="99">
        <f>SUM(H14:H29)</f>
        <v>406.73410000000001</v>
      </c>
      <c r="I30" s="94">
        <f>SUM(I14:I29)</f>
        <v>2182903.7100000004</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406.73410000000001</v>
      </c>
      <c r="F46" s="34"/>
      <c r="G46" s="106"/>
      <c r="H46" s="107" t="s">
        <v>98</v>
      </c>
      <c r="I46" s="94">
        <f>SUM(I44,I30)</f>
        <v>2182903.7100000004</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2182903.7100000004</v>
      </c>
      <c r="G51" s="109" t="s">
        <v>6</v>
      </c>
      <c r="H51" s="402">
        <v>4.5199999999999997E-2</v>
      </c>
      <c r="I51" s="101">
        <f>ROUND(F51*H51,2)</f>
        <v>98667.25</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2182903.7100000004</v>
      </c>
      <c r="G52" s="109" t="s">
        <v>6</v>
      </c>
      <c r="H52" s="402">
        <v>1.41E-2</v>
      </c>
      <c r="I52" s="101">
        <f>ROUND(F52*H52,2)</f>
        <v>30778.94</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129446.19</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0</v>
      </c>
      <c r="D57" s="143">
        <v>0</v>
      </c>
      <c r="E57" s="116">
        <f t="shared" ref="E57:E65" si="10">IF(D$66=0,C57*2,C57+D57)</f>
        <v>0</v>
      </c>
      <c r="F57" s="444" t="s">
        <v>434</v>
      </c>
      <c r="G57" s="444">
        <v>251</v>
      </c>
      <c r="H57" s="458">
        <f>'1461'!H57</f>
        <v>1047</v>
      </c>
      <c r="I57" s="101">
        <f>ROUND(E57*H57,2)</f>
        <v>0</v>
      </c>
      <c r="N57" s="590" t="s">
        <v>442</v>
      </c>
      <c r="O57" s="590"/>
      <c r="P57" s="593"/>
      <c r="Q57" s="593"/>
      <c r="R57" s="450" t="s">
        <v>434</v>
      </c>
      <c r="S57" s="450">
        <v>251</v>
      </c>
      <c r="T57" s="461">
        <f>H57</f>
        <v>1047</v>
      </c>
      <c r="U57" s="475">
        <f>ROUND(P57*T57,2)</f>
        <v>0</v>
      </c>
      <c r="V57" s="425"/>
    </row>
    <row r="58" spans="1:22" x14ac:dyDescent="0.25">
      <c r="A58" s="561"/>
      <c r="B58" s="561"/>
      <c r="C58" s="143">
        <v>0</v>
      </c>
      <c r="D58" s="143">
        <v>0</v>
      </c>
      <c r="E58" s="116">
        <f t="shared" si="10"/>
        <v>0</v>
      </c>
      <c r="F58" s="444" t="s">
        <v>434</v>
      </c>
      <c r="G58" s="444">
        <v>252</v>
      </c>
      <c r="H58" s="458">
        <f>'1461'!H58</f>
        <v>3380</v>
      </c>
      <c r="I58" s="101">
        <f t="shared" ref="I58:I65" si="11">ROUND(E58*H58,2)</f>
        <v>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0</v>
      </c>
      <c r="D60" s="143">
        <v>0</v>
      </c>
      <c r="E60" s="116">
        <f t="shared" si="10"/>
        <v>0</v>
      </c>
      <c r="F60" s="445" t="s">
        <v>13</v>
      </c>
      <c r="G60" s="444">
        <v>251</v>
      </c>
      <c r="H60" s="458">
        <f>'1461'!H60</f>
        <v>1173</v>
      </c>
      <c r="I60" s="101">
        <f t="shared" si="11"/>
        <v>0</v>
      </c>
      <c r="N60" s="591"/>
      <c r="O60" s="591"/>
      <c r="P60" s="594"/>
      <c r="Q60" s="594"/>
      <c r="R60" s="40" t="s">
        <v>13</v>
      </c>
      <c r="S60" s="450">
        <v>251</v>
      </c>
      <c r="T60" s="461">
        <f t="shared" si="12"/>
        <v>1173</v>
      </c>
      <c r="U60" s="475">
        <f t="shared" si="13"/>
        <v>0</v>
      </c>
      <c r="V60" s="425"/>
    </row>
    <row r="61" spans="1:22" x14ac:dyDescent="0.25">
      <c r="A61" s="561"/>
      <c r="B61" s="561"/>
      <c r="C61" s="143">
        <v>0</v>
      </c>
      <c r="D61" s="143">
        <v>0</v>
      </c>
      <c r="E61" s="116">
        <f t="shared" si="10"/>
        <v>0</v>
      </c>
      <c r="F61" s="445" t="s">
        <v>13</v>
      </c>
      <c r="G61" s="444">
        <v>252</v>
      </c>
      <c r="H61" s="458">
        <f>'1461'!H61</f>
        <v>3506</v>
      </c>
      <c r="I61" s="101">
        <f t="shared" si="11"/>
        <v>0</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27.93</v>
      </c>
      <c r="D63" s="143">
        <v>41.83</v>
      </c>
      <c r="E63" s="116">
        <f t="shared" si="10"/>
        <v>69.759999999999991</v>
      </c>
      <c r="F63" s="445" t="s">
        <v>14</v>
      </c>
      <c r="G63" s="444">
        <v>251</v>
      </c>
      <c r="H63" s="458">
        <f>'1461'!H63</f>
        <v>835</v>
      </c>
      <c r="I63" s="101">
        <f t="shared" si="11"/>
        <v>58249.599999999999</v>
      </c>
      <c r="N63" s="591"/>
      <c r="O63" s="591"/>
      <c r="P63" s="594"/>
      <c r="Q63" s="594"/>
      <c r="R63" s="40" t="s">
        <v>14</v>
      </c>
      <c r="S63" s="450">
        <v>251</v>
      </c>
      <c r="T63" s="461">
        <f t="shared" si="12"/>
        <v>835</v>
      </c>
      <c r="U63" s="475">
        <f t="shared" si="13"/>
        <v>0</v>
      </c>
      <c r="V63" s="425"/>
    </row>
    <row r="64" spans="1:22" x14ac:dyDescent="0.25">
      <c r="A64" s="561"/>
      <c r="B64" s="561"/>
      <c r="C64" s="143">
        <v>0.5</v>
      </c>
      <c r="D64" s="143">
        <v>0.75</v>
      </c>
      <c r="E64" s="116">
        <f t="shared" si="10"/>
        <v>1.25</v>
      </c>
      <c r="F64" s="445" t="s">
        <v>14</v>
      </c>
      <c r="G64" s="444">
        <v>252</v>
      </c>
      <c r="H64" s="458">
        <f>'1461'!H64</f>
        <v>3168</v>
      </c>
      <c r="I64" s="101">
        <f t="shared" si="11"/>
        <v>3960</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28.43</v>
      </c>
      <c r="D66" s="97">
        <f>SUM(D57:D65)</f>
        <v>42.58</v>
      </c>
      <c r="E66" s="97">
        <f>SUM(E57:E65)</f>
        <v>71.009999999999991</v>
      </c>
      <c r="F66" s="562" t="s">
        <v>443</v>
      </c>
      <c r="G66" s="562"/>
      <c r="H66" s="562"/>
      <c r="I66" s="97">
        <f>SUM(I57:I65)</f>
        <v>62209.599999999999</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406.41</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2.0140000000000002E-3</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406.73410000000001</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1.7910000000000001E-3</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406.41</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2.1800000000000001E-3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406.41</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2.0170000000000001E-3</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406.41</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2.1840000000000002E-3</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2.0170000000000001E-3</v>
      </c>
      <c r="I85" s="101">
        <f>ROUND(F85*H85,2)</f>
        <v>89371.83</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2.0140000000000002E-3</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2.1840000000000002E-3</v>
      </c>
      <c r="I90" s="101">
        <f>ROUND(F90*H90,2)</f>
        <v>35546.089999999997</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2.1800000000000001E-3</v>
      </c>
      <c r="I92" s="101">
        <f t="shared" ref="I92:I96" si="14">ROUND(F92*H92,2)</f>
        <v>22079.13</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1.7910000000000001E-3</v>
      </c>
      <c r="I94" s="101">
        <f t="shared" si="14"/>
        <v>428044.83</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1.7910000000000001E-3</v>
      </c>
      <c r="I96" s="101">
        <f t="shared" si="14"/>
        <v>0</v>
      </c>
      <c r="N96" s="572" t="s">
        <v>418</v>
      </c>
      <c r="O96" s="573"/>
      <c r="P96" s="573"/>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475</v>
      </c>
      <c r="B98" s="512"/>
      <c r="C98" s="512"/>
      <c r="D98" s="512"/>
      <c r="E98" s="510" t="s">
        <v>3</v>
      </c>
      <c r="F98" s="291">
        <v>0</v>
      </c>
      <c r="G98" s="511" t="s">
        <v>6</v>
      </c>
      <c r="H98" s="423">
        <f>H70</f>
        <v>2.0140000000000002E-3</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0</v>
      </c>
      <c r="D104" s="568"/>
      <c r="E104" s="46">
        <f>H8</f>
        <v>1.0442</v>
      </c>
      <c r="F104" s="304">
        <f>'1461'!F104</f>
        <v>947.59</v>
      </c>
      <c r="G104" s="39" t="s">
        <v>12</v>
      </c>
      <c r="H104" s="101">
        <f>ROUND(C104*E104*F104,2)</f>
        <v>0</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0</v>
      </c>
      <c r="D105" s="568"/>
      <c r="E105" s="46">
        <f>H8</f>
        <v>1.0442</v>
      </c>
      <c r="F105" s="304">
        <f>'1461'!F105</f>
        <v>904.74</v>
      </c>
      <c r="G105" s="39" t="s">
        <v>12</v>
      </c>
      <c r="H105" s="101">
        <f>ROUND(C105*E105*F105,2)</f>
        <v>0</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406.73410000000001</v>
      </c>
      <c r="D106" s="568"/>
      <c r="E106" s="46">
        <f>H8</f>
        <v>1.0442</v>
      </c>
      <c r="F106" s="304">
        <f>'1461'!F106</f>
        <v>906.93</v>
      </c>
      <c r="G106" s="39" t="s">
        <v>12</v>
      </c>
      <c r="H106" s="94">
        <f>ROUND(C106*E106*F106,2)</f>
        <v>385183.82</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406.73410000000001</v>
      </c>
      <c r="D107" s="558"/>
      <c r="E107" s="123"/>
      <c r="F107" s="123"/>
      <c r="G107" s="123"/>
      <c r="H107" s="124" t="s">
        <v>100</v>
      </c>
      <c r="I107" s="101">
        <f>IF(A1=75,0,H106+H105+H104)</f>
        <v>385183.82</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102</v>
      </c>
      <c r="D113" s="143">
        <v>0</v>
      </c>
      <c r="E113" s="116">
        <f>C113</f>
        <v>102</v>
      </c>
      <c r="F113" s="126" t="s">
        <v>30</v>
      </c>
      <c r="G113" s="305">
        <f>'1461'!G113</f>
        <v>548</v>
      </c>
      <c r="I113" s="101">
        <f>ROUND(G113*E113,2)</f>
        <v>55896</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16">
        <f>(C114+D114)/2</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3261235.0100000002</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3131788.8200000003</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3131788.8200000003</v>
      </c>
      <c r="I135" s="94">
        <f>ROUND(IF(E30=0,0,IF(E30&gt;250,-(((250/E30)*H135)*IF(G135="H",0.02,0.05)),IF(G135="H",-0.02*H135,-0.05*H135))),2)</f>
        <v>-96324.800000000003</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3164910.2100000004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-422565.92-205255.16-205255.16-205255.16-205255.15-237417.83-243644.19-244115.99</f>
        <v>-1968764.56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1196145.6500000004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398715.22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60264.639999999999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FFCCCC"/>
  </sheetPr>
  <dimension ref="A1:V221"/>
  <sheetViews>
    <sheetView topLeftCell="A105" workbookViewId="0">
      <selection activeCell="D64" sqref="D64"/>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125</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192.02</v>
      </c>
      <c r="D14" s="141">
        <v>185.29</v>
      </c>
      <c r="E14" s="187">
        <f>IF(D$30=0,C14*2,C14+D14)</f>
        <v>377.31</v>
      </c>
      <c r="F14" s="639">
        <f>'1461'!F14:G14</f>
        <v>1.1220000000000001</v>
      </c>
      <c r="G14" s="639"/>
      <c r="H14" s="145">
        <f>ROUND(E14*F14,4)</f>
        <v>423.34179999999998</v>
      </c>
      <c r="I14" s="111">
        <f>ROUND(ROUND(ROUND(H14*$C$8,4)*($H$8),2)*(MAX($H$9,1)),2)</f>
        <v>2272035.67</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29.5</v>
      </c>
      <c r="D15" s="143">
        <v>32.9</v>
      </c>
      <c r="E15" s="116">
        <f t="shared" ref="E15:E29" si="1">IF(D$30=0,C15*2,C15+D15)</f>
        <v>62.4</v>
      </c>
      <c r="F15" s="635">
        <f>'1461'!F15:G15</f>
        <v>1.1220000000000001</v>
      </c>
      <c r="G15" s="635"/>
      <c r="H15" s="80">
        <f t="shared" ref="H15:H29" si="2">ROUND(E15*F15,4)</f>
        <v>70.012799999999999</v>
      </c>
      <c r="I15" s="101">
        <f t="shared" ref="I15:I29" si="3">ROUND(ROUND(ROUND(H15*$C$8,4)*($H$8),2)*(MAX($H$9,1)),2)</f>
        <v>375752.12</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220.73</v>
      </c>
      <c r="D16" s="143">
        <v>215.58</v>
      </c>
      <c r="E16" s="116">
        <f t="shared" si="1"/>
        <v>436.31</v>
      </c>
      <c r="F16" s="635">
        <f>'1461'!F16:G16</f>
        <v>1</v>
      </c>
      <c r="G16" s="635"/>
      <c r="H16" s="80">
        <f t="shared" si="2"/>
        <v>436.31</v>
      </c>
      <c r="I16" s="101">
        <f t="shared" si="3"/>
        <v>2341634.79</v>
      </c>
      <c r="N16" s="573" t="s">
        <v>22</v>
      </c>
      <c r="O16" s="573"/>
      <c r="P16" s="614">
        <f t="shared" si="0"/>
        <v>0</v>
      </c>
      <c r="Q16" s="614"/>
      <c r="R16" s="619">
        <v>1</v>
      </c>
      <c r="S16" s="619"/>
      <c r="T16" s="95">
        <f t="shared" si="4"/>
        <v>0</v>
      </c>
      <c r="U16" s="474">
        <f t="shared" si="5"/>
        <v>0</v>
      </c>
    </row>
    <row r="17" spans="1:21" x14ac:dyDescent="0.25">
      <c r="A17" s="550" t="s">
        <v>23</v>
      </c>
      <c r="B17" s="550"/>
      <c r="C17" s="143">
        <v>32</v>
      </c>
      <c r="D17" s="143">
        <v>28.48</v>
      </c>
      <c r="E17" s="116">
        <f t="shared" si="1"/>
        <v>60.480000000000004</v>
      </c>
      <c r="F17" s="635">
        <f>'1461'!F17:G17</f>
        <v>1</v>
      </c>
      <c r="G17" s="635"/>
      <c r="H17" s="80">
        <f t="shared" si="2"/>
        <v>60.48</v>
      </c>
      <c r="I17" s="101">
        <f t="shared" si="3"/>
        <v>324590.48</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0</v>
      </c>
      <c r="D18" s="143">
        <v>0</v>
      </c>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0</v>
      </c>
      <c r="D19" s="143">
        <v>0</v>
      </c>
      <c r="E19" s="116">
        <f t="shared" si="1"/>
        <v>0</v>
      </c>
      <c r="F19" s="635">
        <f>'1461'!F19:G19</f>
        <v>0.98799999999999999</v>
      </c>
      <c r="G19" s="635"/>
      <c r="H19" s="80">
        <f t="shared" si="2"/>
        <v>0</v>
      </c>
      <c r="I19" s="101">
        <f t="shared" si="3"/>
        <v>0</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18.48</v>
      </c>
      <c r="D26" s="143">
        <v>19.36</v>
      </c>
      <c r="E26" s="116">
        <f t="shared" si="1"/>
        <v>37.840000000000003</v>
      </c>
      <c r="F26" s="635">
        <f>'1461'!F26:G26</f>
        <v>1.208</v>
      </c>
      <c r="G26" s="635"/>
      <c r="H26" s="80">
        <f t="shared" si="2"/>
        <v>45.710700000000003</v>
      </c>
      <c r="I26" s="101">
        <f t="shared" si="3"/>
        <v>245325.03</v>
      </c>
      <c r="N26" s="573" t="s">
        <v>85</v>
      </c>
      <c r="O26" s="573"/>
      <c r="P26" s="614">
        <f t="shared" si="0"/>
        <v>0</v>
      </c>
      <c r="Q26" s="614"/>
      <c r="R26" s="619">
        <v>1</v>
      </c>
      <c r="S26" s="619"/>
      <c r="T26" s="95">
        <f t="shared" si="4"/>
        <v>0</v>
      </c>
      <c r="U26" s="474">
        <f t="shared" si="5"/>
        <v>0</v>
      </c>
    </row>
    <row r="27" spans="1:21" x14ac:dyDescent="0.25">
      <c r="A27" s="550" t="s">
        <v>86</v>
      </c>
      <c r="B27" s="550"/>
      <c r="C27" s="143">
        <v>4.3499999999999996</v>
      </c>
      <c r="D27" s="143">
        <v>5.86</v>
      </c>
      <c r="E27" s="116">
        <f t="shared" si="1"/>
        <v>10.210000000000001</v>
      </c>
      <c r="F27" s="635">
        <f>'1461'!F27:G27</f>
        <v>1.208</v>
      </c>
      <c r="G27" s="635"/>
      <c r="H27" s="80">
        <f t="shared" si="2"/>
        <v>12.3337</v>
      </c>
      <c r="I27" s="101">
        <f t="shared" si="3"/>
        <v>66193.81</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497.08000000000004</v>
      </c>
      <c r="D30" s="94">
        <f>SUM(D14:D29)</f>
        <v>487.47</v>
      </c>
      <c r="E30" s="94">
        <f>SUM(E14:E29)</f>
        <v>984.55000000000007</v>
      </c>
      <c r="F30" s="554"/>
      <c r="G30" s="554"/>
      <c r="H30" s="99">
        <f>SUM(H14:H29)</f>
        <v>1048.1890000000001</v>
      </c>
      <c r="I30" s="94">
        <f>SUM(I14:I29)</f>
        <v>5625531.9000000004</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1048.1890000000001</v>
      </c>
      <c r="F46" s="34"/>
      <c r="G46" s="106"/>
      <c r="H46" s="107" t="s">
        <v>98</v>
      </c>
      <c r="I46" s="94">
        <f>SUM(I44,I30)</f>
        <v>5625531.9000000004</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5625531.9000000004</v>
      </c>
      <c r="G51" s="109" t="s">
        <v>6</v>
      </c>
      <c r="H51" s="402">
        <v>4.5199999999999997E-2</v>
      </c>
      <c r="I51" s="101">
        <f>ROUND(F51*H51,2)</f>
        <v>254274.04</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5625531.9000000004</v>
      </c>
      <c r="G52" s="109" t="s">
        <v>6</v>
      </c>
      <c r="H52" s="402">
        <v>1.41E-2</v>
      </c>
      <c r="I52" s="101">
        <f>ROUND(F52*H52,2)</f>
        <v>79320</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333594.04000000004</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26.5</v>
      </c>
      <c r="D57" s="143">
        <v>29.55</v>
      </c>
      <c r="E57" s="116">
        <f t="shared" ref="E57:E65" si="10">IF(D$66=0,C57*2,C57+D57)</f>
        <v>56.05</v>
      </c>
      <c r="F57" s="444" t="s">
        <v>434</v>
      </c>
      <c r="G57" s="444">
        <v>251</v>
      </c>
      <c r="H57" s="458">
        <f>'1461'!H57</f>
        <v>1047</v>
      </c>
      <c r="I57" s="101">
        <f>ROUND(E57*H57,2)</f>
        <v>58684.35</v>
      </c>
      <c r="N57" s="590" t="s">
        <v>442</v>
      </c>
      <c r="O57" s="590"/>
      <c r="P57" s="593"/>
      <c r="Q57" s="593"/>
      <c r="R57" s="450" t="s">
        <v>434</v>
      </c>
      <c r="S57" s="450">
        <v>251</v>
      </c>
      <c r="T57" s="461">
        <f>H57</f>
        <v>1047</v>
      </c>
      <c r="U57" s="475">
        <f>ROUND(P57*T57,2)</f>
        <v>0</v>
      </c>
      <c r="V57" s="425"/>
    </row>
    <row r="58" spans="1:22" x14ac:dyDescent="0.25">
      <c r="A58" s="561"/>
      <c r="B58" s="561"/>
      <c r="C58" s="143">
        <v>3</v>
      </c>
      <c r="D58" s="143">
        <v>3.35</v>
      </c>
      <c r="E58" s="116">
        <f t="shared" si="10"/>
        <v>6.35</v>
      </c>
      <c r="F58" s="444" t="s">
        <v>434</v>
      </c>
      <c r="G58" s="444">
        <v>252</v>
      </c>
      <c r="H58" s="458">
        <f>'1461'!H58</f>
        <v>3380</v>
      </c>
      <c r="I58" s="101">
        <f t="shared" ref="I58:I65" si="11">ROUND(E58*H58,2)</f>
        <v>21463</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28</v>
      </c>
      <c r="D60" s="143">
        <v>24.92</v>
      </c>
      <c r="E60" s="116">
        <f t="shared" si="10"/>
        <v>52.92</v>
      </c>
      <c r="F60" s="445" t="s">
        <v>13</v>
      </c>
      <c r="G60" s="444">
        <v>251</v>
      </c>
      <c r="H60" s="458">
        <f>'1461'!H60</f>
        <v>1173</v>
      </c>
      <c r="I60" s="101">
        <f t="shared" si="11"/>
        <v>62075.16</v>
      </c>
      <c r="N60" s="591"/>
      <c r="O60" s="591"/>
      <c r="P60" s="594"/>
      <c r="Q60" s="594"/>
      <c r="R60" s="40" t="s">
        <v>13</v>
      </c>
      <c r="S60" s="450">
        <v>251</v>
      </c>
      <c r="T60" s="461">
        <f t="shared" si="12"/>
        <v>1173</v>
      </c>
      <c r="U60" s="475">
        <f t="shared" si="13"/>
        <v>0</v>
      </c>
      <c r="V60" s="425"/>
    </row>
    <row r="61" spans="1:22" x14ac:dyDescent="0.25">
      <c r="A61" s="561"/>
      <c r="B61" s="561"/>
      <c r="C61" s="143">
        <v>4</v>
      </c>
      <c r="D61" s="143">
        <v>3.56</v>
      </c>
      <c r="E61" s="116">
        <f t="shared" si="10"/>
        <v>7.5600000000000005</v>
      </c>
      <c r="F61" s="445" t="s">
        <v>13</v>
      </c>
      <c r="G61" s="444">
        <v>252</v>
      </c>
      <c r="H61" s="458">
        <f>'1461'!H61</f>
        <v>3506</v>
      </c>
      <c r="I61" s="101">
        <f t="shared" si="11"/>
        <v>26505.360000000001</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0</v>
      </c>
      <c r="D63" s="143">
        <v>0</v>
      </c>
      <c r="E63" s="116">
        <f t="shared" si="10"/>
        <v>0</v>
      </c>
      <c r="F63" s="445" t="s">
        <v>14</v>
      </c>
      <c r="G63" s="444">
        <v>251</v>
      </c>
      <c r="H63" s="458">
        <f>'1461'!H63</f>
        <v>835</v>
      </c>
      <c r="I63" s="101">
        <f t="shared" si="11"/>
        <v>0</v>
      </c>
      <c r="N63" s="591"/>
      <c r="O63" s="591"/>
      <c r="P63" s="594"/>
      <c r="Q63" s="594"/>
      <c r="R63" s="40" t="s">
        <v>14</v>
      </c>
      <c r="S63" s="450">
        <v>251</v>
      </c>
      <c r="T63" s="461">
        <f t="shared" si="12"/>
        <v>835</v>
      </c>
      <c r="U63" s="475">
        <f t="shared" si="13"/>
        <v>0</v>
      </c>
      <c r="V63" s="425"/>
    </row>
    <row r="64" spans="1:22" x14ac:dyDescent="0.25">
      <c r="A64" s="561"/>
      <c r="B64" s="561"/>
      <c r="C64" s="143">
        <v>0</v>
      </c>
      <c r="D64" s="143">
        <v>0</v>
      </c>
      <c r="E64" s="116">
        <f t="shared" si="10"/>
        <v>0</v>
      </c>
      <c r="F64" s="445" t="s">
        <v>14</v>
      </c>
      <c r="G64" s="444">
        <v>252</v>
      </c>
      <c r="H64" s="458">
        <f>'1461'!H64</f>
        <v>3168</v>
      </c>
      <c r="I64" s="101">
        <f t="shared" si="11"/>
        <v>0</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61.5</v>
      </c>
      <c r="D66" s="97">
        <f>SUM(D57:D65)</f>
        <v>61.38</v>
      </c>
      <c r="E66" s="97">
        <f>SUM(E57:E65)</f>
        <v>122.88</v>
      </c>
      <c r="F66" s="562" t="s">
        <v>443</v>
      </c>
      <c r="G66" s="562"/>
      <c r="H66" s="562"/>
      <c r="I66" s="97">
        <f>SUM(I57:I65)</f>
        <v>168727.87</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984.55000000000007</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4.8789999999999997E-3</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1048.1890000000001</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4.6160000000000003E-3</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984.55000000000007</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5.2810000000000001E-3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984.55000000000007</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4.8869999999999999E-3</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984.55000000000007</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5.2900000000000004E-3</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4.8869999999999999E-3</v>
      </c>
      <c r="I85" s="101">
        <f>ROUND(F85*H85,2)</f>
        <v>216539.49</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4.8789999999999997E-3</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5.2900000000000004E-3</v>
      </c>
      <c r="I90" s="101">
        <f>ROUND(F90*H90,2)</f>
        <v>86098.35</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5.2810000000000001E-3</v>
      </c>
      <c r="I92" s="101">
        <f t="shared" ref="I92:I96" si="14">ROUND(F92*H92,2)</f>
        <v>53486.17</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4.6160000000000003E-3</v>
      </c>
      <c r="I94" s="101">
        <f t="shared" si="14"/>
        <v>1103213.26</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4.6160000000000003E-3</v>
      </c>
      <c r="I96" s="101">
        <f t="shared" si="14"/>
        <v>0</v>
      </c>
      <c r="N96" s="572" t="s">
        <v>418</v>
      </c>
      <c r="O96" s="573"/>
      <c r="P96" s="573"/>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475</v>
      </c>
      <c r="B98" s="512"/>
      <c r="C98" s="512"/>
      <c r="D98" s="512"/>
      <c r="E98" s="510" t="s">
        <v>3</v>
      </c>
      <c r="F98" s="291">
        <v>0</v>
      </c>
      <c r="G98" s="511" t="s">
        <v>6</v>
      </c>
      <c r="H98" s="423">
        <f>H70</f>
        <v>4.8789999999999997E-3</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539.06529999999998</v>
      </c>
      <c r="D104" s="568"/>
      <c r="E104" s="46">
        <f>H8</f>
        <v>1.0442</v>
      </c>
      <c r="F104" s="304">
        <f>'1461'!F104</f>
        <v>947.59</v>
      </c>
      <c r="G104" s="39" t="s">
        <v>12</v>
      </c>
      <c r="H104" s="101">
        <f>ROUND(C104*E104*F104,2)</f>
        <v>533390.81999999995</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509.12370000000004</v>
      </c>
      <c r="D105" s="568"/>
      <c r="E105" s="46">
        <f>H8</f>
        <v>1.0442</v>
      </c>
      <c r="F105" s="304">
        <f>'1461'!F105</f>
        <v>904.74</v>
      </c>
      <c r="G105" s="39" t="s">
        <v>12</v>
      </c>
      <c r="H105" s="101">
        <f>ROUND(C105*E105*F105,2)</f>
        <v>480984.18</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0</v>
      </c>
      <c r="D106" s="568"/>
      <c r="E106" s="46">
        <f>H8</f>
        <v>1.0442</v>
      </c>
      <c r="F106" s="304">
        <f>'1461'!F106</f>
        <v>906.93</v>
      </c>
      <c r="G106" s="39" t="s">
        <v>12</v>
      </c>
      <c r="H106" s="94">
        <f>ROUND(C106*E106*F106,2)</f>
        <v>0</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1048.1890000000001</v>
      </c>
      <c r="D107" s="558"/>
      <c r="E107" s="123"/>
      <c r="F107" s="123"/>
      <c r="G107" s="123"/>
      <c r="H107" s="124" t="s">
        <v>100</v>
      </c>
      <c r="I107" s="101">
        <f>IF(A1=75,0,H106+H105+H104)</f>
        <v>1014375</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23</v>
      </c>
      <c r="D113" s="143">
        <v>0</v>
      </c>
      <c r="E113" s="116">
        <f>C113</f>
        <v>23</v>
      </c>
      <c r="F113" s="126" t="s">
        <v>30</v>
      </c>
      <c r="G113" s="305">
        <f>'1461'!G113</f>
        <v>548</v>
      </c>
      <c r="I113" s="101">
        <f>ROUND(G113*E113,2)</f>
        <v>12604</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16">
        <f>(C114+D114)/2</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8280576.04</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7946982</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7946982</v>
      </c>
      <c r="I135" s="94">
        <f>ROUND(IF(E30=0,0,IF(E30&gt;250,-(((250/E30)*H135)*IF(G135="H",0.02,0.05)),IF(G135="H",-0.02*H135,-0.05*H135))),2)</f>
        <v>-40358.449999999997</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8240217.5899999999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-1410938-688388.98-688388.98-688388.98-688388.98-691106.77-689658.29-692374.34</f>
        <v>-6237633.3199999994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2002584.2700000005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667528.09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118581.19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P122:Q122"/>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R122:S122"/>
    <mergeCell ref="N132:T132"/>
    <mergeCell ref="N133:T133"/>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FFCCCC"/>
  </sheetPr>
  <dimension ref="A1:V221"/>
  <sheetViews>
    <sheetView topLeftCell="A114" workbookViewId="0">
      <selection activeCell="B52" sqref="B5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287" t="s">
        <v>126</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457"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J11" s="256"/>
      <c r="K11" s="255"/>
      <c r="L11" s="255"/>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J12" s="254"/>
      <c r="K12" s="255"/>
      <c r="L12" s="255"/>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K13" s="255"/>
      <c r="L13" s="255"/>
      <c r="N13" s="626" t="s">
        <v>36</v>
      </c>
      <c r="O13" s="626"/>
      <c r="P13" s="627" t="s">
        <v>37</v>
      </c>
      <c r="Q13" s="627"/>
      <c r="R13" s="628" t="s">
        <v>38</v>
      </c>
      <c r="S13" s="628"/>
      <c r="T13" s="22" t="s">
        <v>39</v>
      </c>
      <c r="U13" s="23" t="s">
        <v>40</v>
      </c>
    </row>
    <row r="14" spans="1:21" x14ac:dyDescent="0.25">
      <c r="A14" s="548" t="s">
        <v>20</v>
      </c>
      <c r="B14" s="548"/>
      <c r="C14" s="143">
        <v>0</v>
      </c>
      <c r="D14" s="141">
        <v>0</v>
      </c>
      <c r="E14" s="187">
        <f>IF(D$30=0,C14*2,C14+D14)</f>
        <v>0</v>
      </c>
      <c r="F14" s="639">
        <f>'1461'!F14:G14</f>
        <v>1.1220000000000001</v>
      </c>
      <c r="G14" s="639"/>
      <c r="H14" s="145">
        <f>ROUND(E14*F14,4)</f>
        <v>0</v>
      </c>
      <c r="I14" s="111">
        <f>ROUND(ROUND(ROUND(H14*$C$8,4)*($H$8),2)*(MAX($H$9,1)),2)</f>
        <v>0</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0</v>
      </c>
      <c r="D15" s="143">
        <v>0</v>
      </c>
      <c r="E15" s="116">
        <f t="shared" ref="E15:E29" si="1">IF(D$30=0,C15*2,C15+D15)</f>
        <v>0</v>
      </c>
      <c r="F15" s="635">
        <f>'1461'!F15:G15</f>
        <v>1.1220000000000001</v>
      </c>
      <c r="G15" s="635"/>
      <c r="H15" s="80">
        <f t="shared" ref="H15:H29" si="2">ROUND(E15*F15,4)</f>
        <v>0</v>
      </c>
      <c r="I15" s="101">
        <f t="shared" ref="I15:I29" si="3">ROUND(ROUND(ROUND(H15*$C$8,4)*($H$8),2)*(MAX($H$9,1)),2)</f>
        <v>0</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224.3</v>
      </c>
      <c r="D16" s="143">
        <v>223.55</v>
      </c>
      <c r="E16" s="116">
        <f t="shared" si="1"/>
        <v>447.85</v>
      </c>
      <c r="F16" s="635">
        <f>'1461'!F16:G16</f>
        <v>1</v>
      </c>
      <c r="G16" s="635"/>
      <c r="H16" s="80">
        <f t="shared" si="2"/>
        <v>447.85</v>
      </c>
      <c r="I16" s="101">
        <f t="shared" si="3"/>
        <v>2403568.88</v>
      </c>
      <c r="N16" s="573" t="s">
        <v>22</v>
      </c>
      <c r="O16" s="573"/>
      <c r="P16" s="614">
        <f t="shared" si="0"/>
        <v>0</v>
      </c>
      <c r="Q16" s="614"/>
      <c r="R16" s="619">
        <v>1</v>
      </c>
      <c r="S16" s="619"/>
      <c r="T16" s="95">
        <f t="shared" si="4"/>
        <v>0</v>
      </c>
      <c r="U16" s="474">
        <f t="shared" si="5"/>
        <v>0</v>
      </c>
    </row>
    <row r="17" spans="1:21" x14ac:dyDescent="0.25">
      <c r="A17" s="550" t="s">
        <v>23</v>
      </c>
      <c r="B17" s="550"/>
      <c r="C17" s="143">
        <v>34.5</v>
      </c>
      <c r="D17" s="143">
        <v>34.99</v>
      </c>
      <c r="E17" s="116">
        <f t="shared" si="1"/>
        <v>69.490000000000009</v>
      </c>
      <c r="F17" s="635">
        <f>'1461'!F17:G17</f>
        <v>1</v>
      </c>
      <c r="G17" s="635"/>
      <c r="H17" s="80">
        <f t="shared" si="2"/>
        <v>69.489999999999995</v>
      </c>
      <c r="I17" s="101">
        <f t="shared" si="3"/>
        <v>372946.3</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0</v>
      </c>
      <c r="D18" s="143">
        <v>0</v>
      </c>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0</v>
      </c>
      <c r="D19" s="143">
        <v>0</v>
      </c>
      <c r="E19" s="116">
        <f t="shared" si="1"/>
        <v>0</v>
      </c>
      <c r="F19" s="635">
        <f>'1461'!F19:G19</f>
        <v>0.98799999999999999</v>
      </c>
      <c r="G19" s="635"/>
      <c r="H19" s="80">
        <f t="shared" si="2"/>
        <v>0</v>
      </c>
      <c r="I19" s="101">
        <f t="shared" si="3"/>
        <v>0</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0</v>
      </c>
      <c r="D26" s="143">
        <v>0</v>
      </c>
      <c r="E26" s="116">
        <f t="shared" si="1"/>
        <v>0</v>
      </c>
      <c r="F26" s="635">
        <f>'1461'!F26:G26</f>
        <v>1.208</v>
      </c>
      <c r="G26" s="635"/>
      <c r="H26" s="80">
        <f t="shared" si="2"/>
        <v>0</v>
      </c>
      <c r="I26" s="101">
        <f t="shared" si="3"/>
        <v>0</v>
      </c>
      <c r="N26" s="573" t="s">
        <v>85</v>
      </c>
      <c r="O26" s="573"/>
      <c r="P26" s="614">
        <f t="shared" si="0"/>
        <v>0</v>
      </c>
      <c r="Q26" s="614"/>
      <c r="R26" s="619">
        <v>1</v>
      </c>
      <c r="S26" s="619"/>
      <c r="T26" s="95">
        <f t="shared" si="4"/>
        <v>0</v>
      </c>
      <c r="U26" s="474">
        <f t="shared" si="5"/>
        <v>0</v>
      </c>
    </row>
    <row r="27" spans="1:21" x14ac:dyDescent="0.25">
      <c r="A27" s="550" t="s">
        <v>86</v>
      </c>
      <c r="B27" s="550"/>
      <c r="C27" s="143">
        <v>4.01</v>
      </c>
      <c r="D27" s="143">
        <v>2.91</v>
      </c>
      <c r="E27" s="116">
        <f t="shared" si="1"/>
        <v>6.92</v>
      </c>
      <c r="F27" s="635">
        <f>'1461'!F27:G27</f>
        <v>1.208</v>
      </c>
      <c r="G27" s="635"/>
      <c r="H27" s="80">
        <f t="shared" si="2"/>
        <v>8.3594000000000008</v>
      </c>
      <c r="I27" s="101">
        <f t="shared" si="3"/>
        <v>44864.11</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262.81</v>
      </c>
      <c r="D30" s="94">
        <f>SUM(D14:D29)</f>
        <v>261.45000000000005</v>
      </c>
      <c r="E30" s="94">
        <f>SUM(E14:E29)</f>
        <v>524.26</v>
      </c>
      <c r="F30" s="554"/>
      <c r="G30" s="554"/>
      <c r="H30" s="99">
        <f>SUM(H14:H29)</f>
        <v>525.69940000000008</v>
      </c>
      <c r="I30" s="94">
        <f>SUM(I14:I29)</f>
        <v>2821379.2899999996</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525.69940000000008</v>
      </c>
      <c r="F46" s="34"/>
      <c r="G46" s="106"/>
      <c r="H46" s="107" t="s">
        <v>98</v>
      </c>
      <c r="I46" s="94">
        <f>SUM(I44,I30)</f>
        <v>2821379.2899999996</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2821379.2899999996</v>
      </c>
      <c r="G51" s="109" t="s">
        <v>6</v>
      </c>
      <c r="H51" s="402">
        <v>4.5199999999999997E-2</v>
      </c>
      <c r="I51" s="101">
        <f>ROUND(F51*H51,2)</f>
        <v>127526.34</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2821379.2899999996</v>
      </c>
      <c r="G52" s="109" t="s">
        <v>6</v>
      </c>
      <c r="H52" s="402">
        <v>1.41E-2</v>
      </c>
      <c r="I52" s="101">
        <f>ROUND(F52*H52,2)</f>
        <v>39781.449999999997</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167307.78999999998</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0</v>
      </c>
      <c r="D57" s="143">
        <v>0</v>
      </c>
      <c r="E57" s="116">
        <f t="shared" ref="E57:E65" si="10">IF(D$66=0,C57*2,C57+D57)</f>
        <v>0</v>
      </c>
      <c r="F57" s="444" t="s">
        <v>434</v>
      </c>
      <c r="G57" s="444">
        <v>251</v>
      </c>
      <c r="H57" s="458">
        <f>'1461'!H57</f>
        <v>1047</v>
      </c>
      <c r="I57" s="101">
        <f>ROUND(E57*H57,2)</f>
        <v>0</v>
      </c>
      <c r="N57" s="590" t="s">
        <v>442</v>
      </c>
      <c r="O57" s="590"/>
      <c r="P57" s="593"/>
      <c r="Q57" s="593"/>
      <c r="R57" s="450" t="s">
        <v>434</v>
      </c>
      <c r="S57" s="450">
        <v>251</v>
      </c>
      <c r="T57" s="461">
        <f>H57</f>
        <v>1047</v>
      </c>
      <c r="U57" s="475">
        <f>ROUND(P57*T57,2)</f>
        <v>0</v>
      </c>
      <c r="V57" s="425"/>
    </row>
    <row r="58" spans="1:22" x14ac:dyDescent="0.25">
      <c r="A58" s="561"/>
      <c r="B58" s="561"/>
      <c r="C58" s="143">
        <v>0</v>
      </c>
      <c r="D58" s="143">
        <v>0</v>
      </c>
      <c r="E58" s="116">
        <f t="shared" si="10"/>
        <v>0</v>
      </c>
      <c r="F58" s="444" t="s">
        <v>434</v>
      </c>
      <c r="G58" s="444">
        <v>252</v>
      </c>
      <c r="H58" s="458">
        <f>'1461'!H58</f>
        <v>3380</v>
      </c>
      <c r="I58" s="101">
        <f t="shared" ref="I58:I65" si="11">ROUND(E58*H58,2)</f>
        <v>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34</v>
      </c>
      <c r="D60" s="143">
        <v>34.479999999999997</v>
      </c>
      <c r="E60" s="116">
        <f t="shared" si="10"/>
        <v>68.47999999999999</v>
      </c>
      <c r="F60" s="445" t="s">
        <v>13</v>
      </c>
      <c r="G60" s="444">
        <v>251</v>
      </c>
      <c r="H60" s="458">
        <f>'1461'!H60</f>
        <v>1173</v>
      </c>
      <c r="I60" s="101">
        <f t="shared" si="11"/>
        <v>80327.039999999994</v>
      </c>
      <c r="N60" s="591"/>
      <c r="O60" s="591"/>
      <c r="P60" s="594"/>
      <c r="Q60" s="594"/>
      <c r="R60" s="40" t="s">
        <v>13</v>
      </c>
      <c r="S60" s="450">
        <v>251</v>
      </c>
      <c r="T60" s="461">
        <f t="shared" si="12"/>
        <v>1173</v>
      </c>
      <c r="U60" s="475">
        <f t="shared" si="13"/>
        <v>0</v>
      </c>
      <c r="V60" s="425"/>
    </row>
    <row r="61" spans="1:22" x14ac:dyDescent="0.25">
      <c r="A61" s="561"/>
      <c r="B61" s="561"/>
      <c r="C61" s="143">
        <v>0.5</v>
      </c>
      <c r="D61" s="143">
        <v>0.51</v>
      </c>
      <c r="E61" s="116">
        <f t="shared" si="10"/>
        <v>1.01</v>
      </c>
      <c r="F61" s="445" t="s">
        <v>13</v>
      </c>
      <c r="G61" s="444">
        <v>252</v>
      </c>
      <c r="H61" s="458">
        <f>'1461'!H61</f>
        <v>3506</v>
      </c>
      <c r="I61" s="101">
        <f t="shared" si="11"/>
        <v>3541.06</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0</v>
      </c>
      <c r="D63" s="143">
        <v>0</v>
      </c>
      <c r="E63" s="116">
        <f t="shared" si="10"/>
        <v>0</v>
      </c>
      <c r="F63" s="445" t="s">
        <v>14</v>
      </c>
      <c r="G63" s="444">
        <v>251</v>
      </c>
      <c r="H63" s="458">
        <f>'1461'!H63</f>
        <v>835</v>
      </c>
      <c r="I63" s="101">
        <f t="shared" si="11"/>
        <v>0</v>
      </c>
      <c r="N63" s="591"/>
      <c r="O63" s="591"/>
      <c r="P63" s="594"/>
      <c r="Q63" s="594"/>
      <c r="R63" s="40" t="s">
        <v>14</v>
      </c>
      <c r="S63" s="450">
        <v>251</v>
      </c>
      <c r="T63" s="461">
        <f t="shared" si="12"/>
        <v>835</v>
      </c>
      <c r="U63" s="475">
        <f t="shared" si="13"/>
        <v>0</v>
      </c>
      <c r="V63" s="425"/>
    </row>
    <row r="64" spans="1:22" x14ac:dyDescent="0.25">
      <c r="A64" s="561"/>
      <c r="B64" s="561"/>
      <c r="C64" s="143">
        <v>0</v>
      </c>
      <c r="D64" s="143">
        <v>0</v>
      </c>
      <c r="E64" s="116">
        <f t="shared" si="10"/>
        <v>0</v>
      </c>
      <c r="F64" s="445" t="s">
        <v>14</v>
      </c>
      <c r="G64" s="444">
        <v>252</v>
      </c>
      <c r="H64" s="458">
        <f>'1461'!H64</f>
        <v>3168</v>
      </c>
      <c r="I64" s="101">
        <f t="shared" si="11"/>
        <v>0</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34.5</v>
      </c>
      <c r="D66" s="97">
        <f>SUM(D57:D65)</f>
        <v>34.989999999999995</v>
      </c>
      <c r="E66" s="97">
        <f>SUM(E57:E65)</f>
        <v>69.489999999999995</v>
      </c>
      <c r="F66" s="562" t="s">
        <v>443</v>
      </c>
      <c r="G66" s="562"/>
      <c r="H66" s="562"/>
      <c r="I66" s="97">
        <f>SUM(I57:I65)</f>
        <v>83868.099999999991</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524.26</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2.598E-3</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525.69940000000008</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2.3149999999999998E-3</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524.26</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2.8119999999999998E-3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524.26</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2.6020000000000001E-3</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524.26</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2.8170000000000001E-3</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2.6020000000000001E-3</v>
      </c>
      <c r="I85" s="101">
        <f>ROUND(F85*H85,2)</f>
        <v>115292.77</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2.598E-3</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2.8170000000000001E-3</v>
      </c>
      <c r="I90" s="101">
        <f>ROUND(F90*H90,2)</f>
        <v>45848.59</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2.8119999999999998E-3</v>
      </c>
      <c r="I92" s="101">
        <f t="shared" ref="I92:I96" si="14">ROUND(F92*H92,2)</f>
        <v>28480.05</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2.3149999999999998E-3</v>
      </c>
      <c r="I94" s="101">
        <f t="shared" si="14"/>
        <v>553279.62</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2.3149999999999998E-3</v>
      </c>
      <c r="I96" s="101">
        <f t="shared" si="14"/>
        <v>0</v>
      </c>
      <c r="N96" s="572" t="s">
        <v>418</v>
      </c>
      <c r="O96" s="573"/>
      <c r="P96" s="573"/>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475</v>
      </c>
      <c r="B98" s="512"/>
      <c r="C98" s="512"/>
      <c r="D98" s="512"/>
      <c r="E98" s="510" t="s">
        <v>3</v>
      </c>
      <c r="F98" s="291">
        <v>0</v>
      </c>
      <c r="G98" s="511" t="s">
        <v>6</v>
      </c>
      <c r="H98" s="423">
        <f>H70</f>
        <v>2.598E-3</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0</v>
      </c>
      <c r="D104" s="568"/>
      <c r="E104" s="46">
        <f>H8</f>
        <v>1.0442</v>
      </c>
      <c r="F104" s="304">
        <f>'1461'!F104</f>
        <v>947.59</v>
      </c>
      <c r="G104" s="39" t="s">
        <v>12</v>
      </c>
      <c r="H104" s="101">
        <f>ROUND(C104*E104*F104,2)</f>
        <v>0</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525.69940000000008</v>
      </c>
      <c r="D105" s="568"/>
      <c r="E105" s="46">
        <f>H8</f>
        <v>1.0442</v>
      </c>
      <c r="F105" s="304">
        <f>'1461'!F105</f>
        <v>904.74</v>
      </c>
      <c r="G105" s="39" t="s">
        <v>12</v>
      </c>
      <c r="H105" s="101">
        <f>ROUND(C105*E105*F105,2)</f>
        <v>496643.74</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0</v>
      </c>
      <c r="D106" s="568"/>
      <c r="E106" s="46">
        <f>H8</f>
        <v>1.0442</v>
      </c>
      <c r="F106" s="304">
        <f>'1461'!F106</f>
        <v>906.93</v>
      </c>
      <c r="G106" s="39" t="s">
        <v>12</v>
      </c>
      <c r="H106" s="94">
        <f>ROUND(C106*E106*F106,2)</f>
        <v>0</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525.69940000000008</v>
      </c>
      <c r="D107" s="558"/>
      <c r="E107" s="123"/>
      <c r="F107" s="123"/>
      <c r="G107" s="123"/>
      <c r="H107" s="124" t="s">
        <v>100</v>
      </c>
      <c r="I107" s="101">
        <f>IF(A1=75,0,H106+H105+H104)</f>
        <v>496643.74</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345</v>
      </c>
      <c r="D113" s="143">
        <v>0</v>
      </c>
      <c r="E113" s="116">
        <f>C113</f>
        <v>345</v>
      </c>
      <c r="F113" s="126" t="s">
        <v>30</v>
      </c>
      <c r="G113" s="305">
        <f>'1461'!G113</f>
        <v>548</v>
      </c>
      <c r="I113" s="101">
        <f>ROUND(G113*E113,2)</f>
        <v>189060</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16">
        <f>(C114+D114)/2</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4333852.1599999992</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4166544.3699999992</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4166544.3699999992</v>
      </c>
      <c r="I135" s="94">
        <f>ROUND(IF(E30=0,0,IF(E30&gt;250,-(((250/E30)*H135)*IF(G135="H",0.02,0.05)),IF(G135="H",-0.02*H135,-0.05*H135))),2)</f>
        <v>-99343.46</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4234508.6999999993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2">
        <f>-736759.87-358334.41-358334.41-358334.41-358334.41-344999.34-346239.61-346190.82</f>
        <v>-3207527.2799999993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1026981.4199999999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81" t="s">
        <v>241</v>
      </c>
      <c r="B145" s="69"/>
      <c r="C145" s="69"/>
      <c r="D145" s="69"/>
      <c r="E145" s="69"/>
      <c r="F145" s="69"/>
      <c r="G145" s="69"/>
      <c r="H145" s="65"/>
      <c r="I145" s="155">
        <f>ROUND(I141/I143,2)</f>
        <v>342327.14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108983.76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tabColor rgb="FFFFCCCC"/>
  </sheetPr>
  <dimension ref="A1:V221"/>
  <sheetViews>
    <sheetView topLeftCell="A108" workbookViewId="0">
      <selection activeCell="G56" sqref="G56"/>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358</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0</v>
      </c>
      <c r="D14" s="141">
        <v>0</v>
      </c>
      <c r="E14" s="187">
        <f>IF(D$30=0,C14*2,C14+D14)</f>
        <v>0</v>
      </c>
      <c r="F14" s="639">
        <f>'1461'!F14:G14</f>
        <v>1.1220000000000001</v>
      </c>
      <c r="G14" s="639"/>
      <c r="H14" s="145">
        <f>ROUND(E14*F14,4)</f>
        <v>0</v>
      </c>
      <c r="I14" s="111">
        <f>ROUND(ROUND(ROUND(H14*$C$8,4)*($H$8),2)*(MAX($H$9,1)),2)</f>
        <v>0</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0</v>
      </c>
      <c r="D15" s="143">
        <v>0</v>
      </c>
      <c r="E15" s="116">
        <f t="shared" ref="E15:E29" si="1">IF(D$30=0,C15*2,C15+D15)</f>
        <v>0</v>
      </c>
      <c r="F15" s="635">
        <f>'1461'!F15:G15</f>
        <v>1.1220000000000001</v>
      </c>
      <c r="G15" s="635"/>
      <c r="H15" s="80">
        <f t="shared" ref="H15:H29" si="2">ROUND(E15*F15,4)</f>
        <v>0</v>
      </c>
      <c r="I15" s="101">
        <f t="shared" ref="I15:I29" si="3">ROUND(ROUND(ROUND(H15*$C$8,4)*($H$8),2)*(MAX($H$9,1)),2)</f>
        <v>0</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112.94</v>
      </c>
      <c r="D16" s="143">
        <v>111.44</v>
      </c>
      <c r="E16" s="116">
        <f t="shared" si="1"/>
        <v>224.38</v>
      </c>
      <c r="F16" s="635">
        <f>'1461'!F16:G16</f>
        <v>1</v>
      </c>
      <c r="G16" s="635"/>
      <c r="H16" s="80">
        <f t="shared" si="2"/>
        <v>224.38</v>
      </c>
      <c r="I16" s="101">
        <f t="shared" si="3"/>
        <v>1204226.3799999999</v>
      </c>
      <c r="N16" s="573" t="s">
        <v>22</v>
      </c>
      <c r="O16" s="573"/>
      <c r="P16" s="614">
        <f t="shared" si="0"/>
        <v>0</v>
      </c>
      <c r="Q16" s="614"/>
      <c r="R16" s="619">
        <v>1</v>
      </c>
      <c r="S16" s="619"/>
      <c r="T16" s="95">
        <f t="shared" si="4"/>
        <v>0</v>
      </c>
      <c r="U16" s="474">
        <f t="shared" si="5"/>
        <v>0</v>
      </c>
    </row>
    <row r="17" spans="1:21" x14ac:dyDescent="0.25">
      <c r="A17" s="550" t="s">
        <v>23</v>
      </c>
      <c r="B17" s="550"/>
      <c r="C17" s="143">
        <v>23</v>
      </c>
      <c r="D17" s="143">
        <v>24.48</v>
      </c>
      <c r="E17" s="116">
        <f t="shared" si="1"/>
        <v>47.480000000000004</v>
      </c>
      <c r="F17" s="635">
        <f>'1461'!F17:G17</f>
        <v>1</v>
      </c>
      <c r="G17" s="635"/>
      <c r="H17" s="80">
        <f t="shared" si="2"/>
        <v>47.48</v>
      </c>
      <c r="I17" s="101">
        <f t="shared" si="3"/>
        <v>254820.7</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60.76</v>
      </c>
      <c r="D18" s="143">
        <v>57.71</v>
      </c>
      <c r="E18" s="116">
        <f t="shared" si="1"/>
        <v>118.47</v>
      </c>
      <c r="F18" s="635">
        <f>'1461'!F18:G18</f>
        <v>0.98799999999999999</v>
      </c>
      <c r="G18" s="635"/>
      <c r="H18" s="80">
        <f t="shared" si="2"/>
        <v>117.0484</v>
      </c>
      <c r="I18" s="101">
        <f t="shared" si="3"/>
        <v>628187.77</v>
      </c>
      <c r="N18" s="573" t="s">
        <v>24</v>
      </c>
      <c r="O18" s="573"/>
      <c r="P18" s="614">
        <f t="shared" si="0"/>
        <v>0</v>
      </c>
      <c r="Q18" s="614"/>
      <c r="R18" s="619">
        <v>1</v>
      </c>
      <c r="S18" s="619"/>
      <c r="T18" s="95">
        <f t="shared" si="4"/>
        <v>0</v>
      </c>
      <c r="U18" s="474">
        <f t="shared" si="5"/>
        <v>0</v>
      </c>
    </row>
    <row r="19" spans="1:21" x14ac:dyDescent="0.25">
      <c r="A19" s="550" t="s">
        <v>25</v>
      </c>
      <c r="B19" s="550"/>
      <c r="C19" s="143">
        <v>11.28</v>
      </c>
      <c r="D19" s="143">
        <v>10.9</v>
      </c>
      <c r="E19" s="116">
        <f t="shared" si="1"/>
        <v>22.18</v>
      </c>
      <c r="F19" s="635">
        <f>'1461'!F19:G19</f>
        <v>0.98799999999999999</v>
      </c>
      <c r="G19" s="635"/>
      <c r="H19" s="80">
        <f t="shared" si="2"/>
        <v>21.913799999999998</v>
      </c>
      <c r="I19" s="101">
        <f t="shared" si="3"/>
        <v>117609.31</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0</v>
      </c>
      <c r="D26" s="143">
        <v>0</v>
      </c>
      <c r="E26" s="116">
        <f t="shared" si="1"/>
        <v>0</v>
      </c>
      <c r="F26" s="635">
        <f>'1461'!F26:G26</f>
        <v>1.208</v>
      </c>
      <c r="G26" s="635"/>
      <c r="H26" s="80">
        <f t="shared" si="2"/>
        <v>0</v>
      </c>
      <c r="I26" s="101">
        <f t="shared" si="3"/>
        <v>0</v>
      </c>
      <c r="N26" s="573" t="s">
        <v>85</v>
      </c>
      <c r="O26" s="573"/>
      <c r="P26" s="614">
        <f t="shared" si="0"/>
        <v>0</v>
      </c>
      <c r="Q26" s="614"/>
      <c r="R26" s="619">
        <v>1</v>
      </c>
      <c r="S26" s="619"/>
      <c r="T26" s="95">
        <f t="shared" si="4"/>
        <v>0</v>
      </c>
      <c r="U26" s="474">
        <f t="shared" si="5"/>
        <v>0</v>
      </c>
    </row>
    <row r="27" spans="1:21" x14ac:dyDescent="0.25">
      <c r="A27" s="550" t="s">
        <v>86</v>
      </c>
      <c r="B27" s="550"/>
      <c r="C27" s="143">
        <v>19.559999999999999</v>
      </c>
      <c r="D27" s="143">
        <v>20.57</v>
      </c>
      <c r="E27" s="116">
        <f t="shared" si="1"/>
        <v>40.129999999999995</v>
      </c>
      <c r="F27" s="635">
        <f>'1461'!F27:G27</f>
        <v>1.208</v>
      </c>
      <c r="G27" s="635"/>
      <c r="H27" s="80">
        <f t="shared" si="2"/>
        <v>48.476999999999997</v>
      </c>
      <c r="I27" s="101">
        <f t="shared" si="3"/>
        <v>260171.51</v>
      </c>
      <c r="N27" s="573" t="s">
        <v>86</v>
      </c>
      <c r="O27" s="573"/>
      <c r="P27" s="614">
        <f t="shared" si="0"/>
        <v>0</v>
      </c>
      <c r="Q27" s="614"/>
      <c r="R27" s="619">
        <v>1</v>
      </c>
      <c r="S27" s="619"/>
      <c r="T27" s="95">
        <f t="shared" si="4"/>
        <v>0</v>
      </c>
      <c r="U27" s="474">
        <f t="shared" si="5"/>
        <v>0</v>
      </c>
    </row>
    <row r="28" spans="1:21" x14ac:dyDescent="0.25">
      <c r="A28" s="550" t="s">
        <v>87</v>
      </c>
      <c r="B28" s="550"/>
      <c r="C28" s="143">
        <v>4.5</v>
      </c>
      <c r="D28" s="143">
        <v>4.6100000000000003</v>
      </c>
      <c r="E28" s="116">
        <f t="shared" si="1"/>
        <v>9.11</v>
      </c>
      <c r="F28" s="635">
        <f>'1461'!F28:G28</f>
        <v>1.208</v>
      </c>
      <c r="G28" s="635"/>
      <c r="H28" s="80">
        <f t="shared" si="2"/>
        <v>11.004899999999999</v>
      </c>
      <c r="I28" s="101">
        <f t="shared" si="3"/>
        <v>59062.26</v>
      </c>
      <c r="N28" s="573" t="s">
        <v>87</v>
      </c>
      <c r="O28" s="573"/>
      <c r="P28" s="614">
        <f t="shared" si="0"/>
        <v>0</v>
      </c>
      <c r="Q28" s="614"/>
      <c r="R28" s="619">
        <v>1</v>
      </c>
      <c r="S28" s="619"/>
      <c r="T28" s="95">
        <f t="shared" si="4"/>
        <v>0</v>
      </c>
      <c r="U28" s="474">
        <f t="shared" si="5"/>
        <v>0</v>
      </c>
    </row>
    <row r="29" spans="1:21" x14ac:dyDescent="0.25">
      <c r="A29" s="550" t="s">
        <v>88</v>
      </c>
      <c r="B29" s="550"/>
      <c r="C29" s="110">
        <v>0.99</v>
      </c>
      <c r="D29" s="110">
        <v>0.93</v>
      </c>
      <c r="E29" s="154">
        <f t="shared" si="1"/>
        <v>1.92</v>
      </c>
      <c r="F29" s="635">
        <f>'1461'!F29:G29</f>
        <v>1.0720000000000001</v>
      </c>
      <c r="G29" s="635"/>
      <c r="H29" s="93">
        <f t="shared" si="2"/>
        <v>2.0581999999999998</v>
      </c>
      <c r="I29" s="94">
        <f t="shared" si="3"/>
        <v>11046.17</v>
      </c>
      <c r="N29" s="588" t="s">
        <v>88</v>
      </c>
      <c r="O29" s="588"/>
      <c r="P29" s="614">
        <f t="shared" si="0"/>
        <v>0</v>
      </c>
      <c r="Q29" s="614"/>
      <c r="R29" s="615">
        <v>1</v>
      </c>
      <c r="S29" s="615"/>
      <c r="T29" s="95">
        <f t="shared" si="4"/>
        <v>0</v>
      </c>
      <c r="U29" s="474">
        <f t="shared" si="5"/>
        <v>0</v>
      </c>
    </row>
    <row r="30" spans="1:21" x14ac:dyDescent="0.25">
      <c r="A30" s="562" t="s">
        <v>5</v>
      </c>
      <c r="B30" s="562"/>
      <c r="C30" s="94">
        <f>SUM(C14:C29)</f>
        <v>233.03</v>
      </c>
      <c r="D30" s="94">
        <f>SUM(D14:D29)</f>
        <v>230.64000000000001</v>
      </c>
      <c r="E30" s="94">
        <f>SUM(E14:E29)</f>
        <v>463.67000000000007</v>
      </c>
      <c r="F30" s="554"/>
      <c r="G30" s="554"/>
      <c r="H30" s="99">
        <f>SUM(H14:H29)</f>
        <v>472.3623</v>
      </c>
      <c r="I30" s="94">
        <f>SUM(I14:I29)</f>
        <v>2535124.0999999996</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472.3623</v>
      </c>
      <c r="F46" s="34"/>
      <c r="G46" s="106"/>
      <c r="H46" s="107" t="s">
        <v>98</v>
      </c>
      <c r="I46" s="94">
        <f>SUM(I44,I30)</f>
        <v>2535124.0999999996</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2535124.0999999996</v>
      </c>
      <c r="G51" s="109" t="s">
        <v>6</v>
      </c>
      <c r="H51" s="402">
        <v>4.5199999999999997E-2</v>
      </c>
      <c r="I51" s="101">
        <f>ROUND(F51*H51,2)</f>
        <v>114587.61</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2535124.0999999996</v>
      </c>
      <c r="G52" s="109" t="s">
        <v>6</v>
      </c>
      <c r="H52" s="402">
        <v>1.41E-2</v>
      </c>
      <c r="I52" s="101">
        <f>ROUND(F52*H52,2)</f>
        <v>35745.25</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150332.85999999999</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0</v>
      </c>
      <c r="D57" s="143">
        <v>0</v>
      </c>
      <c r="E57" s="116">
        <f t="shared" ref="E57:E65" si="10">IF(D$66=0,C57*2,C57+D57)</f>
        <v>0</v>
      </c>
      <c r="F57" s="444" t="s">
        <v>434</v>
      </c>
      <c r="G57" s="444">
        <v>251</v>
      </c>
      <c r="H57" s="458">
        <f>'1461'!H57</f>
        <v>1047</v>
      </c>
      <c r="I57" s="101">
        <f>ROUND(E57*H57,2)</f>
        <v>0</v>
      </c>
      <c r="N57" s="590" t="s">
        <v>442</v>
      </c>
      <c r="O57" s="590"/>
      <c r="P57" s="593"/>
      <c r="Q57" s="593"/>
      <c r="R57" s="450" t="s">
        <v>434</v>
      </c>
      <c r="S57" s="450">
        <v>251</v>
      </c>
      <c r="T57" s="461">
        <f>H57</f>
        <v>1047</v>
      </c>
      <c r="U57" s="475">
        <f>ROUND(P57*T57,2)</f>
        <v>0</v>
      </c>
      <c r="V57" s="425"/>
    </row>
    <row r="58" spans="1:22" x14ac:dyDescent="0.25">
      <c r="A58" s="561"/>
      <c r="B58" s="561"/>
      <c r="C58" s="143">
        <v>0</v>
      </c>
      <c r="D58" s="143">
        <v>0</v>
      </c>
      <c r="E58" s="116">
        <f t="shared" si="10"/>
        <v>0</v>
      </c>
      <c r="F58" s="444" t="s">
        <v>434</v>
      </c>
      <c r="G58" s="444">
        <v>252</v>
      </c>
      <c r="H58" s="458">
        <f>'1461'!H58</f>
        <v>3380</v>
      </c>
      <c r="I58" s="101">
        <f t="shared" ref="I58:I65" si="11">ROUND(E58*H58,2)</f>
        <v>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21.5</v>
      </c>
      <c r="D60" s="143">
        <v>22.88</v>
      </c>
      <c r="E60" s="116">
        <f t="shared" si="10"/>
        <v>44.379999999999995</v>
      </c>
      <c r="F60" s="445" t="s">
        <v>13</v>
      </c>
      <c r="G60" s="444">
        <v>251</v>
      </c>
      <c r="H60" s="458">
        <f>'1461'!H60</f>
        <v>1173</v>
      </c>
      <c r="I60" s="101">
        <f t="shared" si="11"/>
        <v>52057.74</v>
      </c>
      <c r="N60" s="591"/>
      <c r="O60" s="591"/>
      <c r="P60" s="594"/>
      <c r="Q60" s="594"/>
      <c r="R60" s="40" t="s">
        <v>13</v>
      </c>
      <c r="S60" s="450">
        <v>251</v>
      </c>
      <c r="T60" s="461">
        <f t="shared" si="12"/>
        <v>1173</v>
      </c>
      <c r="U60" s="475">
        <f t="shared" si="13"/>
        <v>0</v>
      </c>
      <c r="V60" s="425"/>
    </row>
    <row r="61" spans="1:22" x14ac:dyDescent="0.25">
      <c r="A61" s="561"/>
      <c r="B61" s="561"/>
      <c r="C61" s="143">
        <v>1.5</v>
      </c>
      <c r="D61" s="143">
        <v>1.6</v>
      </c>
      <c r="E61" s="116">
        <f t="shared" si="10"/>
        <v>3.1</v>
      </c>
      <c r="F61" s="445" t="s">
        <v>13</v>
      </c>
      <c r="G61" s="444">
        <v>252</v>
      </c>
      <c r="H61" s="458">
        <f>'1461'!H61</f>
        <v>3506</v>
      </c>
      <c r="I61" s="101">
        <f t="shared" si="11"/>
        <v>10868.6</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10.27</v>
      </c>
      <c r="D63" s="143">
        <v>9.92</v>
      </c>
      <c r="E63" s="116">
        <f t="shared" si="10"/>
        <v>20.189999999999998</v>
      </c>
      <c r="F63" s="445" t="s">
        <v>14</v>
      </c>
      <c r="G63" s="444">
        <v>251</v>
      </c>
      <c r="H63" s="458">
        <f>'1461'!H63</f>
        <v>835</v>
      </c>
      <c r="I63" s="101">
        <f t="shared" si="11"/>
        <v>16858.650000000001</v>
      </c>
      <c r="N63" s="591"/>
      <c r="O63" s="591"/>
      <c r="P63" s="594"/>
      <c r="Q63" s="594"/>
      <c r="R63" s="40" t="s">
        <v>14</v>
      </c>
      <c r="S63" s="450">
        <v>251</v>
      </c>
      <c r="T63" s="461">
        <f t="shared" si="12"/>
        <v>835</v>
      </c>
      <c r="U63" s="475">
        <f t="shared" si="13"/>
        <v>0</v>
      </c>
      <c r="V63" s="425"/>
    </row>
    <row r="64" spans="1:22" x14ac:dyDescent="0.25">
      <c r="A64" s="561"/>
      <c r="B64" s="561"/>
      <c r="C64" s="143">
        <v>1.01</v>
      </c>
      <c r="D64" s="143">
        <v>0.98</v>
      </c>
      <c r="E64" s="116">
        <f t="shared" si="10"/>
        <v>1.99</v>
      </c>
      <c r="F64" s="445" t="s">
        <v>14</v>
      </c>
      <c r="G64" s="444">
        <v>252</v>
      </c>
      <c r="H64" s="458">
        <f>'1461'!H64</f>
        <v>3168</v>
      </c>
      <c r="I64" s="101">
        <f t="shared" si="11"/>
        <v>6304.32</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34.279999999999994</v>
      </c>
      <c r="D66" s="97">
        <f>SUM(D57:D65)</f>
        <v>35.379999999999995</v>
      </c>
      <c r="E66" s="97">
        <f>SUM(E57:E65)</f>
        <v>69.659999999999982</v>
      </c>
      <c r="F66" s="562" t="s">
        <v>443</v>
      </c>
      <c r="G66" s="562"/>
      <c r="H66" s="562"/>
      <c r="I66" s="97">
        <f>SUM(I57:I65)</f>
        <v>86089.31</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463.67000000000007</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2.2980000000000001E-3</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472.3623</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2.0799999999999998E-3</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463.67000000000007</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2.4870000000000001E-3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463.67000000000007</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2.3019999999999998E-3</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463.67000000000007</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2.4919999999999999E-3</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2.3019999999999998E-3</v>
      </c>
      <c r="I85" s="101">
        <f>ROUND(F85*H85,2)</f>
        <v>101999.98</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2.2980000000000001E-3</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2.4919999999999999E-3</v>
      </c>
      <c r="I90" s="101">
        <f>ROUND(F90*H90,2)</f>
        <v>40558.99</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2.4870000000000001E-3</v>
      </c>
      <c r="I92" s="101">
        <f t="shared" ref="I92:I96" si="14">ROUND(F92*H92,2)</f>
        <v>25188.43</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2.0799999999999998E-3</v>
      </c>
      <c r="I94" s="101">
        <f t="shared" si="14"/>
        <v>497115.16</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2.0799999999999998E-3</v>
      </c>
      <c r="I96" s="101">
        <f t="shared" si="14"/>
        <v>0</v>
      </c>
      <c r="N96" s="572" t="s">
        <v>418</v>
      </c>
      <c r="O96" s="573"/>
      <c r="P96" s="573"/>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475</v>
      </c>
      <c r="B98" s="512"/>
      <c r="C98" s="512"/>
      <c r="D98" s="512"/>
      <c r="E98" s="510" t="s">
        <v>3</v>
      </c>
      <c r="F98" s="291">
        <v>0</v>
      </c>
      <c r="G98" s="511" t="s">
        <v>6</v>
      </c>
      <c r="H98" s="423">
        <f>H70</f>
        <v>2.2980000000000001E-3</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0</v>
      </c>
      <c r="D104" s="568"/>
      <c r="E104" s="46">
        <f>H8</f>
        <v>1.0442</v>
      </c>
      <c r="F104" s="304">
        <f>'1461'!F104</f>
        <v>947.59</v>
      </c>
      <c r="G104" s="39" t="s">
        <v>12</v>
      </c>
      <c r="H104" s="101">
        <f>ROUND(C104*E104*F104,2)</f>
        <v>0</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320.33699999999999</v>
      </c>
      <c r="D105" s="568"/>
      <c r="E105" s="46">
        <f>H8</f>
        <v>1.0442</v>
      </c>
      <c r="F105" s="304">
        <f>'1461'!F105</f>
        <v>904.74</v>
      </c>
      <c r="G105" s="39" t="s">
        <v>12</v>
      </c>
      <c r="H105" s="101">
        <f>ROUND(C105*E105*F105,2)</f>
        <v>302631.82</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152.02529999999999</v>
      </c>
      <c r="D106" s="568"/>
      <c r="E106" s="46">
        <f>H8</f>
        <v>1.0442</v>
      </c>
      <c r="F106" s="304">
        <f>'1461'!F106</f>
        <v>906.93</v>
      </c>
      <c r="G106" s="39" t="s">
        <v>12</v>
      </c>
      <c r="H106" s="94">
        <f>ROUND(C106*E106*F106,2)</f>
        <v>143970.44</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472.3623</v>
      </c>
      <c r="D107" s="558"/>
      <c r="E107" s="123"/>
      <c r="F107" s="123"/>
      <c r="G107" s="123"/>
      <c r="H107" s="124" t="s">
        <v>100</v>
      </c>
      <c r="I107" s="101">
        <f>IF(A1=75,0,H106+H105+H104)</f>
        <v>446602.26</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258</v>
      </c>
      <c r="D113" s="143">
        <v>0</v>
      </c>
      <c r="E113" s="116">
        <f>C113</f>
        <v>258</v>
      </c>
      <c r="F113" s="126" t="s">
        <v>30</v>
      </c>
      <c r="G113" s="305">
        <f>'1461'!G113</f>
        <v>548</v>
      </c>
      <c r="I113" s="101">
        <f>ROUND(G113*E113,2)</f>
        <v>141384</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16">
        <f>(C114+D114)/2</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3874062.2300000004</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3723729.3700000006</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3723729.3700000006</v>
      </c>
      <c r="I135" s="94">
        <f>ROUND(IF(E30=0,0,IF(E30&gt;250,-(((250/E30)*H135)*IF(G135="H",0.02,0.05)),IF(G135="H",-0.02*H135,-0.05*H135))),2)</f>
        <v>-100387.38</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3773674.8500000006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-703501.36-342179.84-342179.84-342179.85-342179.84-287761.53-285613.35-285747.49</f>
        <v>-2931343.1000000006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842331.75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280777.25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85799.09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v>637300</v>
      </c>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tabColor rgb="FFFFCCCC"/>
  </sheetPr>
  <dimension ref="A1:V221"/>
  <sheetViews>
    <sheetView topLeftCell="A108" workbookViewId="0">
      <selection activeCell="D63" sqref="D6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127</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63.15</v>
      </c>
      <c r="D14" s="141">
        <v>60.9</v>
      </c>
      <c r="E14" s="187">
        <f>IF(D$30=0,C14*2,C14+D14)</f>
        <v>124.05</v>
      </c>
      <c r="F14" s="639">
        <f>'1461'!F14:G14</f>
        <v>1.1220000000000001</v>
      </c>
      <c r="G14" s="639"/>
      <c r="H14" s="145">
        <f>ROUND(E14*F14,4)</f>
        <v>139.1841</v>
      </c>
      <c r="I14" s="111">
        <f>ROUND(ROUND(ROUND(H14*$C$8,4)*($H$8),2)*(MAX($H$9,1)),2)</f>
        <v>746987.99</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15</v>
      </c>
      <c r="D15" s="143">
        <v>14.48</v>
      </c>
      <c r="E15" s="116">
        <f t="shared" ref="E15:E29" si="1">IF(D$30=0,C15*2,C15+D15)</f>
        <v>29.48</v>
      </c>
      <c r="F15" s="635">
        <f>'1461'!F15:G15</f>
        <v>1.1220000000000001</v>
      </c>
      <c r="G15" s="635"/>
      <c r="H15" s="80">
        <f t="shared" ref="H15:H29" si="2">ROUND(E15*F15,4)</f>
        <v>33.076599999999999</v>
      </c>
      <c r="I15" s="101">
        <f t="shared" ref="I15:I29" si="3">ROUND(ROUND(ROUND(H15*$C$8,4)*($H$8),2)*(MAX($H$9,1)),2)</f>
        <v>177519.01</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26.93</v>
      </c>
      <c r="D16" s="143">
        <v>26.04</v>
      </c>
      <c r="E16" s="116">
        <f t="shared" si="1"/>
        <v>52.97</v>
      </c>
      <c r="F16" s="635">
        <f>'1461'!F16:G16</f>
        <v>1</v>
      </c>
      <c r="G16" s="635"/>
      <c r="H16" s="80">
        <f t="shared" si="2"/>
        <v>52.97</v>
      </c>
      <c r="I16" s="101">
        <f t="shared" si="3"/>
        <v>284285.01</v>
      </c>
      <c r="N16" s="573" t="s">
        <v>22</v>
      </c>
      <c r="O16" s="573"/>
      <c r="P16" s="614">
        <f t="shared" si="0"/>
        <v>0</v>
      </c>
      <c r="Q16" s="614"/>
      <c r="R16" s="619">
        <v>1</v>
      </c>
      <c r="S16" s="619"/>
      <c r="T16" s="95">
        <f t="shared" si="4"/>
        <v>0</v>
      </c>
      <c r="U16" s="474">
        <f t="shared" si="5"/>
        <v>0</v>
      </c>
    </row>
    <row r="17" spans="1:21" x14ac:dyDescent="0.25">
      <c r="A17" s="550" t="s">
        <v>23</v>
      </c>
      <c r="B17" s="550"/>
      <c r="C17" s="143">
        <v>9</v>
      </c>
      <c r="D17" s="143">
        <v>8.5</v>
      </c>
      <c r="E17" s="116">
        <f t="shared" si="1"/>
        <v>17.5</v>
      </c>
      <c r="F17" s="635">
        <f>'1461'!F17:G17</f>
        <v>1</v>
      </c>
      <c r="G17" s="635"/>
      <c r="H17" s="80">
        <f t="shared" si="2"/>
        <v>17.5</v>
      </c>
      <c r="I17" s="101">
        <f t="shared" si="3"/>
        <v>93920.86</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0</v>
      </c>
      <c r="D18" s="143">
        <v>0</v>
      </c>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0</v>
      </c>
      <c r="D19" s="143">
        <v>0</v>
      </c>
      <c r="E19" s="116">
        <f t="shared" si="1"/>
        <v>0</v>
      </c>
      <c r="F19" s="635">
        <f>'1461'!F19:G19</f>
        <v>0.98799999999999999</v>
      </c>
      <c r="G19" s="635"/>
      <c r="H19" s="80">
        <f t="shared" si="2"/>
        <v>0</v>
      </c>
      <c r="I19" s="101">
        <f t="shared" si="3"/>
        <v>0</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10.35</v>
      </c>
      <c r="D26" s="143">
        <v>9.6</v>
      </c>
      <c r="E26" s="116">
        <f t="shared" si="1"/>
        <v>19.95</v>
      </c>
      <c r="F26" s="635">
        <f>'1461'!F26:G26</f>
        <v>1.208</v>
      </c>
      <c r="G26" s="635"/>
      <c r="H26" s="80">
        <f t="shared" si="2"/>
        <v>24.099599999999999</v>
      </c>
      <c r="I26" s="101">
        <f t="shared" si="3"/>
        <v>129340.29</v>
      </c>
      <c r="N26" s="573" t="s">
        <v>85</v>
      </c>
      <c r="O26" s="573"/>
      <c r="P26" s="614">
        <f t="shared" si="0"/>
        <v>0</v>
      </c>
      <c r="Q26" s="614"/>
      <c r="R26" s="619">
        <v>1</v>
      </c>
      <c r="S26" s="619"/>
      <c r="T26" s="95">
        <f t="shared" si="4"/>
        <v>0</v>
      </c>
      <c r="U26" s="474">
        <f t="shared" si="5"/>
        <v>0</v>
      </c>
    </row>
    <row r="27" spans="1:21" x14ac:dyDescent="0.25">
      <c r="A27" s="550" t="s">
        <v>86</v>
      </c>
      <c r="B27" s="550"/>
      <c r="C27" s="143">
        <v>3.07</v>
      </c>
      <c r="D27" s="143">
        <v>3.46</v>
      </c>
      <c r="E27" s="116">
        <f t="shared" si="1"/>
        <v>6.5299999999999994</v>
      </c>
      <c r="F27" s="635">
        <f>'1461'!F27:G27</f>
        <v>1.208</v>
      </c>
      <c r="G27" s="635"/>
      <c r="H27" s="80">
        <f t="shared" si="2"/>
        <v>7.8882000000000003</v>
      </c>
      <c r="I27" s="101">
        <f t="shared" si="3"/>
        <v>42335.23</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127.5</v>
      </c>
      <c r="D30" s="94">
        <f>SUM(D14:D29)</f>
        <v>122.97999999999998</v>
      </c>
      <c r="E30" s="94">
        <f>SUM(E14:E29)</f>
        <v>250.48</v>
      </c>
      <c r="F30" s="554"/>
      <c r="G30" s="554"/>
      <c r="H30" s="99">
        <f>SUM(H14:H29)</f>
        <v>274.71849999999995</v>
      </c>
      <c r="I30" s="94">
        <f>SUM(I14:I29)</f>
        <v>1474388.3900000001</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274.71849999999995</v>
      </c>
      <c r="F46" s="34"/>
      <c r="G46" s="106"/>
      <c r="H46" s="107" t="s">
        <v>98</v>
      </c>
      <c r="I46" s="94">
        <f>SUM(I44,I30)</f>
        <v>1474388.3900000001</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1474388.3900000001</v>
      </c>
      <c r="G51" s="109" t="s">
        <v>6</v>
      </c>
      <c r="H51" s="402">
        <v>4.5199999999999997E-2</v>
      </c>
      <c r="I51" s="101">
        <f>ROUND(F51*H51,2)</f>
        <v>66642.36</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1474388.3900000001</v>
      </c>
      <c r="G52" s="109" t="s">
        <v>6</v>
      </c>
      <c r="H52" s="402">
        <v>1.41E-2</v>
      </c>
      <c r="I52" s="101">
        <f>ROUND(F52*H52,2)</f>
        <v>20788.88</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87431.24</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11.5</v>
      </c>
      <c r="D57" s="143">
        <v>11.1</v>
      </c>
      <c r="E57" s="116">
        <f t="shared" ref="E57:E65" si="10">IF(D$66=0,C57*2,C57+D57)</f>
        <v>22.6</v>
      </c>
      <c r="F57" s="444" t="s">
        <v>434</v>
      </c>
      <c r="G57" s="444">
        <v>251</v>
      </c>
      <c r="H57" s="458">
        <f>'1461'!H57</f>
        <v>1047</v>
      </c>
      <c r="I57" s="101">
        <f>ROUND(E57*H57,2)</f>
        <v>23662.2</v>
      </c>
      <c r="N57" s="590" t="s">
        <v>442</v>
      </c>
      <c r="O57" s="590"/>
      <c r="P57" s="593"/>
      <c r="Q57" s="593"/>
      <c r="R57" s="450" t="s">
        <v>434</v>
      </c>
      <c r="S57" s="450">
        <v>251</v>
      </c>
      <c r="T57" s="461">
        <f>H57</f>
        <v>1047</v>
      </c>
      <c r="U57" s="475">
        <f>ROUND(P57*T57,2)</f>
        <v>0</v>
      </c>
      <c r="V57" s="425"/>
    </row>
    <row r="58" spans="1:22" x14ac:dyDescent="0.25">
      <c r="A58" s="561"/>
      <c r="B58" s="561"/>
      <c r="C58" s="143">
        <v>3.5</v>
      </c>
      <c r="D58" s="143">
        <v>3.38</v>
      </c>
      <c r="E58" s="116">
        <f t="shared" si="10"/>
        <v>6.88</v>
      </c>
      <c r="F58" s="444" t="s">
        <v>434</v>
      </c>
      <c r="G58" s="444">
        <v>252</v>
      </c>
      <c r="H58" s="458">
        <f>'1461'!H58</f>
        <v>3380</v>
      </c>
      <c r="I58" s="101">
        <f t="shared" ref="I58:I65" si="11">ROUND(E58*H58,2)</f>
        <v>23254.400000000001</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7.5</v>
      </c>
      <c r="D60" s="143">
        <v>7.08</v>
      </c>
      <c r="E60" s="116">
        <f t="shared" si="10"/>
        <v>14.58</v>
      </c>
      <c r="F60" s="445" t="s">
        <v>13</v>
      </c>
      <c r="G60" s="444">
        <v>251</v>
      </c>
      <c r="H60" s="458">
        <f>'1461'!H60</f>
        <v>1173</v>
      </c>
      <c r="I60" s="101">
        <f t="shared" si="11"/>
        <v>17102.34</v>
      </c>
      <c r="N60" s="591"/>
      <c r="O60" s="591"/>
      <c r="P60" s="594"/>
      <c r="Q60" s="594"/>
      <c r="R60" s="40" t="s">
        <v>13</v>
      </c>
      <c r="S60" s="450">
        <v>251</v>
      </c>
      <c r="T60" s="461">
        <f t="shared" si="12"/>
        <v>1173</v>
      </c>
      <c r="U60" s="475">
        <f t="shared" si="13"/>
        <v>0</v>
      </c>
      <c r="V60" s="425"/>
    </row>
    <row r="61" spans="1:22" x14ac:dyDescent="0.25">
      <c r="A61" s="561"/>
      <c r="B61" s="561"/>
      <c r="C61" s="143">
        <v>1.5</v>
      </c>
      <c r="D61" s="143">
        <v>1.42</v>
      </c>
      <c r="E61" s="116">
        <f t="shared" si="10"/>
        <v>2.92</v>
      </c>
      <c r="F61" s="445" t="s">
        <v>13</v>
      </c>
      <c r="G61" s="444">
        <v>252</v>
      </c>
      <c r="H61" s="458">
        <f>'1461'!H61</f>
        <v>3506</v>
      </c>
      <c r="I61" s="101">
        <f t="shared" si="11"/>
        <v>10237.52</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0</v>
      </c>
      <c r="D63" s="143">
        <v>0</v>
      </c>
      <c r="E63" s="116">
        <f t="shared" si="10"/>
        <v>0</v>
      </c>
      <c r="F63" s="445" t="s">
        <v>14</v>
      </c>
      <c r="G63" s="444">
        <v>251</v>
      </c>
      <c r="H63" s="458">
        <f>'1461'!H63</f>
        <v>835</v>
      </c>
      <c r="I63" s="101">
        <f t="shared" si="11"/>
        <v>0</v>
      </c>
      <c r="N63" s="591"/>
      <c r="O63" s="591"/>
      <c r="P63" s="594"/>
      <c r="Q63" s="594"/>
      <c r="R63" s="40" t="s">
        <v>14</v>
      </c>
      <c r="S63" s="450">
        <v>251</v>
      </c>
      <c r="T63" s="461">
        <f t="shared" si="12"/>
        <v>835</v>
      </c>
      <c r="U63" s="475">
        <f t="shared" si="13"/>
        <v>0</v>
      </c>
      <c r="V63" s="425"/>
    </row>
    <row r="64" spans="1:22" x14ac:dyDescent="0.25">
      <c r="A64" s="561"/>
      <c r="B64" s="561"/>
      <c r="C64" s="143">
        <v>0</v>
      </c>
      <c r="D64" s="143">
        <v>0</v>
      </c>
      <c r="E64" s="116">
        <f t="shared" si="10"/>
        <v>0</v>
      </c>
      <c r="F64" s="445" t="s">
        <v>14</v>
      </c>
      <c r="G64" s="444">
        <v>252</v>
      </c>
      <c r="H64" s="458">
        <f>'1461'!H64</f>
        <v>3168</v>
      </c>
      <c r="I64" s="101">
        <f t="shared" si="11"/>
        <v>0</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24</v>
      </c>
      <c r="D66" s="97">
        <f>SUM(D57:D65)</f>
        <v>22.980000000000004</v>
      </c>
      <c r="E66" s="97">
        <f>SUM(E57:E65)</f>
        <v>46.980000000000004</v>
      </c>
      <c r="F66" s="562" t="s">
        <v>443</v>
      </c>
      <c r="G66" s="562"/>
      <c r="H66" s="562"/>
      <c r="I66" s="97">
        <f>SUM(I57:I65)</f>
        <v>74256.460000000006</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250.48</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1.2409999999999999E-3</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274.71849999999995</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1.2099999999999999E-3</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250.48</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1.3439999999999999E-3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250.48</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1.243E-3</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250.48</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1.346E-3</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1.243E-3</v>
      </c>
      <c r="I85" s="101">
        <f>ROUND(F85*H85,2)</f>
        <v>55076.44</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1.2409999999999999E-3</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1.346E-3</v>
      </c>
      <c r="I90" s="101">
        <f>ROUND(F90*H90,2)</f>
        <v>21907.07</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1.3439999999999999E-3</v>
      </c>
      <c r="I92" s="101">
        <f t="shared" ref="I92:I96" si="14">ROUND(F92*H92,2)</f>
        <v>13612.08</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1.2099999999999999E-3</v>
      </c>
      <c r="I94" s="101">
        <f t="shared" si="14"/>
        <v>289187.19</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1.2099999999999999E-3</v>
      </c>
      <c r="I96" s="101">
        <f t="shared" si="14"/>
        <v>0</v>
      </c>
      <c r="N96" s="572" t="s">
        <v>418</v>
      </c>
      <c r="O96" s="573"/>
      <c r="P96" s="573"/>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475</v>
      </c>
      <c r="B98" s="512"/>
      <c r="C98" s="512"/>
      <c r="D98" s="512"/>
      <c r="E98" s="510" t="s">
        <v>3</v>
      </c>
      <c r="F98" s="291">
        <v>0</v>
      </c>
      <c r="G98" s="511" t="s">
        <v>6</v>
      </c>
      <c r="H98" s="423">
        <f>H70</f>
        <v>1.2409999999999999E-3</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196.3603</v>
      </c>
      <c r="D104" s="568"/>
      <c r="E104" s="46">
        <f>H8</f>
        <v>1.0442</v>
      </c>
      <c r="F104" s="304">
        <f>'1461'!F104</f>
        <v>947.59</v>
      </c>
      <c r="G104" s="39" t="s">
        <v>12</v>
      </c>
      <c r="H104" s="101">
        <f>ROUND(C104*E104*F104,2)</f>
        <v>194293.31</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78.358199999999997</v>
      </c>
      <c r="D105" s="568"/>
      <c r="E105" s="46">
        <f>H8</f>
        <v>1.0442</v>
      </c>
      <c r="F105" s="304">
        <f>'1461'!F105</f>
        <v>904.74</v>
      </c>
      <c r="G105" s="39" t="s">
        <v>12</v>
      </c>
      <c r="H105" s="101">
        <f>ROUND(C105*E105*F105,2)</f>
        <v>74027.3</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0</v>
      </c>
      <c r="D106" s="568"/>
      <c r="E106" s="46">
        <f>H8</f>
        <v>1.0442</v>
      </c>
      <c r="F106" s="304">
        <f>'1461'!F106</f>
        <v>906.93</v>
      </c>
      <c r="G106" s="39" t="s">
        <v>12</v>
      </c>
      <c r="H106" s="94">
        <f>ROUND(C106*E106*F106,2)</f>
        <v>0</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274.71850000000001</v>
      </c>
      <c r="D107" s="558"/>
      <c r="E107" s="123"/>
      <c r="F107" s="123"/>
      <c r="G107" s="123"/>
      <c r="H107" s="124" t="s">
        <v>100</v>
      </c>
      <c r="I107" s="101">
        <f>IF(A1=75,0,H106+H105+H104)</f>
        <v>268320.61</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2</v>
      </c>
      <c r="D113" s="143">
        <v>0</v>
      </c>
      <c r="E113" s="116">
        <f>C113</f>
        <v>2</v>
      </c>
      <c r="F113" s="126" t="s">
        <v>30</v>
      </c>
      <c r="G113" s="305">
        <f>'1461'!G113</f>
        <v>548</v>
      </c>
      <c r="I113" s="101">
        <f>ROUND(G113*E113,2)</f>
        <v>1096</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16">
        <f>(C114+D114)/2</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2197844.2400000002</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2110413</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379" t="s">
        <v>240</v>
      </c>
      <c r="H135" s="139">
        <f>IF(H133=1,I133,I130)</f>
        <v>2110413</v>
      </c>
      <c r="I135" s="94">
        <f>ROUND(IF(E30=0,0,IF(E30&gt;250,-(((250/E30)*H135)*IF(G135="H",0.02,0.05)),IF(G135="H",-0.02*H135,-0.05*H135))),2)</f>
        <v>-42127.38</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2155716.8600000003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-356209.83-173388.33-173388.32-173388.33-173388.32-189696.15-190623.27-191304.66</f>
        <v>-1621387.2099999997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534329.65000000061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178109.88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80.88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tabColor rgb="FFFFCCCC"/>
  </sheetPr>
  <dimension ref="A1:V221"/>
  <sheetViews>
    <sheetView topLeftCell="A100" workbookViewId="0">
      <selection activeCell="A28" sqref="A28:B28"/>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128</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54.37</v>
      </c>
      <c r="D14" s="141">
        <v>52.92</v>
      </c>
      <c r="E14" s="187">
        <f>IF(D$30=0,C14*2,C14+D14)</f>
        <v>107.28999999999999</v>
      </c>
      <c r="F14" s="639">
        <f>'1461'!F14:G14</f>
        <v>1.1220000000000001</v>
      </c>
      <c r="G14" s="639"/>
      <c r="H14" s="145">
        <f>ROUND(E14*F14,4)</f>
        <v>120.3794</v>
      </c>
      <c r="I14" s="111">
        <f>ROUND(ROUND(ROUND(H14*$C$8,4)*($H$8),2)*(MAX($H$9,1)),2)</f>
        <v>646064.93000000005</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5.5</v>
      </c>
      <c r="D15" s="143">
        <v>6.5</v>
      </c>
      <c r="E15" s="116">
        <f t="shared" ref="E15:E29" si="1">IF(D$30=0,C15*2,C15+D15)</f>
        <v>12</v>
      </c>
      <c r="F15" s="635">
        <f>'1461'!F15:G15</f>
        <v>1.1220000000000001</v>
      </c>
      <c r="G15" s="635"/>
      <c r="H15" s="80">
        <f t="shared" ref="H15:H29" si="2">ROUND(E15*F15,4)</f>
        <v>13.464</v>
      </c>
      <c r="I15" s="101">
        <f t="shared" ref="I15:I29" si="3">ROUND(ROUND(ROUND(H15*$C$8,4)*($H$8),2)*(MAX($H$9,1)),2)</f>
        <v>72260.02</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84.26</v>
      </c>
      <c r="D16" s="143">
        <v>84.89</v>
      </c>
      <c r="E16" s="116">
        <f t="shared" si="1"/>
        <v>169.15</v>
      </c>
      <c r="F16" s="635">
        <f>'1461'!F16:G16</f>
        <v>1</v>
      </c>
      <c r="G16" s="635"/>
      <c r="H16" s="80">
        <f t="shared" si="2"/>
        <v>169.15</v>
      </c>
      <c r="I16" s="101">
        <f t="shared" si="3"/>
        <v>907812.16</v>
      </c>
      <c r="N16" s="573" t="s">
        <v>22</v>
      </c>
      <c r="O16" s="573"/>
      <c r="P16" s="614">
        <f t="shared" si="0"/>
        <v>0</v>
      </c>
      <c r="Q16" s="614"/>
      <c r="R16" s="619">
        <v>1</v>
      </c>
      <c r="S16" s="619"/>
      <c r="T16" s="95">
        <f t="shared" si="4"/>
        <v>0</v>
      </c>
      <c r="U16" s="474">
        <f t="shared" si="5"/>
        <v>0</v>
      </c>
    </row>
    <row r="17" spans="1:21" x14ac:dyDescent="0.25">
      <c r="A17" s="550" t="s">
        <v>23</v>
      </c>
      <c r="B17" s="550"/>
      <c r="C17" s="143">
        <v>13</v>
      </c>
      <c r="D17" s="143">
        <v>12</v>
      </c>
      <c r="E17" s="116">
        <f t="shared" si="1"/>
        <v>25</v>
      </c>
      <c r="F17" s="635">
        <f>'1461'!F17:G17</f>
        <v>1</v>
      </c>
      <c r="G17" s="635"/>
      <c r="H17" s="80">
        <f t="shared" si="2"/>
        <v>25</v>
      </c>
      <c r="I17" s="101">
        <f t="shared" si="3"/>
        <v>134172.65</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0</v>
      </c>
      <c r="D18" s="143">
        <v>0</v>
      </c>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0</v>
      </c>
      <c r="D19" s="143">
        <v>0</v>
      </c>
      <c r="E19" s="116">
        <f t="shared" si="1"/>
        <v>0</v>
      </c>
      <c r="F19" s="635">
        <f>'1461'!F19:G19</f>
        <v>0.98799999999999999</v>
      </c>
      <c r="G19" s="635"/>
      <c r="H19" s="80">
        <f t="shared" si="2"/>
        <v>0</v>
      </c>
      <c r="I19" s="101">
        <f t="shared" si="3"/>
        <v>0</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3.13</v>
      </c>
      <c r="D26" s="143">
        <v>2.69</v>
      </c>
      <c r="E26" s="116">
        <f t="shared" si="1"/>
        <v>5.82</v>
      </c>
      <c r="F26" s="635">
        <f>'1461'!F26:G26</f>
        <v>1.208</v>
      </c>
      <c r="G26" s="635"/>
      <c r="H26" s="80">
        <f t="shared" si="2"/>
        <v>7.0305999999999997</v>
      </c>
      <c r="I26" s="101">
        <f t="shared" si="3"/>
        <v>37732.57</v>
      </c>
      <c r="N26" s="573" t="s">
        <v>85</v>
      </c>
      <c r="O26" s="573"/>
      <c r="P26" s="614">
        <f t="shared" si="0"/>
        <v>0</v>
      </c>
      <c r="Q26" s="614"/>
      <c r="R26" s="619">
        <v>1</v>
      </c>
      <c r="S26" s="619"/>
      <c r="T26" s="95">
        <f t="shared" si="4"/>
        <v>0</v>
      </c>
      <c r="U26" s="474">
        <f t="shared" si="5"/>
        <v>0</v>
      </c>
    </row>
    <row r="27" spans="1:21" x14ac:dyDescent="0.25">
      <c r="A27" s="550" t="s">
        <v>86</v>
      </c>
      <c r="B27" s="550"/>
      <c r="C27" s="143">
        <v>3.45</v>
      </c>
      <c r="D27" s="143">
        <v>3.4</v>
      </c>
      <c r="E27" s="116">
        <f t="shared" si="1"/>
        <v>6.85</v>
      </c>
      <c r="F27" s="635">
        <f>'1461'!F27:G27</f>
        <v>1.208</v>
      </c>
      <c r="G27" s="635"/>
      <c r="H27" s="80">
        <f t="shared" si="2"/>
        <v>8.2748000000000008</v>
      </c>
      <c r="I27" s="101">
        <f t="shared" si="3"/>
        <v>44410.07</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163.70999999999998</v>
      </c>
      <c r="D30" s="94">
        <f>SUM(D14:D29)</f>
        <v>162.4</v>
      </c>
      <c r="E30" s="94">
        <f>SUM(E14:E29)</f>
        <v>326.11</v>
      </c>
      <c r="F30" s="554"/>
      <c r="G30" s="554"/>
      <c r="H30" s="99">
        <f>SUM(H14:H29)</f>
        <v>343.29880000000003</v>
      </c>
      <c r="I30" s="94">
        <f>SUM(I14:I29)</f>
        <v>1842452.4000000001</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343.29880000000003</v>
      </c>
      <c r="F46" s="34"/>
      <c r="G46" s="106"/>
      <c r="H46" s="107" t="s">
        <v>98</v>
      </c>
      <c r="I46" s="94">
        <f>SUM(I44,I30)</f>
        <v>1842452.4000000001</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1842452.4000000001</v>
      </c>
      <c r="G51" s="109" t="s">
        <v>6</v>
      </c>
      <c r="H51" s="402">
        <v>4.5199999999999997E-2</v>
      </c>
      <c r="I51" s="101">
        <f>ROUND(F51*H51,2)</f>
        <v>83278.850000000006</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1842452.4000000001</v>
      </c>
      <c r="G52" s="109" t="s">
        <v>6</v>
      </c>
      <c r="H52" s="402">
        <v>1.41E-2</v>
      </c>
      <c r="I52" s="101">
        <f>ROUND(F52*H52,2)</f>
        <v>25978.58</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109257.43000000001</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5</v>
      </c>
      <c r="D57" s="143">
        <v>5.91</v>
      </c>
      <c r="E57" s="116">
        <f t="shared" ref="E57:E65" si="10">IF(D$66=0,C57*2,C57+D57)</f>
        <v>10.91</v>
      </c>
      <c r="F57" s="444" t="s">
        <v>434</v>
      </c>
      <c r="G57" s="444">
        <v>251</v>
      </c>
      <c r="H57" s="458">
        <f>'1461'!H57</f>
        <v>1047</v>
      </c>
      <c r="I57" s="101">
        <f>ROUND(E57*H57,2)</f>
        <v>11422.77</v>
      </c>
      <c r="N57" s="590" t="s">
        <v>442</v>
      </c>
      <c r="O57" s="590"/>
      <c r="P57" s="593"/>
      <c r="Q57" s="593"/>
      <c r="R57" s="450" t="s">
        <v>434</v>
      </c>
      <c r="S57" s="450">
        <v>251</v>
      </c>
      <c r="T57" s="461">
        <f>H57</f>
        <v>1047</v>
      </c>
      <c r="U57" s="475">
        <f>ROUND(P57*T57,2)</f>
        <v>0</v>
      </c>
      <c r="V57" s="425"/>
    </row>
    <row r="58" spans="1:22" x14ac:dyDescent="0.25">
      <c r="A58" s="561"/>
      <c r="B58" s="561"/>
      <c r="C58" s="143">
        <v>0.5</v>
      </c>
      <c r="D58" s="143">
        <v>0.59</v>
      </c>
      <c r="E58" s="116">
        <f t="shared" si="10"/>
        <v>1.0899999999999999</v>
      </c>
      <c r="F58" s="444" t="s">
        <v>434</v>
      </c>
      <c r="G58" s="444">
        <v>252</v>
      </c>
      <c r="H58" s="458">
        <f>'1461'!H58</f>
        <v>3380</v>
      </c>
      <c r="I58" s="101">
        <f t="shared" ref="I58:I65" si="11">ROUND(E58*H58,2)</f>
        <v>3684.2</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12</v>
      </c>
      <c r="D60" s="143">
        <v>11.08</v>
      </c>
      <c r="E60" s="116">
        <f t="shared" si="10"/>
        <v>23.08</v>
      </c>
      <c r="F60" s="445" t="s">
        <v>13</v>
      </c>
      <c r="G60" s="444">
        <v>251</v>
      </c>
      <c r="H60" s="458">
        <f>'1461'!H60</f>
        <v>1173</v>
      </c>
      <c r="I60" s="101">
        <f t="shared" si="11"/>
        <v>27072.84</v>
      </c>
      <c r="N60" s="591"/>
      <c r="O60" s="591"/>
      <c r="P60" s="594"/>
      <c r="Q60" s="594"/>
      <c r="R60" s="40" t="s">
        <v>13</v>
      </c>
      <c r="S60" s="450">
        <v>251</v>
      </c>
      <c r="T60" s="461">
        <f t="shared" si="12"/>
        <v>1173</v>
      </c>
      <c r="U60" s="475">
        <f t="shared" si="13"/>
        <v>0</v>
      </c>
      <c r="V60" s="425"/>
    </row>
    <row r="61" spans="1:22" x14ac:dyDescent="0.25">
      <c r="A61" s="561"/>
      <c r="B61" s="561"/>
      <c r="C61" s="143">
        <v>1</v>
      </c>
      <c r="D61" s="143">
        <v>0.92</v>
      </c>
      <c r="E61" s="116">
        <f t="shared" si="10"/>
        <v>1.92</v>
      </c>
      <c r="F61" s="445" t="s">
        <v>13</v>
      </c>
      <c r="G61" s="444">
        <v>252</v>
      </c>
      <c r="H61" s="458">
        <f>'1461'!H61</f>
        <v>3506</v>
      </c>
      <c r="I61" s="101">
        <f t="shared" si="11"/>
        <v>6731.52</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0</v>
      </c>
      <c r="D63" s="143">
        <v>0</v>
      </c>
      <c r="E63" s="116">
        <f t="shared" si="10"/>
        <v>0</v>
      </c>
      <c r="F63" s="445" t="s">
        <v>14</v>
      </c>
      <c r="G63" s="444">
        <v>251</v>
      </c>
      <c r="H63" s="458">
        <f>'1461'!H63</f>
        <v>835</v>
      </c>
      <c r="I63" s="101">
        <f t="shared" si="11"/>
        <v>0</v>
      </c>
      <c r="N63" s="591"/>
      <c r="O63" s="591"/>
      <c r="P63" s="594"/>
      <c r="Q63" s="594"/>
      <c r="R63" s="40" t="s">
        <v>14</v>
      </c>
      <c r="S63" s="450">
        <v>251</v>
      </c>
      <c r="T63" s="461">
        <f t="shared" si="12"/>
        <v>835</v>
      </c>
      <c r="U63" s="475">
        <f t="shared" si="13"/>
        <v>0</v>
      </c>
      <c r="V63" s="425"/>
    </row>
    <row r="64" spans="1:22" x14ac:dyDescent="0.25">
      <c r="A64" s="561"/>
      <c r="B64" s="561"/>
      <c r="C64" s="143">
        <v>0</v>
      </c>
      <c r="D64" s="143">
        <v>0</v>
      </c>
      <c r="E64" s="116">
        <f t="shared" si="10"/>
        <v>0</v>
      </c>
      <c r="F64" s="445" t="s">
        <v>14</v>
      </c>
      <c r="G64" s="444">
        <v>252</v>
      </c>
      <c r="H64" s="458">
        <f>'1461'!H64</f>
        <v>3168</v>
      </c>
      <c r="I64" s="101">
        <f t="shared" si="11"/>
        <v>0</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18.5</v>
      </c>
      <c r="D66" s="97">
        <f>SUM(D57:D65)</f>
        <v>18.5</v>
      </c>
      <c r="E66" s="97">
        <f>SUM(E57:E65)</f>
        <v>37</v>
      </c>
      <c r="F66" s="562" t="s">
        <v>443</v>
      </c>
      <c r="G66" s="562"/>
      <c r="H66" s="562"/>
      <c r="I66" s="97">
        <f>SUM(I57:I65)</f>
        <v>48911.33</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326.11</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1.616E-3</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343.29880000000003</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1.5120000000000001E-3</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326.11</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1.7489999999999999E-3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326.11</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1.619E-3</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326.11</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1.7520000000000001E-3</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1.619E-3</v>
      </c>
      <c r="I85" s="101">
        <f>ROUND(F85*H85,2)</f>
        <v>71736.740000000005</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1.616E-3</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1.7520000000000001E-3</v>
      </c>
      <c r="I90" s="101">
        <f>ROUND(F90*H90,2)</f>
        <v>28514.99</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1.7489999999999999E-3</v>
      </c>
      <c r="I92" s="101">
        <f t="shared" ref="I92:I96" si="14">ROUND(F92*H92,2)</f>
        <v>17713.939999999999</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1.5120000000000001E-3</v>
      </c>
      <c r="I94" s="101">
        <f t="shared" si="14"/>
        <v>361364.47999999998</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1.5120000000000001E-3</v>
      </c>
      <c r="I96" s="101">
        <f t="shared" si="14"/>
        <v>0</v>
      </c>
      <c r="N96" s="572" t="s">
        <v>418</v>
      </c>
      <c r="O96" s="573"/>
      <c r="P96" s="573"/>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475</v>
      </c>
      <c r="B98" s="512"/>
      <c r="C98" s="512"/>
      <c r="D98" s="512"/>
      <c r="E98" s="510" t="s">
        <v>3</v>
      </c>
      <c r="F98" s="291">
        <v>0</v>
      </c>
      <c r="G98" s="511" t="s">
        <v>6</v>
      </c>
      <c r="H98" s="423">
        <f>H70</f>
        <v>1.616E-3</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140.874</v>
      </c>
      <c r="D104" s="568"/>
      <c r="E104" s="46">
        <f>H8</f>
        <v>1.0442</v>
      </c>
      <c r="F104" s="304">
        <f>'1461'!F104</f>
        <v>947.59</v>
      </c>
      <c r="G104" s="39" t="s">
        <v>12</v>
      </c>
      <c r="H104" s="101">
        <f>ROUND(C104*E104*F104,2)</f>
        <v>139391.09</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202.4248</v>
      </c>
      <c r="D105" s="568"/>
      <c r="E105" s="46">
        <f>H8</f>
        <v>1.0442</v>
      </c>
      <c r="F105" s="304">
        <f>'1461'!F105</f>
        <v>904.74</v>
      </c>
      <c r="G105" s="39" t="s">
        <v>12</v>
      </c>
      <c r="H105" s="101">
        <f>ROUND(C105*E105*F105,2)</f>
        <v>191236.68</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0</v>
      </c>
      <c r="D106" s="568"/>
      <c r="E106" s="46">
        <f>H8</f>
        <v>1.0442</v>
      </c>
      <c r="F106" s="304">
        <f>'1461'!F106</f>
        <v>906.93</v>
      </c>
      <c r="G106" s="39" t="s">
        <v>12</v>
      </c>
      <c r="H106" s="94">
        <f>ROUND(C106*E106*F106,2)</f>
        <v>0</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343.29880000000003</v>
      </c>
      <c r="D107" s="558"/>
      <c r="E107" s="123"/>
      <c r="F107" s="123"/>
      <c r="G107" s="123"/>
      <c r="H107" s="124" t="s">
        <v>100</v>
      </c>
      <c r="I107" s="101">
        <f>IF(A1=75,0,H106+H105+H104)</f>
        <v>330627.77</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0</v>
      </c>
      <c r="D113" s="143">
        <v>0</v>
      </c>
      <c r="E113" s="116">
        <f>(C113+D113)/2</f>
        <v>0</v>
      </c>
      <c r="F113" s="126" t="s">
        <v>30</v>
      </c>
      <c r="G113" s="305">
        <f>'1461'!G113</f>
        <v>548</v>
      </c>
      <c r="I113" s="101">
        <f>ROUND(G113*E113,2)</f>
        <v>0</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16">
        <f>(C114+D114)/2</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2701321.65</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2592064.2199999997</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2592064.2199999997</v>
      </c>
      <c r="I135" s="94">
        <f>ROUND(IF(E30=0,0,IF(E30&gt;250,-(((250/E30)*H135)*IF(G135="H",0.02,0.05)),IF(G135="H",-0.02*H135,-0.05*H135))),2)</f>
        <v>-39742.18</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2661579.4699999997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-479164.24-233650.68-233650.68-233650.68-233650.68-209602.72-209188.19-210076.74</f>
        <v>-2042634.6099999996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618944.8600000001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206314.95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12099.1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M164"/>
  <sheetViews>
    <sheetView topLeftCell="A49" workbookViewId="0">
      <selection activeCell="G85" sqref="G85"/>
    </sheetView>
  </sheetViews>
  <sheetFormatPr defaultColWidth="9.140625" defaultRowHeight="15.75" x14ac:dyDescent="0.25"/>
  <cols>
    <col min="1" max="1" width="10.28515625" style="69" customWidth="1"/>
    <col min="2" max="2" width="30.28515625" style="3" bestFit="1" customWidth="1"/>
    <col min="3" max="3" width="14" style="3" customWidth="1"/>
    <col min="4" max="4" width="11.5703125" style="3" customWidth="1"/>
    <col min="5" max="5" width="14" style="3" customWidth="1"/>
    <col min="6" max="6" width="18.140625" style="3" customWidth="1"/>
    <col min="7" max="7" width="7.42578125" style="3" customWidth="1"/>
    <col min="8" max="8" width="15.7109375" style="3" customWidth="1"/>
    <col min="9" max="9" width="23.7109375" style="3" customWidth="1"/>
    <col min="10" max="10" width="9.140625" style="3"/>
    <col min="11" max="11" width="14.5703125" style="3" bestFit="1" customWidth="1"/>
    <col min="12" max="12" width="15.7109375" style="3" bestFit="1" customWidth="1"/>
    <col min="13" max="16384" width="9.140625" style="3"/>
  </cols>
  <sheetData>
    <row r="1" spans="1:9" ht="16.5" thickBot="1" x14ac:dyDescent="0.3">
      <c r="A1" s="82"/>
      <c r="B1" s="538" t="s">
        <v>15</v>
      </c>
      <c r="C1" s="539"/>
      <c r="D1" s="539"/>
      <c r="E1" s="539"/>
      <c r="F1" s="539"/>
      <c r="G1" s="539"/>
      <c r="H1" s="539"/>
      <c r="I1" s="539"/>
    </row>
    <row r="2" spans="1:9" ht="21" x14ac:dyDescent="0.35">
      <c r="A2" s="1" t="s">
        <v>254</v>
      </c>
      <c r="B2" s="2"/>
      <c r="C2" s="2"/>
      <c r="D2" s="2"/>
      <c r="E2" s="2"/>
      <c r="F2" s="2"/>
      <c r="G2" s="2"/>
      <c r="H2" s="2"/>
      <c r="I2" s="2"/>
    </row>
    <row r="3" spans="1:9" x14ac:dyDescent="0.25">
      <c r="A3" s="81" t="str">
        <f>'1461'!A3</f>
        <v>Based on the FLDOE 2023-24 FEFP Third Calculation</v>
      </c>
    </row>
    <row r="4" spans="1:9" x14ac:dyDescent="0.25">
      <c r="A4" s="540" t="s">
        <v>0</v>
      </c>
      <c r="B4" s="540"/>
      <c r="C4" s="541" t="s">
        <v>9</v>
      </c>
      <c r="D4" s="541"/>
      <c r="E4" s="541"/>
      <c r="F4" s="4" t="str">
        <f>'1461'!F4</f>
        <v>Apr 2024</v>
      </c>
      <c r="G4" s="4"/>
      <c r="H4" s="4"/>
      <c r="I4" s="4"/>
    </row>
    <row r="5" spans="1:9" ht="12" customHeight="1" thickBot="1" x14ac:dyDescent="0.3">
      <c r="A5" s="226"/>
      <c r="B5" s="226"/>
      <c r="C5" s="227"/>
      <c r="D5" s="227"/>
      <c r="E5" s="227"/>
      <c r="F5" s="228"/>
      <c r="G5" s="228"/>
      <c r="H5" s="228"/>
      <c r="I5" s="228"/>
    </row>
    <row r="6" spans="1:9" ht="12" customHeight="1" x14ac:dyDescent="0.25">
      <c r="A6" s="121"/>
      <c r="B6" s="121"/>
      <c r="C6" s="235"/>
      <c r="D6" s="235"/>
      <c r="E6" s="235"/>
      <c r="F6" s="4"/>
      <c r="G6" s="4"/>
      <c r="H6" s="4"/>
      <c r="I6" s="4"/>
    </row>
    <row r="7" spans="1:9" x14ac:dyDescent="0.25">
      <c r="A7" s="542" t="str">
        <f>'1461'!A7:I7</f>
        <v>1A.   2023-24 FEFP State and Local Funding</v>
      </c>
      <c r="B7" s="542"/>
      <c r="C7" s="542"/>
      <c r="D7" s="542"/>
      <c r="E7" s="542"/>
      <c r="F7" s="542"/>
      <c r="G7" s="542"/>
      <c r="H7" s="542"/>
      <c r="I7" s="542"/>
    </row>
    <row r="8" spans="1:9" x14ac:dyDescent="0.25">
      <c r="A8" s="84"/>
      <c r="B8" s="85" t="s">
        <v>92</v>
      </c>
      <c r="C8" s="222">
        <f>'1461'!C8</f>
        <v>5139.7299999999996</v>
      </c>
      <c r="D8" s="86"/>
      <c r="E8" s="87"/>
      <c r="F8" s="84"/>
      <c r="G8" s="85" t="s">
        <v>91</v>
      </c>
      <c r="H8" s="223">
        <f>'1461'!H8</f>
        <v>1.0442</v>
      </c>
      <c r="I8" s="75"/>
    </row>
    <row r="9" spans="1:9" x14ac:dyDescent="0.25">
      <c r="A9" s="84"/>
      <c r="B9" s="85"/>
      <c r="C9" s="222"/>
      <c r="D9" s="86"/>
      <c r="E9" s="87"/>
      <c r="F9" s="84"/>
      <c r="G9" s="85" t="s">
        <v>386</v>
      </c>
      <c r="H9" s="223">
        <f>'1461'!H9</f>
        <v>1</v>
      </c>
      <c r="I9" s="75"/>
    </row>
    <row r="10" spans="1:9" x14ac:dyDescent="0.25">
      <c r="A10" s="7"/>
      <c r="B10" s="7"/>
      <c r="C10" s="8"/>
      <c r="D10" s="8"/>
      <c r="E10" s="8"/>
      <c r="F10" s="9"/>
      <c r="G10" s="9"/>
      <c r="H10" s="10"/>
      <c r="I10" s="368" t="str">
        <f>'1461'!I10</f>
        <v>2023-24</v>
      </c>
    </row>
    <row r="11" spans="1:9" x14ac:dyDescent="0.25">
      <c r="A11" s="7"/>
      <c r="B11" s="7"/>
      <c r="C11" s="88" t="str">
        <f>'1461'!C11</f>
        <v>Oct 2023</v>
      </c>
      <c r="D11" s="88" t="str">
        <f>'1461'!D11</f>
        <v>Feb 2024</v>
      </c>
      <c r="E11" s="89" t="s">
        <v>8</v>
      </c>
      <c r="F11" s="543" t="s">
        <v>1</v>
      </c>
      <c r="G11" s="543"/>
      <c r="H11" s="10" t="s">
        <v>60</v>
      </c>
      <c r="I11" s="11" t="s">
        <v>27</v>
      </c>
    </row>
    <row r="12" spans="1:9" x14ac:dyDescent="0.25">
      <c r="A12" s="544" t="s">
        <v>1</v>
      </c>
      <c r="B12" s="544"/>
      <c r="C12" s="436" t="str">
        <f>'1461'!C12</f>
        <v>FTE</v>
      </c>
      <c r="D12" s="436" t="str">
        <f>'1461'!D12</f>
        <v>FTE</v>
      </c>
      <c r="E12" s="90" t="s">
        <v>2</v>
      </c>
      <c r="F12" s="545" t="s">
        <v>63</v>
      </c>
      <c r="G12" s="545"/>
      <c r="H12" s="17" t="s">
        <v>59</v>
      </c>
      <c r="I12" s="389" t="s">
        <v>390</v>
      </c>
    </row>
    <row r="13" spans="1:9" x14ac:dyDescent="0.25">
      <c r="A13" s="546" t="s">
        <v>36</v>
      </c>
      <c r="B13" s="546"/>
      <c r="C13" s="91"/>
      <c r="D13" s="91"/>
      <c r="E13" s="92" t="s">
        <v>37</v>
      </c>
      <c r="F13" s="547" t="s">
        <v>38</v>
      </c>
      <c r="G13" s="547"/>
      <c r="H13" s="20" t="s">
        <v>39</v>
      </c>
      <c r="I13" s="21" t="s">
        <v>40</v>
      </c>
    </row>
    <row r="14" spans="1:9" x14ac:dyDescent="0.25">
      <c r="A14" s="548" t="s">
        <v>20</v>
      </c>
      <c r="B14" s="548"/>
      <c r="C14" s="141">
        <f>SUM('1461:4131'!C14)</f>
        <v>2225.8500000000004</v>
      </c>
      <c r="D14" s="141">
        <f>SUM('1461:4131'!D14)</f>
        <v>2180.5500000000002</v>
      </c>
      <c r="E14" s="187">
        <f>SUM('1461:4131'!E14)</f>
        <v>4406.3999999999996</v>
      </c>
      <c r="F14" s="549">
        <f>'1461'!F14:G14</f>
        <v>1.1220000000000001</v>
      </c>
      <c r="G14" s="549"/>
      <c r="H14" s="145">
        <f>SUM('1461:4131'!H14)</f>
        <v>4943.9808999999996</v>
      </c>
      <c r="I14" s="111">
        <f>SUM('1461:4131'!I14)</f>
        <v>26533881.059999999</v>
      </c>
    </row>
    <row r="15" spans="1:9" x14ac:dyDescent="0.25">
      <c r="A15" s="550" t="s">
        <v>21</v>
      </c>
      <c r="B15" s="550"/>
      <c r="C15" s="143">
        <f>SUM('1461:4131'!C15)</f>
        <v>293.5</v>
      </c>
      <c r="D15" s="143">
        <f>SUM('1461:4131'!D15)</f>
        <v>310.18999999999994</v>
      </c>
      <c r="E15" s="116">
        <f>SUM('1461:4131'!E15)</f>
        <v>603.69000000000005</v>
      </c>
      <c r="F15" s="551">
        <f>'1461'!F15:G15</f>
        <v>1.1220000000000001</v>
      </c>
      <c r="G15" s="551"/>
      <c r="H15" s="80">
        <f>SUM('1461:4131'!H15)</f>
        <v>677.3402000000001</v>
      </c>
      <c r="I15" s="101">
        <f>SUM('1461:4131'!I15)</f>
        <v>3635221.22</v>
      </c>
    </row>
    <row r="16" spans="1:9" x14ac:dyDescent="0.25">
      <c r="A16" s="550" t="s">
        <v>22</v>
      </c>
      <c r="B16" s="550"/>
      <c r="C16" s="143">
        <f>SUM('1461:4131'!C16)</f>
        <v>3475.9599999999991</v>
      </c>
      <c r="D16" s="143">
        <f>SUM('1461:4131'!D16)</f>
        <v>3471.6200000000013</v>
      </c>
      <c r="E16" s="116">
        <f>SUM('1461:4131'!E16)</f>
        <v>6947.579999999999</v>
      </c>
      <c r="F16" s="551">
        <f>'1461'!F16:G16</f>
        <v>1</v>
      </c>
      <c r="G16" s="551"/>
      <c r="H16" s="80">
        <f>SUM('1461:4131'!H16)</f>
        <v>6947.579999999999</v>
      </c>
      <c r="I16" s="101">
        <f>SUM('1461:4131'!I16)</f>
        <v>37287009.239999995</v>
      </c>
    </row>
    <row r="17" spans="1:9" x14ac:dyDescent="0.25">
      <c r="A17" s="550" t="s">
        <v>23</v>
      </c>
      <c r="B17" s="550"/>
      <c r="C17" s="143">
        <f>SUM('1461:4131'!C17)</f>
        <v>622.4</v>
      </c>
      <c r="D17" s="143">
        <f>SUM('1461:4131'!D17)</f>
        <v>615.99000000000012</v>
      </c>
      <c r="E17" s="116">
        <f>SUM('1461:4131'!E17)</f>
        <v>1238.3899999999999</v>
      </c>
      <c r="F17" s="551">
        <f>'1461'!F17:G17</f>
        <v>1</v>
      </c>
      <c r="G17" s="551"/>
      <c r="H17" s="80">
        <f>SUM('1461:4131'!H17)</f>
        <v>1238.3899999999999</v>
      </c>
      <c r="I17" s="101">
        <f>SUM('1461:4131'!I17)</f>
        <v>6646322.8000000007</v>
      </c>
    </row>
    <row r="18" spans="1:9" x14ac:dyDescent="0.25">
      <c r="A18" s="550" t="s">
        <v>24</v>
      </c>
      <c r="B18" s="550"/>
      <c r="C18" s="143">
        <f>SUM('1461:4131'!C18)</f>
        <v>2220.3100000000004</v>
      </c>
      <c r="D18" s="143">
        <f>SUM('1461:4131'!D18)</f>
        <v>2292.79</v>
      </c>
      <c r="E18" s="116">
        <f>SUM('1461:4131'!E18)</f>
        <v>4513.0999999999995</v>
      </c>
      <c r="F18" s="551">
        <f>'1461'!F18:G18</f>
        <v>0.98799999999999999</v>
      </c>
      <c r="G18" s="551"/>
      <c r="H18" s="80">
        <f>SUM('1461:4131'!H18)</f>
        <v>4458.9427999999998</v>
      </c>
      <c r="I18" s="101">
        <f>SUM('1461:4131'!I18)</f>
        <v>23930727.170000006</v>
      </c>
    </row>
    <row r="19" spans="1:9" x14ac:dyDescent="0.25">
      <c r="A19" s="550" t="s">
        <v>25</v>
      </c>
      <c r="B19" s="550"/>
      <c r="C19" s="143">
        <f>SUM('1461:4131'!C19)</f>
        <v>579.28</v>
      </c>
      <c r="D19" s="143">
        <f>SUM('1461:4131'!D19)</f>
        <v>595.6</v>
      </c>
      <c r="E19" s="116">
        <f>SUM('1461:4131'!E19)</f>
        <v>1174.8799999999999</v>
      </c>
      <c r="F19" s="551">
        <f>'1461'!F19:G19</f>
        <v>0.98799999999999999</v>
      </c>
      <c r="G19" s="551"/>
      <c r="H19" s="80">
        <f>SUM('1461:4131'!H19)</f>
        <v>1160.7814000000001</v>
      </c>
      <c r="I19" s="101">
        <f>SUM('1461:4131'!I19)</f>
        <v>6229804.7200000007</v>
      </c>
    </row>
    <row r="20" spans="1:9" x14ac:dyDescent="0.25">
      <c r="A20" s="550" t="s">
        <v>79</v>
      </c>
      <c r="B20" s="550"/>
      <c r="C20" s="143">
        <f>SUM('1461:4131'!C20)</f>
        <v>85</v>
      </c>
      <c r="D20" s="143">
        <f>SUM('1461:4131'!D20)</f>
        <v>85.600000000000009</v>
      </c>
      <c r="E20" s="116">
        <f>SUM('1461:4131'!E20)</f>
        <v>170.60000000000002</v>
      </c>
      <c r="F20" s="551">
        <f>'1461'!F20:G20</f>
        <v>3.706</v>
      </c>
      <c r="G20" s="551"/>
      <c r="H20" s="80">
        <f>SUM('1461:4131'!H20)</f>
        <v>632.24360000000001</v>
      </c>
      <c r="I20" s="101">
        <f>SUM('1461:4131'!I20)</f>
        <v>3393192.01</v>
      </c>
    </row>
    <row r="21" spans="1:9" x14ac:dyDescent="0.25">
      <c r="A21" s="550" t="s">
        <v>80</v>
      </c>
      <c r="B21" s="550"/>
      <c r="C21" s="143">
        <f>SUM('1461:4131'!C21)</f>
        <v>70</v>
      </c>
      <c r="D21" s="143">
        <f>SUM('1461:4131'!D21)</f>
        <v>77.25</v>
      </c>
      <c r="E21" s="116">
        <f>SUM('1461:4131'!E21)</f>
        <v>147.25</v>
      </c>
      <c r="F21" s="551">
        <f>'1461'!F21:G21</f>
        <v>3.706</v>
      </c>
      <c r="G21" s="551"/>
      <c r="H21" s="80">
        <f>SUM('1461:4131'!H21)</f>
        <v>545.70849999999996</v>
      </c>
      <c r="I21" s="101">
        <f>SUM('1461:4131'!I21)</f>
        <v>2928766.2600000002</v>
      </c>
    </row>
    <row r="22" spans="1:9" x14ac:dyDescent="0.25">
      <c r="A22" s="550" t="s">
        <v>81</v>
      </c>
      <c r="B22" s="550"/>
      <c r="C22" s="143">
        <f>SUM('1461:4131'!C22)</f>
        <v>61.21</v>
      </c>
      <c r="D22" s="143">
        <f>SUM('1461:4131'!D22)</f>
        <v>52.19</v>
      </c>
      <c r="E22" s="116">
        <f>SUM('1461:4131'!E22)</f>
        <v>113.4</v>
      </c>
      <c r="F22" s="551">
        <f>'1461'!F22:G22</f>
        <v>3.706</v>
      </c>
      <c r="G22" s="551"/>
      <c r="H22" s="80">
        <f>SUM('1461:4131'!H22)</f>
        <v>420.2604</v>
      </c>
      <c r="I22" s="101">
        <f>SUM('1461:4131'!I22)</f>
        <v>2255498.08</v>
      </c>
    </row>
    <row r="23" spans="1:9" x14ac:dyDescent="0.25">
      <c r="A23" s="550" t="s">
        <v>82</v>
      </c>
      <c r="B23" s="550"/>
      <c r="C23" s="143">
        <f>SUM('1461:4131'!C23)</f>
        <v>24.5</v>
      </c>
      <c r="D23" s="143">
        <f>SUM('1461:4131'!D23)</f>
        <v>39.019999999999996</v>
      </c>
      <c r="E23" s="116">
        <f>SUM('1461:4131'!E23)</f>
        <v>63.519999999999996</v>
      </c>
      <c r="F23" s="551">
        <f>'1461'!F23:G23</f>
        <v>5.7069999999999999</v>
      </c>
      <c r="G23" s="551"/>
      <c r="H23" s="80">
        <f>SUM('1461:4131'!H23)</f>
        <v>362.50869999999998</v>
      </c>
      <c r="I23" s="101">
        <f>SUM('1461:4131'!I23)</f>
        <v>1945550.1400000001</v>
      </c>
    </row>
    <row r="24" spans="1:9" x14ac:dyDescent="0.25">
      <c r="A24" s="550" t="s">
        <v>83</v>
      </c>
      <c r="B24" s="550"/>
      <c r="C24" s="143">
        <f>SUM('1461:4131'!C24)</f>
        <v>41.5</v>
      </c>
      <c r="D24" s="143">
        <f>SUM('1461:4131'!D24)</f>
        <v>44.04</v>
      </c>
      <c r="E24" s="116">
        <f>SUM('1461:4131'!E24)</f>
        <v>85.539999999999992</v>
      </c>
      <c r="F24" s="551">
        <f>'1461'!F24:G24</f>
        <v>5.7069999999999999</v>
      </c>
      <c r="G24" s="551"/>
      <c r="H24" s="80">
        <f>SUM('1461:4131'!H24)</f>
        <v>488.17680000000001</v>
      </c>
      <c r="I24" s="101">
        <f>SUM('1461:4131'!I24)</f>
        <v>2619999.0299999998</v>
      </c>
    </row>
    <row r="25" spans="1:9" x14ac:dyDescent="0.25">
      <c r="A25" s="550" t="s">
        <v>84</v>
      </c>
      <c r="B25" s="550"/>
      <c r="C25" s="143">
        <f>SUM('1461:4131'!C25)</f>
        <v>44.98</v>
      </c>
      <c r="D25" s="143">
        <f>SUM('1461:4131'!D25)</f>
        <v>46.48</v>
      </c>
      <c r="E25" s="116">
        <f>SUM('1461:4131'!E25)</f>
        <v>91.46</v>
      </c>
      <c r="F25" s="551">
        <f>'1461'!F25:G25</f>
        <v>5.7069999999999999</v>
      </c>
      <c r="G25" s="551"/>
      <c r="H25" s="80">
        <f>SUM('1461:4131'!H25)</f>
        <v>521.96220000000005</v>
      </c>
      <c r="I25" s="101">
        <f>SUM('1461:4131'!I25)</f>
        <v>2801322.0900000003</v>
      </c>
    </row>
    <row r="26" spans="1:9" x14ac:dyDescent="0.25">
      <c r="A26" s="550" t="s">
        <v>85</v>
      </c>
      <c r="B26" s="550"/>
      <c r="C26" s="143">
        <f>SUM('1461:4131'!C26)</f>
        <v>525.57000000000005</v>
      </c>
      <c r="D26" s="143">
        <f>SUM('1461:4131'!D26)</f>
        <v>529.13000000000011</v>
      </c>
      <c r="E26" s="116">
        <f>SUM('1461:4131'!E26)</f>
        <v>1054.7</v>
      </c>
      <c r="F26" s="551">
        <f>'1461'!F26:G26</f>
        <v>1.208</v>
      </c>
      <c r="G26" s="551"/>
      <c r="H26" s="80">
        <f>SUM('1461:4131'!H26)</f>
        <v>1274.0776000000001</v>
      </c>
      <c r="I26" s="101">
        <f>SUM('1461:4131'!I26)</f>
        <v>6837854.7999999989</v>
      </c>
    </row>
    <row r="27" spans="1:9" x14ac:dyDescent="0.25">
      <c r="A27" s="550" t="s">
        <v>86</v>
      </c>
      <c r="B27" s="550"/>
      <c r="C27" s="143">
        <f>SUM('1461:4131'!C27)</f>
        <v>328.44000000000005</v>
      </c>
      <c r="D27" s="143">
        <f>SUM('1461:4131'!D27)</f>
        <v>316.79000000000008</v>
      </c>
      <c r="E27" s="116">
        <f>SUM('1461:4131'!E27)</f>
        <v>645.23000000000025</v>
      </c>
      <c r="F27" s="551">
        <f>'1461'!F27:G27</f>
        <v>1.208</v>
      </c>
      <c r="G27" s="551"/>
      <c r="H27" s="80">
        <f>SUM('1461:4131'!H27)</f>
        <v>779.43780000000015</v>
      </c>
      <c r="I27" s="101">
        <f>SUM('1461:4131'!I27)</f>
        <v>4183169.46</v>
      </c>
    </row>
    <row r="28" spans="1:9" x14ac:dyDescent="0.25">
      <c r="A28" s="550" t="s">
        <v>87</v>
      </c>
      <c r="B28" s="550"/>
      <c r="C28" s="143">
        <f>SUM('1461:4131'!C28)</f>
        <v>141.30000000000001</v>
      </c>
      <c r="D28" s="143">
        <f>SUM('1461:4131'!D28)</f>
        <v>145.22999999999999</v>
      </c>
      <c r="E28" s="116">
        <f>SUM('1461:4131'!E28)</f>
        <v>286.52999999999997</v>
      </c>
      <c r="F28" s="551">
        <f>'1461'!F28:G28</f>
        <v>1.208</v>
      </c>
      <c r="G28" s="551"/>
      <c r="H28" s="80">
        <f>SUM('1461:4131'!H28)</f>
        <v>346.12829999999997</v>
      </c>
      <c r="I28" s="101">
        <f>SUM('1461:4131'!I28)</f>
        <v>1857638.0699999998</v>
      </c>
    </row>
    <row r="29" spans="1:9" x14ac:dyDescent="0.25">
      <c r="A29" s="550" t="s">
        <v>88</v>
      </c>
      <c r="B29" s="550"/>
      <c r="C29" s="110">
        <f>SUM('1461:4131'!C29)</f>
        <v>290.58999999999992</v>
      </c>
      <c r="D29" s="110">
        <f>SUM('1461:4131'!D29)</f>
        <v>303.53000000000003</v>
      </c>
      <c r="E29" s="154">
        <f>SUM('1461:4131'!E29)</f>
        <v>594.12</v>
      </c>
      <c r="F29" s="551">
        <f>'1461'!F29:G29</f>
        <v>1.0720000000000001</v>
      </c>
      <c r="G29" s="551"/>
      <c r="H29" s="93">
        <f>SUM('1461:4131'!H29)</f>
        <v>636.89660000000015</v>
      </c>
      <c r="I29" s="94">
        <f>SUM('1461:4131'!I29)</f>
        <v>3418164.23</v>
      </c>
    </row>
    <row r="30" spans="1:9" x14ac:dyDescent="0.25">
      <c r="A30" s="552" t="s">
        <v>154</v>
      </c>
      <c r="B30" s="553"/>
      <c r="C30" s="111">
        <f>SUM(C14:C29)</f>
        <v>11030.39</v>
      </c>
      <c r="D30" s="111">
        <f>SUM(D14:D29)</f>
        <v>11106.000000000005</v>
      </c>
      <c r="E30" s="187">
        <f>SUM(E14:E29)</f>
        <v>22136.389999999996</v>
      </c>
      <c r="F30" s="554"/>
      <c r="G30" s="554"/>
      <c r="H30" s="145">
        <f>SUM(H14:H29)</f>
        <v>25434.415800000002</v>
      </c>
      <c r="I30" s="111">
        <f>SUM(I14:I29)</f>
        <v>136504120.38</v>
      </c>
    </row>
    <row r="31" spans="1:9" x14ac:dyDescent="0.25">
      <c r="A31" s="81" t="s">
        <v>155</v>
      </c>
      <c r="B31" s="156"/>
      <c r="C31" s="143">
        <f>Virtual!E22</f>
        <v>0</v>
      </c>
      <c r="D31" s="143">
        <f>Virtual!E23</f>
        <v>0</v>
      </c>
      <c r="E31" s="116">
        <f>IF(D$30=0,C31*2,C31+D31)</f>
        <v>0</v>
      </c>
      <c r="F31" s="551">
        <v>0.7</v>
      </c>
      <c r="G31" s="551"/>
      <c r="H31" s="80">
        <f t="shared" ref="H31" si="0">ROUND(E31*F31,4)</f>
        <v>0</v>
      </c>
      <c r="I31" s="101">
        <f>Virtual!E28</f>
        <v>0</v>
      </c>
    </row>
    <row r="32" spans="1:9" x14ac:dyDescent="0.25">
      <c r="A32" s="552" t="s">
        <v>156</v>
      </c>
      <c r="B32" s="553"/>
      <c r="C32" s="97">
        <f>SUM(C30:C31)</f>
        <v>11030.39</v>
      </c>
      <c r="D32" s="97">
        <f>SUM(D30:D31)</f>
        <v>11106.000000000005</v>
      </c>
      <c r="E32" s="97">
        <f>SUM(E30:E31)</f>
        <v>22136.389999999996</v>
      </c>
      <c r="F32" s="27"/>
      <c r="G32" s="27"/>
      <c r="H32" s="80"/>
      <c r="I32" s="97">
        <f>SUM(I30:I31)</f>
        <v>136504120.38</v>
      </c>
    </row>
    <row r="33" spans="1:9" x14ac:dyDescent="0.25">
      <c r="A33" s="26"/>
      <c r="B33" s="26"/>
      <c r="C33" s="101"/>
      <c r="D33" s="101"/>
      <c r="E33" s="101"/>
      <c r="F33" s="27"/>
      <c r="G33" s="27"/>
      <c r="H33" s="80"/>
      <c r="I33" s="101"/>
    </row>
    <row r="34" spans="1:9" x14ac:dyDescent="0.25">
      <c r="A34" s="146" t="s">
        <v>72</v>
      </c>
      <c r="B34" s="26"/>
      <c r="C34" s="101"/>
      <c r="D34" s="101"/>
      <c r="E34" s="101"/>
      <c r="F34" s="27"/>
      <c r="G34" s="27"/>
      <c r="H34" s="80"/>
      <c r="I34" s="101"/>
    </row>
    <row r="35" spans="1:9" hidden="1" x14ac:dyDescent="0.25">
      <c r="A35" s="146"/>
      <c r="B35" s="492"/>
      <c r="C35" s="101"/>
      <c r="D35" s="101"/>
      <c r="E35" s="101"/>
      <c r="F35" s="487"/>
      <c r="G35" s="487"/>
      <c r="H35" s="80"/>
      <c r="I35" s="101"/>
    </row>
    <row r="36" spans="1:9" hidden="1" x14ac:dyDescent="0.25">
      <c r="A36" s="3"/>
      <c r="B36" s="69"/>
      <c r="C36" s="69"/>
      <c r="D36" s="69"/>
      <c r="E36" s="69"/>
      <c r="F36" s="69"/>
      <c r="G36" s="69"/>
      <c r="H36" s="69"/>
      <c r="I36" s="322" t="s">
        <v>298</v>
      </c>
    </row>
    <row r="37" spans="1:9" hidden="1" x14ac:dyDescent="0.25">
      <c r="A37" s="26"/>
      <c r="B37" s="26"/>
      <c r="C37" s="88" t="str">
        <f>C11</f>
        <v>Oct 2023</v>
      </c>
      <c r="D37" s="88" t="str">
        <f>D11</f>
        <v>Feb 2024</v>
      </c>
      <c r="E37" s="89" t="s">
        <v>8</v>
      </c>
      <c r="F37" s="27"/>
      <c r="G37" s="27"/>
      <c r="H37" s="104"/>
      <c r="I37" s="24" t="s">
        <v>27</v>
      </c>
    </row>
    <row r="38" spans="1:9" hidden="1" x14ac:dyDescent="0.25">
      <c r="A38" s="544" t="s">
        <v>50</v>
      </c>
      <c r="B38" s="544"/>
      <c r="C38" s="325" t="s">
        <v>2</v>
      </c>
      <c r="D38" s="325" t="s">
        <v>2</v>
      </c>
      <c r="E38" s="90" t="s">
        <v>2</v>
      </c>
      <c r="F38" s="105"/>
      <c r="G38" s="105"/>
      <c r="H38" s="105"/>
      <c r="I38" s="31" t="s">
        <v>62</v>
      </c>
    </row>
    <row r="39" spans="1:9" hidden="1" x14ac:dyDescent="0.25">
      <c r="A39" s="548" t="s">
        <v>45</v>
      </c>
      <c r="B39" s="548"/>
      <c r="C39" s="147">
        <f>SUM('1461:4111'!C38)</f>
        <v>0</v>
      </c>
      <c r="D39" s="147">
        <f>SUM('1461:4111'!D38)</f>
        <v>0</v>
      </c>
      <c r="E39" s="187">
        <f>SUM('1461:4111'!E38)</f>
        <v>0</v>
      </c>
      <c r="F39" s="148"/>
      <c r="G39" s="148"/>
      <c r="H39" s="148"/>
      <c r="I39" s="111">
        <f>SUM('1461:4111'!I38)</f>
        <v>0</v>
      </c>
    </row>
    <row r="40" spans="1:9" hidden="1" x14ac:dyDescent="0.25">
      <c r="A40" s="550" t="s">
        <v>46</v>
      </c>
      <c r="B40" s="550"/>
      <c r="C40" s="150">
        <f>SUM('1461:4111'!C39)</f>
        <v>0</v>
      </c>
      <c r="D40" s="150">
        <f>SUM('1461:4111'!D39)</f>
        <v>0</v>
      </c>
      <c r="E40" s="116">
        <f>SUM('1461:4111'!E39)</f>
        <v>0</v>
      </c>
      <c r="F40" s="151"/>
      <c r="G40" s="151"/>
      <c r="H40" s="151"/>
      <c r="I40" s="101">
        <f>SUM('1461:4111'!I39)</f>
        <v>0</v>
      </c>
    </row>
    <row r="41" spans="1:9" hidden="1" x14ac:dyDescent="0.25">
      <c r="A41" s="555" t="s">
        <v>47</v>
      </c>
      <c r="B41" s="555"/>
      <c r="C41" s="150">
        <f>SUM('1461:4111'!C40)</f>
        <v>0</v>
      </c>
      <c r="D41" s="150">
        <f>SUM('1461:4111'!D40)</f>
        <v>0</v>
      </c>
      <c r="E41" s="116">
        <f>SUM('1461:4111'!E40)</f>
        <v>0</v>
      </c>
      <c r="F41" s="151"/>
      <c r="G41" s="151"/>
      <c r="H41" s="151"/>
      <c r="I41" s="101">
        <f>SUM('1461:4111'!I40)</f>
        <v>0</v>
      </c>
    </row>
    <row r="42" spans="1:9" hidden="1" x14ac:dyDescent="0.25">
      <c r="A42" s="550" t="s">
        <v>48</v>
      </c>
      <c r="B42" s="550"/>
      <c r="C42" s="150">
        <f>SUM('1461:4111'!C41)</f>
        <v>0</v>
      </c>
      <c r="D42" s="150">
        <f>SUM('1461:4111'!D41)</f>
        <v>0</v>
      </c>
      <c r="E42" s="116">
        <f>SUM('1461:4111'!E41)</f>
        <v>0</v>
      </c>
      <c r="F42" s="151"/>
      <c r="G42" s="151"/>
      <c r="H42" s="151"/>
      <c r="I42" s="101">
        <f>SUM('1461:4111'!I41)</f>
        <v>0</v>
      </c>
    </row>
    <row r="43" spans="1:9" hidden="1" x14ac:dyDescent="0.25">
      <c r="A43" s="550" t="s">
        <v>49</v>
      </c>
      <c r="B43" s="550"/>
      <c r="C43" s="150">
        <f>SUM('1461:4111'!C42)</f>
        <v>0</v>
      </c>
      <c r="D43" s="150">
        <f>SUM('1461:4111'!D42)</f>
        <v>0</v>
      </c>
      <c r="E43" s="116">
        <f>SUM('1461:4111'!E42)</f>
        <v>0</v>
      </c>
      <c r="F43" s="151"/>
      <c r="G43" s="151"/>
      <c r="H43" s="151"/>
      <c r="I43" s="101">
        <f>SUM('1461:4111'!I42)</f>
        <v>0</v>
      </c>
    </row>
    <row r="44" spans="1:9" hidden="1" x14ac:dyDescent="0.25">
      <c r="A44" s="550" t="s">
        <v>41</v>
      </c>
      <c r="B44" s="550"/>
      <c r="C44" s="149">
        <f>SUM('1461:4111'!C43)</f>
        <v>0</v>
      </c>
      <c r="D44" s="149">
        <f>SUM('1461:4111'!D43)</f>
        <v>0</v>
      </c>
      <c r="E44" s="154">
        <f>SUM('1461:4111'!E43)</f>
        <v>0</v>
      </c>
      <c r="F44" s="151"/>
      <c r="G44" s="151"/>
      <c r="H44" s="151"/>
      <c r="I44" s="94">
        <f>SUM('1461:4111'!I43)</f>
        <v>0</v>
      </c>
    </row>
    <row r="45" spans="1:9" hidden="1" x14ac:dyDescent="0.25">
      <c r="A45" s="3"/>
      <c r="B45" s="52" t="s">
        <v>95</v>
      </c>
      <c r="C45" s="97">
        <f>SUM(C39:C44)</f>
        <v>0</v>
      </c>
      <c r="D45" s="97">
        <f>SUM(D39:D44)</f>
        <v>0</v>
      </c>
      <c r="E45" s="97">
        <f>SUM(E39:E44)</f>
        <v>0</v>
      </c>
      <c r="F45" s="32"/>
      <c r="G45" s="106"/>
      <c r="H45" s="107" t="s">
        <v>97</v>
      </c>
      <c r="I45" s="97">
        <f>SUM(I39:I44)</f>
        <v>0</v>
      </c>
    </row>
    <row r="46" spans="1:9" hidden="1" x14ac:dyDescent="0.25">
      <c r="A46" s="3"/>
      <c r="B46" s="52"/>
      <c r="C46" s="101"/>
      <c r="D46" s="101"/>
      <c r="E46" s="111"/>
      <c r="F46" s="32"/>
      <c r="G46" s="106"/>
      <c r="H46" s="107"/>
      <c r="I46" s="101"/>
    </row>
    <row r="47" spans="1:9" ht="16.5" hidden="1" thickBot="1" x14ac:dyDescent="0.3">
      <c r="A47" s="3"/>
      <c r="B47" s="52" t="s">
        <v>96</v>
      </c>
      <c r="E47" s="152">
        <f>H30+E45</f>
        <v>25434.415800000002</v>
      </c>
      <c r="F47" s="34"/>
      <c r="G47" s="106"/>
      <c r="H47" s="107" t="s">
        <v>98</v>
      </c>
      <c r="I47" s="94">
        <f>SUM(I45,I32)</f>
        <v>136504120.38</v>
      </c>
    </row>
    <row r="48" spans="1:9" ht="16.5" hidden="1" thickTop="1" x14ac:dyDescent="0.25">
      <c r="A48" s="26"/>
      <c r="B48" s="26"/>
      <c r="C48" s="26"/>
      <c r="D48" s="26"/>
      <c r="E48" s="26"/>
      <c r="F48" s="34"/>
      <c r="G48" s="27"/>
      <c r="H48" s="27"/>
      <c r="I48" s="101"/>
    </row>
    <row r="49" spans="1:9" x14ac:dyDescent="0.25">
      <c r="A49" s="26"/>
      <c r="B49" s="26"/>
      <c r="C49" s="26"/>
      <c r="D49" s="26"/>
      <c r="E49" s="26"/>
      <c r="F49" s="34"/>
      <c r="G49" s="27"/>
      <c r="H49" s="27"/>
      <c r="I49" s="101"/>
    </row>
    <row r="50" spans="1:9" x14ac:dyDescent="0.25">
      <c r="A50" s="81" t="s">
        <v>391</v>
      </c>
      <c r="B50" s="26"/>
      <c r="C50" s="26"/>
      <c r="D50" s="26"/>
      <c r="E50" s="26"/>
      <c r="F50" s="34"/>
      <c r="G50" s="27"/>
      <c r="H50" s="27"/>
      <c r="I50" s="101"/>
    </row>
    <row r="51" spans="1:9" s="392" customFormat="1" ht="9" customHeight="1" x14ac:dyDescent="0.2">
      <c r="A51" s="391" t="s">
        <v>392</v>
      </c>
      <c r="F51" s="393"/>
      <c r="G51" s="394"/>
      <c r="H51" s="394"/>
      <c r="I51" s="395"/>
    </row>
    <row r="52" spans="1:9" s="392" customFormat="1" ht="11.25" customHeight="1" x14ac:dyDescent="0.2">
      <c r="A52" s="399" t="s">
        <v>393</v>
      </c>
      <c r="F52" s="393"/>
      <c r="G52" s="394"/>
      <c r="H52" s="394"/>
      <c r="I52" s="395"/>
    </row>
    <row r="53" spans="1:9" x14ac:dyDescent="0.25">
      <c r="A53" s="390"/>
      <c r="B53" s="3" t="s">
        <v>394</v>
      </c>
      <c r="C53" s="26"/>
      <c r="D53" s="26"/>
      <c r="E53" s="43" t="s">
        <v>395</v>
      </c>
      <c r="F53" s="401">
        <f>SUM('1461:4131'!F51)</f>
        <v>136504120.38000003</v>
      </c>
      <c r="G53" s="109" t="s">
        <v>6</v>
      </c>
      <c r="H53" s="402">
        <f>'1461'!H51</f>
        <v>4.5199999999999997E-2</v>
      </c>
      <c r="I53" s="101">
        <f>SUM('1461:4131'!I51)</f>
        <v>6169986.2500000009</v>
      </c>
    </row>
    <row r="54" spans="1:9" x14ac:dyDescent="0.25">
      <c r="A54" s="26"/>
      <c r="B54" s="81" t="s">
        <v>396</v>
      </c>
      <c r="C54" s="26"/>
      <c r="D54" s="26"/>
      <c r="E54" s="43" t="s">
        <v>395</v>
      </c>
      <c r="F54" s="401">
        <f>SUM('1461:4131'!F52)</f>
        <v>136504120.38000003</v>
      </c>
      <c r="G54" s="109" t="s">
        <v>6</v>
      </c>
      <c r="H54" s="402">
        <f>'1461'!H52</f>
        <v>1.41E-2</v>
      </c>
      <c r="I54" s="94">
        <f>SUM('1461:4131'!I52)</f>
        <v>1924708.0999999999</v>
      </c>
    </row>
    <row r="55" spans="1:9" x14ac:dyDescent="0.25">
      <c r="A55" s="26"/>
      <c r="B55" s="81" t="s">
        <v>397</v>
      </c>
      <c r="C55" s="26"/>
      <c r="D55" s="26"/>
      <c r="E55" s="43"/>
      <c r="F55" s="401"/>
      <c r="G55" s="109"/>
      <c r="H55" s="402"/>
      <c r="I55" s="97">
        <f>SUM(I53:I54)</f>
        <v>8094694.3500000006</v>
      </c>
    </row>
    <row r="56" spans="1:9" x14ac:dyDescent="0.25">
      <c r="A56" s="26"/>
      <c r="B56" s="26"/>
      <c r="C56" s="26"/>
      <c r="D56" s="26"/>
      <c r="E56" s="26"/>
      <c r="F56" s="34"/>
      <c r="G56" s="27"/>
      <c r="H56" s="27"/>
      <c r="I56" s="101"/>
    </row>
    <row r="57" spans="1:9" x14ac:dyDescent="0.25">
      <c r="A57" s="492"/>
      <c r="B57" s="492"/>
      <c r="C57" s="88" t="str">
        <f>C11</f>
        <v>Oct 2023</v>
      </c>
      <c r="D57" s="334" t="str">
        <f t="shared" ref="D57:D58" si="1">D11</f>
        <v>Feb 2024</v>
      </c>
      <c r="E57" s="89" t="s">
        <v>8</v>
      </c>
      <c r="F57" s="46" t="s">
        <v>435</v>
      </c>
      <c r="G57" s="109" t="s">
        <v>436</v>
      </c>
      <c r="H57" s="455" t="s">
        <v>437</v>
      </c>
      <c r="I57" s="101"/>
    </row>
    <row r="58" spans="1:9" x14ac:dyDescent="0.25">
      <c r="A58" s="36" t="s">
        <v>438</v>
      </c>
      <c r="B58" s="36"/>
      <c r="C58" s="325" t="str">
        <f t="shared" ref="C58" si="2">C12</f>
        <v>FTE</v>
      </c>
      <c r="D58" s="325" t="str">
        <f t="shared" si="1"/>
        <v>FTE</v>
      </c>
      <c r="E58" s="90" t="s">
        <v>2</v>
      </c>
      <c r="F58" s="485" t="s">
        <v>439</v>
      </c>
      <c r="G58" s="488" t="s">
        <v>439</v>
      </c>
      <c r="H58" s="456" t="s">
        <v>440</v>
      </c>
      <c r="I58" s="36"/>
    </row>
    <row r="59" spans="1:9" ht="15.75" customHeight="1" x14ac:dyDescent="0.25">
      <c r="A59" s="560" t="s">
        <v>442</v>
      </c>
      <c r="B59" s="560"/>
      <c r="C59" s="143">
        <f>SUM('1461:4131'!C57)</f>
        <v>244.5</v>
      </c>
      <c r="D59" s="143">
        <f>SUM('1461:4131'!D57)</f>
        <v>259.77</v>
      </c>
      <c r="E59" s="116">
        <f>SUM('1461:4131'!E57)</f>
        <v>504.27</v>
      </c>
      <c r="F59" s="490" t="s">
        <v>434</v>
      </c>
      <c r="G59" s="490">
        <v>251</v>
      </c>
      <c r="H59" s="458">
        <f>'1461'!H57</f>
        <v>1047</v>
      </c>
      <c r="I59" s="101">
        <f>SUM('1461:4131'!I57)</f>
        <v>527970.68999999994</v>
      </c>
    </row>
    <row r="60" spans="1:9" x14ac:dyDescent="0.25">
      <c r="A60" s="561"/>
      <c r="B60" s="561"/>
      <c r="C60" s="143">
        <f>SUM('1461:4131'!C58)</f>
        <v>39.5</v>
      </c>
      <c r="D60" s="143">
        <f>SUM('1461:4131'!D58)</f>
        <v>41.37</v>
      </c>
      <c r="E60" s="116">
        <f>SUM('1461:4131'!E58)</f>
        <v>80.86999999999999</v>
      </c>
      <c r="F60" s="490" t="s">
        <v>434</v>
      </c>
      <c r="G60" s="490">
        <v>252</v>
      </c>
      <c r="H60" s="458">
        <f>'1461'!H58</f>
        <v>3380</v>
      </c>
      <c r="I60" s="101">
        <f>SUM('1461:4131'!I58)</f>
        <v>273340.60000000003</v>
      </c>
    </row>
    <row r="61" spans="1:9" x14ac:dyDescent="0.25">
      <c r="A61" s="561"/>
      <c r="B61" s="561"/>
      <c r="C61" s="143">
        <f>SUM('1461:4131'!C59)</f>
        <v>9.5</v>
      </c>
      <c r="D61" s="143">
        <f>SUM('1461:4131'!D59)</f>
        <v>9.0499999999999989</v>
      </c>
      <c r="E61" s="116">
        <f>SUM('1461:4131'!E59)</f>
        <v>18.55</v>
      </c>
      <c r="F61" s="490" t="s">
        <v>434</v>
      </c>
      <c r="G61" s="490">
        <v>253</v>
      </c>
      <c r="H61" s="458">
        <f>'1461'!H59</f>
        <v>6896</v>
      </c>
      <c r="I61" s="101">
        <f>SUM('1461:4131'!I59)</f>
        <v>127920.8</v>
      </c>
    </row>
    <row r="62" spans="1:9" x14ac:dyDescent="0.25">
      <c r="A62" s="561"/>
      <c r="B62" s="561"/>
      <c r="C62" s="143">
        <f>SUM('1461:4131'!C60)</f>
        <v>559.37</v>
      </c>
      <c r="D62" s="143">
        <f>SUM('1461:4131'!D60)</f>
        <v>551.37000000000012</v>
      </c>
      <c r="E62" s="116">
        <f>SUM('1461:4131'!E60)</f>
        <v>1110.7400000000002</v>
      </c>
      <c r="F62" s="491" t="s">
        <v>13</v>
      </c>
      <c r="G62" s="490">
        <v>251</v>
      </c>
      <c r="H62" s="458">
        <f>'1461'!H60</f>
        <v>1173</v>
      </c>
      <c r="I62" s="101">
        <f>SUM('1461:4131'!I60)</f>
        <v>1302898.02</v>
      </c>
    </row>
    <row r="63" spans="1:9" x14ac:dyDescent="0.25">
      <c r="A63" s="561"/>
      <c r="B63" s="561"/>
      <c r="C63" s="143">
        <f>SUM('1461:4131'!C61)</f>
        <v>51.03</v>
      </c>
      <c r="D63" s="143">
        <f>SUM('1461:4131'!D61)</f>
        <v>49.679999999999993</v>
      </c>
      <c r="E63" s="116">
        <f>SUM('1461:4131'!E61)</f>
        <v>100.71000000000001</v>
      </c>
      <c r="F63" s="491" t="s">
        <v>13</v>
      </c>
      <c r="G63" s="490">
        <v>252</v>
      </c>
      <c r="H63" s="458">
        <f>'1461'!H61</f>
        <v>3506</v>
      </c>
      <c r="I63" s="101">
        <f>SUM('1461:4131'!I61)</f>
        <v>353089.26</v>
      </c>
    </row>
    <row r="64" spans="1:9" x14ac:dyDescent="0.25">
      <c r="A64" s="561"/>
      <c r="B64" s="561"/>
      <c r="C64" s="143">
        <f>SUM('1461:4131'!C62)</f>
        <v>12</v>
      </c>
      <c r="D64" s="143">
        <f>SUM('1461:4131'!D62)</f>
        <v>14.940000000000001</v>
      </c>
      <c r="E64" s="116">
        <f>SUM('1461:4131'!E62)</f>
        <v>26.94</v>
      </c>
      <c r="F64" s="491" t="s">
        <v>13</v>
      </c>
      <c r="G64" s="490">
        <v>253</v>
      </c>
      <c r="H64" s="458">
        <f>'1461'!H62</f>
        <v>7023</v>
      </c>
      <c r="I64" s="101">
        <f>SUM('1461:4131'!I62)</f>
        <v>189199.62</v>
      </c>
    </row>
    <row r="65" spans="1:9" x14ac:dyDescent="0.25">
      <c r="A65" s="561"/>
      <c r="B65" s="561"/>
      <c r="C65" s="143">
        <f>SUM('1461:4131'!C63)</f>
        <v>403.43</v>
      </c>
      <c r="D65" s="143">
        <f>SUM('1461:4131'!D63)</f>
        <v>408.79</v>
      </c>
      <c r="E65" s="116">
        <f>SUM('1461:4131'!E63)</f>
        <v>812.21999999999991</v>
      </c>
      <c r="F65" s="491" t="s">
        <v>14</v>
      </c>
      <c r="G65" s="490">
        <v>251</v>
      </c>
      <c r="H65" s="458">
        <f>'1461'!H63</f>
        <v>835</v>
      </c>
      <c r="I65" s="101">
        <f>SUM('1461:4131'!I63)</f>
        <v>678203.7</v>
      </c>
    </row>
    <row r="66" spans="1:9" x14ac:dyDescent="0.25">
      <c r="A66" s="561"/>
      <c r="B66" s="561"/>
      <c r="C66" s="143">
        <f>SUM('1461:4131'!C64)</f>
        <v>63.36</v>
      </c>
      <c r="D66" s="143">
        <f>SUM('1461:4131'!D64)</f>
        <v>66.27</v>
      </c>
      <c r="E66" s="116">
        <f>SUM('1461:4131'!E64)</f>
        <v>129.63</v>
      </c>
      <c r="F66" s="491" t="s">
        <v>14</v>
      </c>
      <c r="G66" s="490">
        <v>252</v>
      </c>
      <c r="H66" s="458">
        <f>'1461'!H64</f>
        <v>3168</v>
      </c>
      <c r="I66" s="101">
        <f>SUM('1461:4131'!I64)</f>
        <v>410667.84000000008</v>
      </c>
    </row>
    <row r="67" spans="1:9" x14ac:dyDescent="0.25">
      <c r="A67" s="561"/>
      <c r="B67" s="561"/>
      <c r="C67" s="143">
        <f>SUM('1461:4131'!C65)</f>
        <v>112.49000000000001</v>
      </c>
      <c r="D67" s="143">
        <f>SUM('1461:4131'!D65)</f>
        <v>120.54</v>
      </c>
      <c r="E67" s="116">
        <f>SUM('1461:4131'!E65)</f>
        <v>233.03</v>
      </c>
      <c r="F67" s="491" t="s">
        <v>14</v>
      </c>
      <c r="G67" s="490">
        <v>253</v>
      </c>
      <c r="H67" s="458">
        <f>'1461'!H65</f>
        <v>6685</v>
      </c>
      <c r="I67" s="101">
        <f>SUM('1461:4131'!I65)</f>
        <v>1557805.55</v>
      </c>
    </row>
    <row r="68" spans="1:9" x14ac:dyDescent="0.25">
      <c r="A68" s="486"/>
      <c r="C68" s="97">
        <f>SUM(C59:C67)</f>
        <v>1495.1799999999998</v>
      </c>
      <c r="D68" s="97">
        <f>SUM(D59:D67)</f>
        <v>1521.7800000000002</v>
      </c>
      <c r="E68" s="97">
        <f>SUM(E59:E67)</f>
        <v>3016.9600000000005</v>
      </c>
      <c r="F68" s="562" t="s">
        <v>443</v>
      </c>
      <c r="G68" s="562"/>
      <c r="H68" s="562"/>
      <c r="I68" s="97">
        <f>SUM(I59:I67)</f>
        <v>5421096.0800000001</v>
      </c>
    </row>
    <row r="69" spans="1:9" x14ac:dyDescent="0.25">
      <c r="A69" s="492"/>
      <c r="B69" s="492"/>
      <c r="C69" s="492"/>
      <c r="D69" s="492"/>
      <c r="E69" s="492"/>
      <c r="F69" s="34"/>
      <c r="G69" s="487"/>
      <c r="H69" s="487"/>
      <c r="I69" s="101"/>
    </row>
    <row r="70" spans="1:9" x14ac:dyDescent="0.25">
      <c r="A70" s="489" t="s">
        <v>445</v>
      </c>
    </row>
    <row r="71" spans="1:9" x14ac:dyDescent="0.25">
      <c r="A71" s="556" t="s">
        <v>398</v>
      </c>
      <c r="B71" s="550"/>
      <c r="C71" s="112">
        <f>SUM('1461:4131'!C69)</f>
        <v>22136.39</v>
      </c>
      <c r="D71" s="537" t="s">
        <v>409</v>
      </c>
      <c r="E71" s="537"/>
      <c r="F71" s="537"/>
      <c r="G71" s="537"/>
      <c r="H71" s="289">
        <f>'1461'!H69</f>
        <v>201799.89</v>
      </c>
      <c r="I71" s="113"/>
    </row>
    <row r="72" spans="1:9" x14ac:dyDescent="0.25">
      <c r="B72" s="69"/>
      <c r="G72" s="42" t="s">
        <v>12</v>
      </c>
      <c r="H72" s="114">
        <f>ROUND(C71/H71,6)</f>
        <v>0.109695</v>
      </c>
      <c r="I72" s="115"/>
    </row>
    <row r="73" spans="1:9" x14ac:dyDescent="0.25">
      <c r="A73" s="489" t="s">
        <v>446</v>
      </c>
    </row>
    <row r="74" spans="1:9" x14ac:dyDescent="0.25">
      <c r="A74" s="556" t="s">
        <v>399</v>
      </c>
      <c r="B74" s="550"/>
      <c r="C74" s="414">
        <f>SUM('1461:4131'!C72)</f>
        <v>25434.415800000006</v>
      </c>
      <c r="D74" s="537" t="s">
        <v>410</v>
      </c>
      <c r="E74" s="537"/>
      <c r="F74" s="537"/>
      <c r="G74" s="537"/>
      <c r="H74" s="290">
        <f>'1461'!H72</f>
        <v>227090.59</v>
      </c>
      <c r="I74" s="116"/>
    </row>
    <row r="75" spans="1:9" x14ac:dyDescent="0.25">
      <c r="G75" s="42" t="s">
        <v>12</v>
      </c>
      <c r="H75" s="114">
        <f>ROUND(C74/H74,6)</f>
        <v>0.112001</v>
      </c>
      <c r="I75" s="114"/>
    </row>
    <row r="76" spans="1:9" x14ac:dyDescent="0.25">
      <c r="A76" s="418" t="s">
        <v>447</v>
      </c>
      <c r="B76" s="415"/>
      <c r="C76" s="415"/>
      <c r="D76" s="415"/>
      <c r="E76" s="415"/>
      <c r="F76" s="415"/>
      <c r="G76" s="415"/>
      <c r="H76" s="415"/>
      <c r="I76" s="415"/>
    </row>
    <row r="77" spans="1:9" x14ac:dyDescent="0.25">
      <c r="A77" s="556" t="s">
        <v>400</v>
      </c>
      <c r="B77" s="550"/>
      <c r="C77" s="112">
        <f>SUM('1461:4131'!C75)</f>
        <v>22136.39</v>
      </c>
      <c r="D77" s="529" t="s">
        <v>411</v>
      </c>
      <c r="E77" s="529"/>
      <c r="F77" s="529"/>
      <c r="G77" s="529"/>
      <c r="H77" s="289">
        <f>'1461'!H75</f>
        <v>186438.39</v>
      </c>
      <c r="I77" s="113"/>
    </row>
    <row r="78" spans="1:9" x14ac:dyDescent="0.25">
      <c r="B78" s="69"/>
      <c r="G78" s="42" t="s">
        <v>12</v>
      </c>
      <c r="H78" s="114">
        <f>ROUND(C77/H77,6)</f>
        <v>0.11873300000000001</v>
      </c>
      <c r="I78" s="115"/>
    </row>
    <row r="79" spans="1:9" x14ac:dyDescent="0.25">
      <c r="A79" s="418" t="s">
        <v>448</v>
      </c>
      <c r="B79" s="415"/>
      <c r="C79" s="415"/>
      <c r="D79" s="415"/>
      <c r="E79" s="415"/>
      <c r="F79" s="415"/>
      <c r="G79" s="415"/>
      <c r="H79" s="415"/>
      <c r="I79" s="415"/>
    </row>
    <row r="80" spans="1:9" x14ac:dyDescent="0.25">
      <c r="A80" s="556" t="s">
        <v>400</v>
      </c>
      <c r="B80" s="550"/>
      <c r="C80" s="112">
        <f>SUM('1461:4131'!C78)</f>
        <v>22136.39</v>
      </c>
      <c r="D80" s="557" t="s">
        <v>412</v>
      </c>
      <c r="E80" s="557"/>
      <c r="F80" s="557"/>
      <c r="G80" s="557"/>
      <c r="H80" s="289">
        <f>'1461'!H78</f>
        <v>201460.8</v>
      </c>
      <c r="I80" s="113"/>
    </row>
    <row r="81" spans="1:11" x14ac:dyDescent="0.25">
      <c r="B81" s="69"/>
      <c r="G81" s="42" t="s">
        <v>12</v>
      </c>
      <c r="H81" s="114">
        <f>ROUND(C80/H80,6)</f>
        <v>0.109879</v>
      </c>
      <c r="I81" s="115"/>
    </row>
    <row r="82" spans="1:11" x14ac:dyDescent="0.25">
      <c r="A82" s="418" t="s">
        <v>449</v>
      </c>
      <c r="B82" s="415"/>
      <c r="C82" s="415"/>
      <c r="D82" s="415"/>
      <c r="E82" s="415"/>
      <c r="F82" s="415"/>
      <c r="G82" s="415"/>
      <c r="H82" s="415"/>
      <c r="I82" s="415"/>
    </row>
    <row r="83" spans="1:11" x14ac:dyDescent="0.25">
      <c r="A83" s="556" t="s">
        <v>408</v>
      </c>
      <c r="B83" s="550"/>
      <c r="C83" s="112">
        <f>SUM('1461:4131'!C81)</f>
        <v>22136.39</v>
      </c>
      <c r="D83" s="529" t="s">
        <v>413</v>
      </c>
      <c r="E83" s="529"/>
      <c r="F83" s="529"/>
      <c r="G83" s="529"/>
      <c r="H83" s="289">
        <f>'1461'!H81</f>
        <v>186099.3</v>
      </c>
      <c r="I83" s="113"/>
    </row>
    <row r="84" spans="1:11" x14ac:dyDescent="0.25">
      <c r="B84" s="69"/>
      <c r="G84" s="42" t="s">
        <v>12</v>
      </c>
      <c r="H84" s="114">
        <f>ROUND(C83/H83,6)</f>
        <v>0.118949</v>
      </c>
      <c r="I84" s="115"/>
    </row>
    <row r="85" spans="1:11" x14ac:dyDescent="0.25">
      <c r="A85" s="242"/>
      <c r="G85" s="42"/>
      <c r="H85" s="114"/>
      <c r="I85" s="114"/>
    </row>
    <row r="86" spans="1:11" x14ac:dyDescent="0.25">
      <c r="A86" s="489" t="s">
        <v>450</v>
      </c>
      <c r="D86" s="69"/>
      <c r="E86" s="43" t="s">
        <v>293</v>
      </c>
      <c r="F86" s="291">
        <f>'1461'!F85</f>
        <v>44309288</v>
      </c>
      <c r="G86" s="37" t="s">
        <v>6</v>
      </c>
      <c r="H86" s="423">
        <f>H81</f>
        <v>0.109879</v>
      </c>
      <c r="I86" s="101">
        <f>SUM('1461:4131'!I85)</f>
        <v>4868483.040000001</v>
      </c>
      <c r="K86" s="237"/>
    </row>
    <row r="87" spans="1:11" x14ac:dyDescent="0.25">
      <c r="A87" s="400"/>
      <c r="D87" s="69"/>
      <c r="E87" s="43"/>
      <c r="F87" s="277"/>
      <c r="G87" s="37"/>
      <c r="H87" s="423"/>
      <c r="I87" s="101"/>
    </row>
    <row r="88" spans="1:11" x14ac:dyDescent="0.25">
      <c r="A88" s="559" t="s">
        <v>71</v>
      </c>
      <c r="B88" s="550"/>
      <c r="C88" s="550"/>
      <c r="D88" s="69"/>
      <c r="E88" s="43"/>
      <c r="F88" s="277"/>
      <c r="G88" s="37"/>
      <c r="H88" s="423"/>
      <c r="I88" s="101"/>
    </row>
    <row r="89" spans="1:11" ht="15.75" customHeight="1" x14ac:dyDescent="0.25">
      <c r="A89" s="559" t="s">
        <v>99</v>
      </c>
      <c r="B89" s="550"/>
      <c r="C89" s="550"/>
      <c r="D89" s="69"/>
      <c r="E89" s="43" t="s">
        <v>3</v>
      </c>
      <c r="F89" s="291">
        <f>'1461'!F88</f>
        <v>0</v>
      </c>
      <c r="G89" s="37" t="s">
        <v>6</v>
      </c>
      <c r="H89" s="423">
        <f>H72</f>
        <v>0.109695</v>
      </c>
      <c r="I89" s="101">
        <f>SUM('1461:4131'!I88)</f>
        <v>0</v>
      </c>
    </row>
    <row r="90" spans="1:11" ht="15.75" customHeight="1" x14ac:dyDescent="0.25">
      <c r="A90" s="432"/>
      <c r="B90" s="69"/>
      <c r="C90" s="69"/>
      <c r="D90" s="69"/>
      <c r="E90" s="43"/>
      <c r="F90" s="277"/>
      <c r="G90" s="37"/>
      <c r="H90" s="423"/>
      <c r="I90" s="101"/>
    </row>
    <row r="91" spans="1:11" x14ac:dyDescent="0.25">
      <c r="A91" s="489" t="s">
        <v>451</v>
      </c>
      <c r="D91" s="69"/>
      <c r="E91" s="43" t="s">
        <v>416</v>
      </c>
      <c r="F91" s="291">
        <f>'1461'!F90</f>
        <v>16275680</v>
      </c>
      <c r="G91" s="37" t="s">
        <v>6</v>
      </c>
      <c r="H91" s="423">
        <f>H84</f>
        <v>0.118949</v>
      </c>
      <c r="I91" s="101">
        <f>SUM('1461:4131'!I90)</f>
        <v>1935992.1499999997</v>
      </c>
    </row>
    <row r="92" spans="1:11" x14ac:dyDescent="0.25">
      <c r="A92" s="400"/>
      <c r="D92" s="69"/>
      <c r="E92" s="43"/>
      <c r="F92" s="277"/>
      <c r="G92" s="37"/>
      <c r="H92" s="423"/>
      <c r="I92" s="101"/>
    </row>
    <row r="93" spans="1:11" x14ac:dyDescent="0.25">
      <c r="A93" s="489" t="s">
        <v>452</v>
      </c>
      <c r="D93" s="69"/>
      <c r="E93" s="43" t="s">
        <v>3</v>
      </c>
      <c r="F93" s="291">
        <f>'1461'!F92</f>
        <v>10128039</v>
      </c>
      <c r="G93" s="37" t="s">
        <v>6</v>
      </c>
      <c r="H93" s="423">
        <f>H78</f>
        <v>0.11873300000000001</v>
      </c>
      <c r="I93" s="101">
        <f>SUM('1461:4131'!I92)</f>
        <v>1202542.5699999998</v>
      </c>
    </row>
    <row r="94" spans="1:11" x14ac:dyDescent="0.25">
      <c r="A94" s="81"/>
      <c r="D94" s="69"/>
      <c r="E94" s="43"/>
      <c r="F94" s="116"/>
      <c r="G94" s="37"/>
      <c r="H94" s="419"/>
      <c r="I94" s="101"/>
    </row>
    <row r="95" spans="1:11" x14ac:dyDescent="0.25">
      <c r="A95" s="556" t="s">
        <v>417</v>
      </c>
      <c r="B95" s="550"/>
      <c r="C95" s="550"/>
      <c r="D95" s="69"/>
      <c r="E95" s="43" t="s">
        <v>4</v>
      </c>
      <c r="F95" s="291">
        <f>'1461'!F94</f>
        <v>238997674</v>
      </c>
      <c r="G95" s="37" t="s">
        <v>6</v>
      </c>
      <c r="H95" s="423">
        <f>H75</f>
        <v>0.112001</v>
      </c>
      <c r="I95" s="101">
        <f>SUM('1461:4131'!I94)</f>
        <v>26767978.460000001</v>
      </c>
    </row>
    <row r="96" spans="1:11" x14ac:dyDescent="0.25">
      <c r="A96" s="81"/>
      <c r="B96" s="69"/>
      <c r="C96" s="69"/>
      <c r="D96" s="69"/>
      <c r="E96" s="43"/>
      <c r="F96" s="277"/>
      <c r="G96" s="37"/>
      <c r="H96" s="423"/>
      <c r="I96" s="101"/>
    </row>
    <row r="97" spans="1:9" x14ac:dyDescent="0.25">
      <c r="A97" s="556" t="s">
        <v>418</v>
      </c>
      <c r="B97" s="550"/>
      <c r="C97" s="550"/>
      <c r="D97" s="69"/>
      <c r="E97" s="43" t="s">
        <v>4</v>
      </c>
      <c r="F97" s="291">
        <f>'1461'!F96</f>
        <v>0</v>
      </c>
      <c r="G97" s="37" t="s">
        <v>6</v>
      </c>
      <c r="H97" s="423">
        <f>H75</f>
        <v>0.112001</v>
      </c>
      <c r="I97" s="101">
        <f>SUM('1461:4131'!I96)</f>
        <v>0</v>
      </c>
    </row>
    <row r="98" spans="1:9" x14ac:dyDescent="0.25">
      <c r="A98" s="81"/>
      <c r="B98" s="69"/>
      <c r="C98" s="69"/>
      <c r="D98" s="69"/>
      <c r="E98" s="43"/>
      <c r="F98" s="277"/>
      <c r="G98" s="37"/>
      <c r="H98" s="423"/>
      <c r="I98" s="101"/>
    </row>
    <row r="99" spans="1:9" x14ac:dyDescent="0.25">
      <c r="A99" s="400" t="s">
        <v>419</v>
      </c>
    </row>
    <row r="100" spans="1:9" x14ac:dyDescent="0.25">
      <c r="B100" s="69"/>
      <c r="C100" s="535" t="s">
        <v>60</v>
      </c>
      <c r="D100" s="535"/>
      <c r="E100" s="69"/>
      <c r="F100" s="39" t="s">
        <v>28</v>
      </c>
      <c r="G100" s="69"/>
      <c r="H100" s="69"/>
      <c r="I100" s="69"/>
    </row>
    <row r="101" spans="1:9" x14ac:dyDescent="0.25">
      <c r="A101" s="3"/>
      <c r="B101" s="118"/>
      <c r="C101" s="536" t="s">
        <v>101</v>
      </c>
      <c r="D101" s="536"/>
      <c r="E101" s="119" t="s">
        <v>420</v>
      </c>
      <c r="F101" s="120" t="s">
        <v>106</v>
      </c>
      <c r="G101" s="121"/>
      <c r="H101" s="121"/>
      <c r="I101" s="121"/>
    </row>
    <row r="102" spans="1:9" x14ac:dyDescent="0.25">
      <c r="A102" s="26"/>
      <c r="B102" s="52" t="s">
        <v>105</v>
      </c>
      <c r="C102" s="568">
        <f>SUM('1461:4131'!C104)</f>
        <v>7890.1509999999998</v>
      </c>
      <c r="D102" s="568">
        <f>SUM('1461:4131'!D101)</f>
        <v>0</v>
      </c>
      <c r="E102" s="46">
        <f>'1461'!E104</f>
        <v>1.0442</v>
      </c>
      <c r="F102" s="292">
        <f>'1461'!F104</f>
        <v>947.59</v>
      </c>
      <c r="G102" s="39" t="s">
        <v>12</v>
      </c>
      <c r="H102" s="101">
        <f>SUM('1461:4131'!H104)</f>
        <v>7807095.1599999992</v>
      </c>
      <c r="I102" s="104"/>
    </row>
    <row r="103" spans="1:9" x14ac:dyDescent="0.25">
      <c r="A103" s="49"/>
      <c r="B103" s="49" t="s">
        <v>104</v>
      </c>
      <c r="C103" s="568">
        <f>SUM('1461:4131'!C105)</f>
        <v>9999.2931000000026</v>
      </c>
      <c r="D103" s="568">
        <f>SUM('1461:4131'!D102)</f>
        <v>0</v>
      </c>
      <c r="E103" s="46">
        <f>'1461'!E105</f>
        <v>1.0442</v>
      </c>
      <c r="F103" s="292">
        <f>'1461'!F105</f>
        <v>904.74</v>
      </c>
      <c r="G103" s="39" t="s">
        <v>12</v>
      </c>
      <c r="H103" s="101">
        <f>SUM('1461:4131'!H105)</f>
        <v>9446627.2699999977</v>
      </c>
    </row>
    <row r="104" spans="1:9" x14ac:dyDescent="0.25">
      <c r="A104" s="52"/>
      <c r="B104" s="52" t="s">
        <v>103</v>
      </c>
      <c r="C104" s="568">
        <f>SUM('1461:4131'!C106)</f>
        <v>7544.9716999999991</v>
      </c>
      <c r="D104" s="568">
        <f>SUM('1461:4131'!D103)</f>
        <v>0</v>
      </c>
      <c r="E104" s="46">
        <f>'1461'!E106</f>
        <v>1.0442</v>
      </c>
      <c r="F104" s="292">
        <f>'1461'!F106</f>
        <v>906.93</v>
      </c>
      <c r="G104" s="39" t="s">
        <v>12</v>
      </c>
      <c r="H104" s="94">
        <f>SUM('1461:4131'!H106)</f>
        <v>7145211.2400000021</v>
      </c>
    </row>
    <row r="105" spans="1:9" ht="16.5" thickBot="1" x14ac:dyDescent="0.3">
      <c r="A105" s="55"/>
      <c r="B105" s="122" t="s">
        <v>102</v>
      </c>
      <c r="C105" s="558">
        <f>SUM(C102:C104)</f>
        <v>25434.415799999999</v>
      </c>
      <c r="D105" s="558"/>
      <c r="E105" s="123"/>
      <c r="F105" s="123"/>
      <c r="G105" s="123"/>
      <c r="H105" s="124" t="s">
        <v>100</v>
      </c>
      <c r="I105" s="101">
        <f>SUM('1461:4131'!I107)</f>
        <v>24398933.670000006</v>
      </c>
    </row>
    <row r="106" spans="1:9" ht="16.5" thickTop="1" x14ac:dyDescent="0.25">
      <c r="A106" s="527" t="s">
        <v>65</v>
      </c>
      <c r="B106" s="527"/>
      <c r="C106" s="527"/>
      <c r="D106" s="527"/>
      <c r="E106" s="527"/>
      <c r="F106" s="527"/>
      <c r="G106" s="527"/>
      <c r="H106" s="527"/>
      <c r="I106" s="527"/>
    </row>
    <row r="107" spans="1:9" x14ac:dyDescent="0.25">
      <c r="A107" s="433"/>
      <c r="B107" s="433"/>
      <c r="C107" s="433"/>
      <c r="D107" s="433"/>
      <c r="E107" s="433"/>
      <c r="F107" s="433"/>
      <c r="G107" s="433"/>
      <c r="H107" s="433"/>
      <c r="I107" s="433"/>
    </row>
    <row r="108" spans="1:9" x14ac:dyDescent="0.25">
      <c r="A108" s="81" t="s">
        <v>424</v>
      </c>
      <c r="C108" s="43"/>
      <c r="D108" s="69"/>
      <c r="E108" s="43" t="s">
        <v>32</v>
      </c>
      <c r="F108" s="528"/>
      <c r="G108" s="528"/>
      <c r="H108" s="528"/>
      <c r="I108" s="528"/>
    </row>
    <row r="109" spans="1:9" x14ac:dyDescent="0.25">
      <c r="B109" s="69"/>
      <c r="C109" s="88" t="s">
        <v>355</v>
      </c>
      <c r="D109" s="334" t="s">
        <v>356</v>
      </c>
      <c r="E109" s="89" t="s">
        <v>107</v>
      </c>
      <c r="F109" s="43"/>
      <c r="G109" s="43"/>
      <c r="H109" s="43"/>
      <c r="I109" s="43"/>
    </row>
    <row r="110" spans="1:9" x14ac:dyDescent="0.25">
      <c r="B110" s="69"/>
      <c r="C110" s="325" t="s">
        <v>2</v>
      </c>
      <c r="D110" s="325" t="s">
        <v>2</v>
      </c>
      <c r="E110" s="90" t="s">
        <v>2</v>
      </c>
      <c r="F110" s="43"/>
      <c r="G110" s="43"/>
      <c r="H110" s="43"/>
      <c r="I110" s="43"/>
    </row>
    <row r="111" spans="1:9" x14ac:dyDescent="0.25">
      <c r="A111" s="529" t="s">
        <v>375</v>
      </c>
      <c r="B111" s="530"/>
      <c r="C111" s="143">
        <f>SUM('1461:4131'!C113)</f>
        <v>4411</v>
      </c>
      <c r="D111" s="143">
        <f>SUM('1461:4131'!D110)</f>
        <v>0</v>
      </c>
      <c r="E111" s="116">
        <f>SUM('1461:4131'!E113)</f>
        <v>4411</v>
      </c>
      <c r="F111" s="126" t="s">
        <v>30</v>
      </c>
      <c r="G111" s="293">
        <f>'1461'!G113</f>
        <v>548</v>
      </c>
      <c r="I111" s="101">
        <f>SUM('1461:4131'!I113)</f>
        <v>2417228</v>
      </c>
    </row>
    <row r="112" spans="1:9" x14ac:dyDescent="0.25">
      <c r="A112" s="529" t="s">
        <v>376</v>
      </c>
      <c r="B112" s="530"/>
      <c r="C112" s="143">
        <f>SUM('1461:4131'!C114)</f>
        <v>4</v>
      </c>
      <c r="D112" s="143">
        <f>SUM('1461:4131'!D111)</f>
        <v>0</v>
      </c>
      <c r="E112" s="116">
        <f>SUM('1461:4131'!E114)</f>
        <v>4</v>
      </c>
      <c r="F112" s="126" t="s">
        <v>30</v>
      </c>
      <c r="G112" s="293">
        <f>'1461'!G114</f>
        <v>1762</v>
      </c>
      <c r="I112" s="101">
        <f>SUM('1461:4131'!I114)</f>
        <v>7048</v>
      </c>
    </row>
    <row r="113" spans="1:10" hidden="1" x14ac:dyDescent="0.25">
      <c r="A113" s="127"/>
      <c r="B113" s="127"/>
      <c r="C113" s="65"/>
      <c r="D113" s="65"/>
      <c r="E113" s="65"/>
      <c r="F113" s="65"/>
      <c r="G113" s="128"/>
      <c r="H113" s="129"/>
      <c r="I113" s="101"/>
    </row>
    <row r="114" spans="1:10" x14ac:dyDescent="0.25">
      <c r="A114" s="127"/>
      <c r="B114" s="127"/>
      <c r="C114" s="65"/>
      <c r="D114" s="65"/>
      <c r="E114" s="65"/>
      <c r="F114" s="65"/>
      <c r="G114" s="128"/>
      <c r="H114" s="129"/>
      <c r="I114" s="101"/>
    </row>
    <row r="115" spans="1:10" ht="15.75" hidden="1" customHeight="1" x14ac:dyDescent="0.25">
      <c r="A115" s="556" t="s">
        <v>425</v>
      </c>
      <c r="B115" s="550"/>
      <c r="C115" s="550"/>
      <c r="D115" s="69"/>
      <c r="E115" s="39" t="s">
        <v>294</v>
      </c>
      <c r="F115" s="535"/>
      <c r="G115" s="535"/>
      <c r="H115" s="535"/>
      <c r="I115" s="535"/>
    </row>
    <row r="116" spans="1:10" hidden="1" x14ac:dyDescent="0.25">
      <c r="B116" s="69"/>
      <c r="C116" s="536" t="s">
        <v>66</v>
      </c>
      <c r="D116" s="536"/>
      <c r="E116" s="536"/>
      <c r="F116" s="37"/>
      <c r="G116" s="37"/>
      <c r="H116" s="39" t="s">
        <v>108</v>
      </c>
      <c r="I116" s="37"/>
    </row>
    <row r="117" spans="1:10" hidden="1" x14ac:dyDescent="0.25">
      <c r="B117" s="69"/>
      <c r="C117" s="88" t="str">
        <f>C109</f>
        <v>Oct 2022</v>
      </c>
      <c r="D117" s="88" t="str">
        <f>D109</f>
        <v>Feb 2023</v>
      </c>
      <c r="E117" s="137" t="s">
        <v>8</v>
      </c>
      <c r="F117" s="537" t="s">
        <v>109</v>
      </c>
      <c r="G117" s="535"/>
      <c r="H117" s="37" t="s">
        <v>29</v>
      </c>
      <c r="I117" s="37"/>
    </row>
    <row r="118" spans="1:10" ht="15.75" hidden="1" customHeight="1" x14ac:dyDescent="0.25">
      <c r="A118" s="536" t="s">
        <v>69</v>
      </c>
      <c r="B118" s="536"/>
      <c r="C118" s="90" t="s">
        <v>2</v>
      </c>
      <c r="D118" s="90" t="s">
        <v>2</v>
      </c>
      <c r="E118" s="59" t="s">
        <v>2</v>
      </c>
      <c r="F118" s="536" t="s">
        <v>28</v>
      </c>
      <c r="G118" s="536"/>
      <c r="H118" s="59" t="s">
        <v>28</v>
      </c>
      <c r="I118" s="59" t="s">
        <v>8</v>
      </c>
    </row>
    <row r="119" spans="1:10" ht="15.75" hidden="1" customHeight="1" x14ac:dyDescent="0.25">
      <c r="A119" s="533" t="s">
        <v>56</v>
      </c>
      <c r="B119" s="533"/>
      <c r="C119" s="141">
        <v>0</v>
      </c>
      <c r="D119" s="141">
        <v>0</v>
      </c>
      <c r="E119" s="187">
        <f>IF(D31=0,C119*2,C119+D119)</f>
        <v>0</v>
      </c>
      <c r="F119" s="534">
        <v>0</v>
      </c>
      <c r="G119" s="534"/>
      <c r="H119" s="224">
        <f>IF(C119=0,0,125)</f>
        <v>0</v>
      </c>
      <c r="I119" s="101">
        <f>ROUND((H119+F119)*E119,2)</f>
        <v>0</v>
      </c>
    </row>
    <row r="120" spans="1:10" ht="15.75" hidden="1" customHeight="1" x14ac:dyDescent="0.25">
      <c r="A120" s="553" t="s">
        <v>57</v>
      </c>
      <c r="B120" s="553"/>
      <c r="C120" s="143">
        <v>0</v>
      </c>
      <c r="D120" s="143">
        <v>0</v>
      </c>
      <c r="E120" s="116">
        <f>IF(D32=0,C120*2,C120+D120)</f>
        <v>0</v>
      </c>
      <c r="F120" s="570">
        <f>ROUND(F119/2,2)</f>
        <v>0</v>
      </c>
      <c r="G120" s="570"/>
      <c r="H120" s="224">
        <f>IF(C120=0,0,62.5)</f>
        <v>0</v>
      </c>
      <c r="I120" s="101">
        <f>ROUND((H120+F120)*E120,2)</f>
        <v>0</v>
      </c>
    </row>
    <row r="121" spans="1:10" ht="15.75" hidden="1" customHeight="1" x14ac:dyDescent="0.25">
      <c r="A121" s="553" t="s">
        <v>58</v>
      </c>
      <c r="B121" s="553"/>
      <c r="C121" s="143">
        <v>0</v>
      </c>
      <c r="D121" s="143">
        <v>0</v>
      </c>
      <c r="E121" s="116">
        <f>IF(D33=0,C121*2,C121+D121)</f>
        <v>0</v>
      </c>
      <c r="F121" s="571"/>
      <c r="G121" s="571"/>
      <c r="H121" s="225">
        <f>IF(H119&gt;0,436,0)</f>
        <v>0</v>
      </c>
      <c r="I121" s="101">
        <f>ROUND(H121*E121,2)</f>
        <v>0</v>
      </c>
    </row>
    <row r="122" spans="1:10" ht="16.5" hidden="1" customHeight="1" x14ac:dyDescent="0.25">
      <c r="A122" s="535" t="s">
        <v>8</v>
      </c>
      <c r="B122" s="535"/>
      <c r="C122" s="65"/>
      <c r="D122" s="65"/>
      <c r="E122" s="65"/>
      <c r="F122" s="65"/>
      <c r="G122" s="65"/>
      <c r="H122" s="65"/>
      <c r="I122" s="97">
        <f>SUM(I119:I121)</f>
        <v>0</v>
      </c>
    </row>
    <row r="123" spans="1:10" hidden="1" x14ac:dyDescent="0.25">
      <c r="A123" s="37"/>
      <c r="B123" s="37"/>
      <c r="C123" s="65"/>
      <c r="D123" s="65"/>
      <c r="E123" s="65"/>
      <c r="F123" s="65"/>
      <c r="G123" s="65"/>
      <c r="H123" s="65"/>
      <c r="I123" s="101"/>
    </row>
    <row r="124" spans="1:10" x14ac:dyDescent="0.25">
      <c r="A124" s="556" t="s">
        <v>427</v>
      </c>
      <c r="B124" s="550"/>
      <c r="C124" s="550"/>
      <c r="D124" s="69"/>
      <c r="E124" s="68" t="s">
        <v>34</v>
      </c>
      <c r="F124" s="569"/>
      <c r="G124" s="569"/>
      <c r="H124" s="569"/>
      <c r="I124" s="154">
        <f>SUM('1461:4131'!I126)</f>
        <v>0</v>
      </c>
    </row>
    <row r="125" spans="1:10" x14ac:dyDescent="0.25">
      <c r="B125" s="69"/>
      <c r="C125" s="69"/>
      <c r="D125" s="69"/>
      <c r="E125" s="68"/>
      <c r="F125" s="68"/>
      <c r="G125" s="68"/>
      <c r="H125" s="68"/>
      <c r="I125" s="116"/>
    </row>
    <row r="126" spans="1:10" x14ac:dyDescent="0.25">
      <c r="A126" s="562" t="s">
        <v>8</v>
      </c>
      <c r="B126" s="562"/>
      <c r="C126" s="562"/>
      <c r="D126" s="562"/>
      <c r="E126" s="562"/>
      <c r="F126" s="562"/>
      <c r="G126" s="562"/>
      <c r="H126" s="562"/>
      <c r="I126" s="94">
        <f>SUM('1461:4131'!I128)</f>
        <v>203523422.34999999</v>
      </c>
      <c r="J126" s="251"/>
    </row>
    <row r="127" spans="1:10" x14ac:dyDescent="0.25">
      <c r="A127" s="26"/>
      <c r="B127" s="26"/>
      <c r="C127" s="26"/>
      <c r="D127" s="26"/>
      <c r="E127" s="26"/>
      <c r="F127" s="26"/>
      <c r="G127" s="26"/>
      <c r="H127" s="26"/>
      <c r="I127" s="101"/>
      <c r="J127" s="251"/>
    </row>
    <row r="128" spans="1:10" x14ac:dyDescent="0.25">
      <c r="A128" s="81" t="s">
        <v>459</v>
      </c>
      <c r="B128" s="26"/>
      <c r="C128" s="26"/>
      <c r="D128" s="26"/>
      <c r="E128" s="26"/>
      <c r="F128" s="26"/>
      <c r="G128" s="26"/>
      <c r="H128" s="26"/>
      <c r="I128" s="101">
        <f>SUM('1461:4131'!I130)</f>
        <v>195428728</v>
      </c>
      <c r="J128" s="251"/>
    </row>
    <row r="129" spans="1:13" x14ac:dyDescent="0.25">
      <c r="A129" s="26"/>
      <c r="B129" s="26"/>
      <c r="C129" s="26"/>
      <c r="D129" s="26"/>
      <c r="E129" s="26"/>
      <c r="F129" s="26"/>
      <c r="G129" s="26"/>
      <c r="H129" s="26"/>
      <c r="I129" s="101"/>
      <c r="J129" s="251"/>
    </row>
    <row r="130" spans="1:13" x14ac:dyDescent="0.25">
      <c r="A130" s="556" t="s">
        <v>460</v>
      </c>
      <c r="B130" s="550"/>
      <c r="C130" s="550"/>
      <c r="D130" s="550"/>
      <c r="E130" s="550"/>
      <c r="F130" s="550"/>
      <c r="G130" s="550"/>
      <c r="H130" s="81" t="s">
        <v>325</v>
      </c>
      <c r="I130" s="134"/>
      <c r="J130" s="251"/>
    </row>
    <row r="131" spans="1:13" x14ac:dyDescent="0.25">
      <c r="A131" s="550" t="s">
        <v>70</v>
      </c>
      <c r="B131" s="550"/>
      <c r="C131" s="550"/>
      <c r="D131" s="550"/>
      <c r="E131" s="550"/>
      <c r="F131" s="550"/>
      <c r="G131" s="550"/>
      <c r="H131" s="70"/>
      <c r="I131" s="116">
        <f>SUM('1461:4131'!I130)</f>
        <v>195428728</v>
      </c>
    </row>
    <row r="132" spans="1:13" x14ac:dyDescent="0.25">
      <c r="B132" s="69"/>
      <c r="C132" s="69"/>
      <c r="D132" s="69"/>
      <c r="E132" s="69"/>
      <c r="F132" s="69"/>
      <c r="G132" s="69"/>
      <c r="H132" s="65"/>
      <c r="I132" s="101"/>
    </row>
    <row r="133" spans="1:13" x14ac:dyDescent="0.25">
      <c r="A133" s="3" t="s">
        <v>73</v>
      </c>
      <c r="B133" s="69"/>
      <c r="C133" s="69"/>
      <c r="D133" s="69"/>
      <c r="E133" s="69"/>
      <c r="F133" s="69"/>
      <c r="G133" s="258"/>
      <c r="H133" s="139">
        <f>IF(H131=1,I131,I128)</f>
        <v>195428728</v>
      </c>
      <c r="I133" s="94">
        <f>SUM('1461:4131'!I135)</f>
        <v>-3172061.94</v>
      </c>
    </row>
    <row r="134" spans="1:13" x14ac:dyDescent="0.25">
      <c r="B134" s="69"/>
      <c r="C134" s="69"/>
      <c r="D134" s="69"/>
      <c r="E134" s="69"/>
      <c r="F134" s="69"/>
      <c r="G134" s="69"/>
      <c r="H134" s="65"/>
      <c r="I134" s="101"/>
    </row>
    <row r="135" spans="1:13" x14ac:dyDescent="0.25">
      <c r="A135" s="310" t="s">
        <v>74</v>
      </c>
      <c r="B135" s="311"/>
      <c r="C135" s="311"/>
      <c r="D135" s="311"/>
      <c r="E135" s="311"/>
      <c r="F135" s="311"/>
      <c r="G135" s="311"/>
      <c r="H135" s="312"/>
      <c r="I135" s="313">
        <f>SUM('1461:4131'!I137)</f>
        <v>200351360.41000009</v>
      </c>
    </row>
    <row r="136" spans="1:13" x14ac:dyDescent="0.25">
      <c r="B136" s="69"/>
      <c r="C136" s="69"/>
      <c r="D136" s="69"/>
      <c r="E136" s="69"/>
      <c r="F136" s="69"/>
      <c r="G136" s="69"/>
      <c r="H136" s="65"/>
      <c r="I136" s="101"/>
    </row>
    <row r="137" spans="1:13" x14ac:dyDescent="0.25">
      <c r="A137" s="3" t="s">
        <v>75</v>
      </c>
      <c r="B137" s="69"/>
      <c r="C137" s="140"/>
      <c r="D137" s="69"/>
      <c r="F137" s="69"/>
      <c r="G137" s="69"/>
      <c r="H137" s="65"/>
      <c r="I137" s="272">
        <f>SUM('1461:4131'!I139)</f>
        <v>-150000039.19</v>
      </c>
    </row>
    <row r="138" spans="1:13" x14ac:dyDescent="0.25">
      <c r="B138" s="69"/>
      <c r="C138" s="69"/>
      <c r="D138" s="69"/>
      <c r="E138" s="69"/>
      <c r="F138" s="69"/>
      <c r="G138" s="69"/>
      <c r="H138" s="65"/>
      <c r="I138" s="101"/>
    </row>
    <row r="139" spans="1:13" x14ac:dyDescent="0.25">
      <c r="A139" s="3" t="s">
        <v>247</v>
      </c>
      <c r="B139" s="69"/>
      <c r="C139" s="69"/>
      <c r="D139" s="69"/>
      <c r="E139" s="69"/>
      <c r="F139" s="69"/>
      <c r="G139" s="69"/>
      <c r="H139" s="65"/>
      <c r="I139" s="101">
        <f>SUM('1461:4131'!I141)</f>
        <v>50351321.219999991</v>
      </c>
    </row>
    <row r="140" spans="1:13" x14ac:dyDescent="0.25">
      <c r="A140" s="3"/>
      <c r="B140" s="69"/>
      <c r="C140" s="69"/>
      <c r="D140" s="69"/>
      <c r="E140" s="69"/>
      <c r="F140" s="69"/>
      <c r="G140" s="69"/>
      <c r="H140" s="65"/>
      <c r="I140" s="101"/>
    </row>
    <row r="141" spans="1:13" x14ac:dyDescent="0.25">
      <c r="A141" s="3" t="s">
        <v>248</v>
      </c>
      <c r="B141" s="69"/>
      <c r="C141" s="69"/>
      <c r="D141" s="69"/>
      <c r="E141" s="69"/>
      <c r="F141" s="69"/>
      <c r="G141" s="69"/>
      <c r="H141" s="65"/>
      <c r="I141" s="273">
        <f>'1461'!I143</f>
        <v>3</v>
      </c>
    </row>
    <row r="142" spans="1:13" x14ac:dyDescent="0.25">
      <c r="B142" s="69"/>
      <c r="C142" s="69"/>
      <c r="D142" s="69"/>
      <c r="E142" s="69"/>
      <c r="F142" s="69"/>
      <c r="G142" s="69"/>
      <c r="H142" s="65"/>
      <c r="I142" s="101"/>
    </row>
    <row r="143" spans="1:13" ht="16.5" thickBot="1" x14ac:dyDescent="0.3">
      <c r="A143" s="3" t="s">
        <v>76</v>
      </c>
      <c r="B143" s="69"/>
      <c r="C143" s="69"/>
      <c r="D143" s="69"/>
      <c r="E143" s="69"/>
      <c r="F143" s="69"/>
      <c r="G143" s="69"/>
      <c r="H143" s="65"/>
      <c r="I143" s="155">
        <f>SUM('1461:4131'!I145)</f>
        <v>16783773.719999999</v>
      </c>
      <c r="K143" s="419"/>
      <c r="L143" s="419"/>
      <c r="M143" s="419"/>
    </row>
    <row r="144" spans="1:13" s="135" customFormat="1" ht="16.5" thickTop="1" x14ac:dyDescent="0.25">
      <c r="A144" s="426"/>
      <c r="B144" s="426"/>
      <c r="C144" s="427"/>
      <c r="D144" s="428"/>
      <c r="E144" s="429"/>
      <c r="F144" s="223"/>
      <c r="G144" s="430"/>
      <c r="H144" s="431"/>
      <c r="I144" s="425"/>
    </row>
    <row r="145" spans="1:8" x14ac:dyDescent="0.25">
      <c r="A145" s="531" t="s">
        <v>7</v>
      </c>
      <c r="B145" s="531"/>
      <c r="C145" s="531"/>
      <c r="D145" s="531"/>
      <c r="E145" s="531"/>
      <c r="F145" s="531"/>
      <c r="G145" s="531"/>
      <c r="H145" s="531"/>
    </row>
    <row r="146" spans="1:8" ht="26.25" customHeight="1" x14ac:dyDescent="0.25">
      <c r="A146" s="532" t="s">
        <v>461</v>
      </c>
      <c r="B146" s="532"/>
      <c r="C146" s="532"/>
      <c r="D146" s="532"/>
      <c r="E146" s="532"/>
      <c r="F146" s="532"/>
      <c r="G146" s="532"/>
      <c r="H146" s="532"/>
    </row>
    <row r="147" spans="1:8" x14ac:dyDescent="0.25">
      <c r="A147" s="531" t="s">
        <v>367</v>
      </c>
      <c r="B147" s="531"/>
      <c r="C147" s="531"/>
      <c r="D147" s="531"/>
      <c r="E147" s="531"/>
      <c r="F147" s="531"/>
      <c r="G147" s="531"/>
      <c r="H147" s="531"/>
    </row>
    <row r="148" spans="1:8" x14ac:dyDescent="0.25">
      <c r="A148" s="531" t="s">
        <v>368</v>
      </c>
      <c r="B148" s="531"/>
      <c r="C148" s="531"/>
      <c r="D148" s="531"/>
      <c r="E148" s="531"/>
      <c r="F148" s="531"/>
      <c r="G148" s="531"/>
      <c r="H148" s="531"/>
    </row>
    <row r="149" spans="1:8" x14ac:dyDescent="0.25">
      <c r="A149" s="531" t="s">
        <v>369</v>
      </c>
      <c r="B149" s="531"/>
      <c r="C149" s="531"/>
      <c r="D149" s="531"/>
      <c r="E149" s="531"/>
      <c r="F149" s="531"/>
      <c r="G149" s="531"/>
      <c r="H149" s="531"/>
    </row>
    <row r="150" spans="1:8" x14ac:dyDescent="0.25">
      <c r="A150" s="531" t="s">
        <v>370</v>
      </c>
      <c r="B150" s="531"/>
      <c r="C150" s="531"/>
      <c r="D150" s="531"/>
      <c r="E150" s="531"/>
      <c r="F150" s="531"/>
      <c r="G150" s="531"/>
      <c r="H150" s="531"/>
    </row>
    <row r="151" spans="1:8" x14ac:dyDescent="0.25">
      <c r="A151" s="531" t="s">
        <v>371</v>
      </c>
      <c r="B151" s="531"/>
      <c r="C151" s="531"/>
      <c r="D151" s="531"/>
      <c r="E151" s="531"/>
      <c r="F151" s="531"/>
      <c r="G151" s="531"/>
      <c r="H151" s="531"/>
    </row>
    <row r="152" spans="1:8" ht="26.25" customHeight="1" x14ac:dyDescent="0.25">
      <c r="A152" s="564" t="s">
        <v>462</v>
      </c>
      <c r="B152" s="564"/>
      <c r="C152" s="564"/>
      <c r="D152" s="564"/>
      <c r="E152" s="564"/>
      <c r="F152" s="564"/>
      <c r="G152" s="564"/>
      <c r="H152" s="564"/>
    </row>
    <row r="153" spans="1:8" ht="26.25" customHeight="1" x14ac:dyDescent="0.25">
      <c r="A153" s="532" t="s">
        <v>463</v>
      </c>
      <c r="B153" s="532"/>
      <c r="C153" s="532"/>
      <c r="D153" s="532"/>
      <c r="E153" s="532"/>
      <c r="F153" s="532"/>
      <c r="G153" s="532"/>
      <c r="H153" s="532"/>
    </row>
    <row r="154" spans="1:8" ht="26.25" customHeight="1" x14ac:dyDescent="0.25">
      <c r="A154" s="532" t="s">
        <v>377</v>
      </c>
      <c r="B154" s="532"/>
      <c r="C154" s="532"/>
      <c r="D154" s="532"/>
      <c r="E154" s="532"/>
      <c r="F154" s="532"/>
      <c r="G154" s="532"/>
      <c r="H154" s="532"/>
    </row>
    <row r="155" spans="1:8" ht="16.5" customHeight="1" x14ac:dyDescent="0.25">
      <c r="A155" s="493" t="s">
        <v>288</v>
      </c>
      <c r="B155" s="493"/>
      <c r="C155" s="493"/>
      <c r="D155" s="493"/>
      <c r="E155" s="493"/>
      <c r="F155" s="493"/>
      <c r="G155" s="493"/>
      <c r="H155" s="493"/>
    </row>
    <row r="156" spans="1:8" ht="26.25" customHeight="1" x14ac:dyDescent="0.25">
      <c r="A156" s="564" t="s">
        <v>464</v>
      </c>
      <c r="B156" s="564"/>
      <c r="C156" s="564"/>
      <c r="D156" s="564"/>
      <c r="E156" s="564"/>
      <c r="F156" s="564"/>
      <c r="G156" s="564"/>
      <c r="H156" s="564"/>
    </row>
    <row r="157" spans="1:8" ht="26.25" customHeight="1" x14ac:dyDescent="0.25">
      <c r="A157" s="564" t="s">
        <v>465</v>
      </c>
      <c r="B157" s="564"/>
      <c r="C157" s="564"/>
      <c r="D157" s="564"/>
      <c r="E157" s="564"/>
      <c r="F157" s="564"/>
      <c r="G157" s="564"/>
      <c r="H157" s="564"/>
    </row>
    <row r="158" spans="1:8" x14ac:dyDescent="0.25">
      <c r="A158" s="563" t="s">
        <v>67</v>
      </c>
      <c r="B158" s="564"/>
      <c r="C158" s="564"/>
      <c r="D158" s="564"/>
      <c r="E158" s="564"/>
      <c r="F158" s="564"/>
      <c r="G158" s="564"/>
      <c r="H158" s="564"/>
    </row>
    <row r="159" spans="1:8" ht="54.75" customHeight="1" x14ac:dyDescent="0.25">
      <c r="A159" s="565" t="s">
        <v>466</v>
      </c>
      <c r="B159" s="565"/>
      <c r="C159" s="565"/>
      <c r="D159" s="565"/>
      <c r="E159" s="565"/>
      <c r="F159" s="565"/>
      <c r="G159" s="565"/>
      <c r="H159" s="565"/>
    </row>
    <row r="160" spans="1:8" ht="42.75" customHeight="1" x14ac:dyDescent="0.25">
      <c r="A160" s="565" t="s">
        <v>467</v>
      </c>
      <c r="B160" s="565"/>
      <c r="C160" s="565"/>
      <c r="D160" s="565"/>
      <c r="E160" s="565"/>
      <c r="F160" s="565"/>
      <c r="G160" s="565"/>
      <c r="H160" s="565"/>
    </row>
    <row r="161" spans="1:8" x14ac:dyDescent="0.25">
      <c r="A161" s="494"/>
      <c r="B161" s="494"/>
      <c r="C161" s="494"/>
      <c r="D161" s="494"/>
      <c r="E161" s="494"/>
      <c r="F161" s="494"/>
      <c r="G161" s="494"/>
      <c r="H161" s="494"/>
    </row>
    <row r="162" spans="1:8" x14ac:dyDescent="0.25">
      <c r="A162" s="566" t="s">
        <v>68</v>
      </c>
      <c r="B162" s="566"/>
      <c r="C162" s="566"/>
      <c r="D162" s="566"/>
      <c r="E162" s="566"/>
      <c r="F162" s="566"/>
      <c r="G162" s="566"/>
      <c r="H162" s="566"/>
    </row>
    <row r="163" spans="1:8" ht="26.25" customHeight="1" x14ac:dyDescent="0.25">
      <c r="A163" s="565" t="s">
        <v>468</v>
      </c>
      <c r="B163" s="565"/>
      <c r="C163" s="565"/>
      <c r="D163" s="565"/>
      <c r="E163" s="565"/>
      <c r="F163" s="565"/>
      <c r="G163" s="565"/>
      <c r="H163" s="565"/>
    </row>
    <row r="164" spans="1:8" x14ac:dyDescent="0.25">
      <c r="A164" s="567" t="s">
        <v>11</v>
      </c>
      <c r="B164" s="567"/>
      <c r="C164" s="567"/>
      <c r="D164" s="567"/>
      <c r="E164" s="567"/>
      <c r="F164" s="567"/>
      <c r="G164" s="567"/>
      <c r="H164" s="567"/>
    </row>
  </sheetData>
  <mergeCells count="114">
    <mergeCell ref="A158:H158"/>
    <mergeCell ref="A159:H159"/>
    <mergeCell ref="A160:H160"/>
    <mergeCell ref="A162:H162"/>
    <mergeCell ref="A163:H163"/>
    <mergeCell ref="A164:H164"/>
    <mergeCell ref="C102:D102"/>
    <mergeCell ref="C103:D103"/>
    <mergeCell ref="C104:D104"/>
    <mergeCell ref="A124:C124"/>
    <mergeCell ref="A152:H152"/>
    <mergeCell ref="A153:H153"/>
    <mergeCell ref="A154:H154"/>
    <mergeCell ref="A156:H156"/>
    <mergeCell ref="A157:H157"/>
    <mergeCell ref="F124:H124"/>
    <mergeCell ref="A126:H126"/>
    <mergeCell ref="A130:G130"/>
    <mergeCell ref="A131:G131"/>
    <mergeCell ref="A120:B120"/>
    <mergeCell ref="F120:G120"/>
    <mergeCell ref="A121:B121"/>
    <mergeCell ref="F121:G121"/>
    <mergeCell ref="A115:C115"/>
    <mergeCell ref="A41:B41"/>
    <mergeCell ref="A42:B42"/>
    <mergeCell ref="A43:B43"/>
    <mergeCell ref="A44:B44"/>
    <mergeCell ref="A80:B80"/>
    <mergeCell ref="D80:G80"/>
    <mergeCell ref="C100:D100"/>
    <mergeCell ref="C101:D101"/>
    <mergeCell ref="C105:D105"/>
    <mergeCell ref="A77:B77"/>
    <mergeCell ref="D77:G77"/>
    <mergeCell ref="A71:B71"/>
    <mergeCell ref="D71:G71"/>
    <mergeCell ref="A74:B74"/>
    <mergeCell ref="D74:G74"/>
    <mergeCell ref="A88:C88"/>
    <mergeCell ref="A89:C89"/>
    <mergeCell ref="A95:C95"/>
    <mergeCell ref="A97:C97"/>
    <mergeCell ref="A83:B83"/>
    <mergeCell ref="D83:G83"/>
    <mergeCell ref="A59:B67"/>
    <mergeCell ref="F68:H68"/>
    <mergeCell ref="A29:B29"/>
    <mergeCell ref="F29:G29"/>
    <mergeCell ref="A30:B30"/>
    <mergeCell ref="F30:G30"/>
    <mergeCell ref="F31:G31"/>
    <mergeCell ref="A32:B32"/>
    <mergeCell ref="A38:B38"/>
    <mergeCell ref="A39:B39"/>
    <mergeCell ref="A40:B40"/>
    <mergeCell ref="A24:B24"/>
    <mergeCell ref="F24:G24"/>
    <mergeCell ref="A25:B25"/>
    <mergeCell ref="F25:G25"/>
    <mergeCell ref="A26:B26"/>
    <mergeCell ref="F26:G26"/>
    <mergeCell ref="A27:B27"/>
    <mergeCell ref="F27:G27"/>
    <mergeCell ref="A28:B28"/>
    <mergeCell ref="F28:G28"/>
    <mergeCell ref="A19:B19"/>
    <mergeCell ref="F19:G19"/>
    <mergeCell ref="A20:B20"/>
    <mergeCell ref="F20:G20"/>
    <mergeCell ref="A21:B21"/>
    <mergeCell ref="F21:G21"/>
    <mergeCell ref="A22:B22"/>
    <mergeCell ref="F22:G22"/>
    <mergeCell ref="A23:B23"/>
    <mergeCell ref="F23:G23"/>
    <mergeCell ref="A14:B14"/>
    <mergeCell ref="F14:G14"/>
    <mergeCell ref="A15:B15"/>
    <mergeCell ref="F15:G15"/>
    <mergeCell ref="A16:B16"/>
    <mergeCell ref="F16:G16"/>
    <mergeCell ref="A17:B17"/>
    <mergeCell ref="F17:G17"/>
    <mergeCell ref="A18:B18"/>
    <mergeCell ref="F18:G18"/>
    <mergeCell ref="B1:I1"/>
    <mergeCell ref="A4:B4"/>
    <mergeCell ref="C4:E4"/>
    <mergeCell ref="A7:I7"/>
    <mergeCell ref="F11:G11"/>
    <mergeCell ref="A12:B12"/>
    <mergeCell ref="F12:G12"/>
    <mergeCell ref="A13:B13"/>
    <mergeCell ref="F13:G13"/>
    <mergeCell ref="A151:H151"/>
    <mergeCell ref="A112:B112"/>
    <mergeCell ref="A119:B119"/>
    <mergeCell ref="F119:G119"/>
    <mergeCell ref="A122:B122"/>
    <mergeCell ref="F115:I115"/>
    <mergeCell ref="C116:E116"/>
    <mergeCell ref="F117:G117"/>
    <mergeCell ref="A118:B118"/>
    <mergeCell ref="F118:G118"/>
    <mergeCell ref="A106:I106"/>
    <mergeCell ref="F108:I108"/>
    <mergeCell ref="A111:B111"/>
    <mergeCell ref="A145:H145"/>
    <mergeCell ref="A146:H146"/>
    <mergeCell ref="A147:H147"/>
    <mergeCell ref="A148:H148"/>
    <mergeCell ref="A149:H149"/>
    <mergeCell ref="A150:H150"/>
  </mergeCells>
  <pageMargins left="0.75" right="0.1" top="0.5" bottom="0.5" header="0" footer="0.1"/>
  <pageSetup scale="65" fitToHeight="2" orientation="portrait" r:id="rId1"/>
  <headerFooter alignWithMargins="0">
    <oddFooter>&amp;L&amp;8&amp;Z&amp;F&amp;R&amp;8&amp;P / &amp;N</oddFooter>
  </headerFooter>
  <rowBreaks count="1" manualBreakCount="1">
    <brk id="84" max="16383" man="1"/>
  </rowBreaks>
  <colBreaks count="1" manualBreakCount="1">
    <brk id="9"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7">
    <tabColor rgb="FFFFCCCC"/>
  </sheetPr>
  <dimension ref="A1:V221"/>
  <sheetViews>
    <sheetView topLeftCell="A102" workbookViewId="0">
      <selection activeCell="D63" sqref="D63:D64"/>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317</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0</v>
      </c>
      <c r="D14" s="141">
        <v>0</v>
      </c>
      <c r="E14" s="187">
        <f>IF(D$30=0,C14*2,C14+D14)</f>
        <v>0</v>
      </c>
      <c r="F14" s="639">
        <f>'1461'!F14:G14</f>
        <v>1.1220000000000001</v>
      </c>
      <c r="G14" s="639"/>
      <c r="H14" s="145">
        <f>ROUND(E14*F14,4)</f>
        <v>0</v>
      </c>
      <c r="I14" s="111">
        <f>ROUND(ROUND(ROUND(H14*$C$8,4)*($H$8),2)*(MAX($H$9,1)),2)</f>
        <v>0</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0</v>
      </c>
      <c r="D15" s="143">
        <v>0</v>
      </c>
      <c r="E15" s="116">
        <f t="shared" ref="E15:E29" si="1">IF(D$30=0,C15*2,C15+D15)</f>
        <v>0</v>
      </c>
      <c r="F15" s="635">
        <f>'1461'!F15:G15</f>
        <v>1.1220000000000001</v>
      </c>
      <c r="G15" s="635"/>
      <c r="H15" s="80">
        <f t="shared" ref="H15:H29" si="2">ROUND(E15*F15,4)</f>
        <v>0</v>
      </c>
      <c r="I15" s="101">
        <f t="shared" ref="I15:I29" si="3">ROUND(ROUND(ROUND(H15*$C$8,4)*($H$8),2)*(MAX($H$9,1)),2)</f>
        <v>0</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0</v>
      </c>
      <c r="D16" s="143">
        <v>0</v>
      </c>
      <c r="E16" s="116">
        <f t="shared" si="1"/>
        <v>0</v>
      </c>
      <c r="F16" s="635">
        <f>'1461'!F16:G16</f>
        <v>1</v>
      </c>
      <c r="G16" s="635"/>
      <c r="H16" s="80">
        <f t="shared" si="2"/>
        <v>0</v>
      </c>
      <c r="I16" s="101">
        <f t="shared" si="3"/>
        <v>0</v>
      </c>
      <c r="N16" s="573" t="s">
        <v>22</v>
      </c>
      <c r="O16" s="573"/>
      <c r="P16" s="614">
        <f t="shared" si="0"/>
        <v>0</v>
      </c>
      <c r="Q16" s="614"/>
      <c r="R16" s="619">
        <v>1</v>
      </c>
      <c r="S16" s="619"/>
      <c r="T16" s="95">
        <f t="shared" si="4"/>
        <v>0</v>
      </c>
      <c r="U16" s="474">
        <f t="shared" si="5"/>
        <v>0</v>
      </c>
    </row>
    <row r="17" spans="1:21" x14ac:dyDescent="0.25">
      <c r="A17" s="550" t="s">
        <v>23</v>
      </c>
      <c r="B17" s="550"/>
      <c r="C17" s="143">
        <v>0</v>
      </c>
      <c r="D17" s="143">
        <v>0</v>
      </c>
      <c r="E17" s="116">
        <f t="shared" si="1"/>
        <v>0</v>
      </c>
      <c r="F17" s="635">
        <f>'1461'!F17:G17</f>
        <v>1</v>
      </c>
      <c r="G17" s="635"/>
      <c r="H17" s="80">
        <f t="shared" si="2"/>
        <v>0</v>
      </c>
      <c r="I17" s="101">
        <f t="shared" si="3"/>
        <v>0</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245.98</v>
      </c>
      <c r="D18" s="143">
        <v>268.41000000000003</v>
      </c>
      <c r="E18" s="116">
        <f t="shared" si="1"/>
        <v>514.39</v>
      </c>
      <c r="F18" s="635">
        <f>'1461'!F18:G18</f>
        <v>0.98799999999999999</v>
      </c>
      <c r="G18" s="635"/>
      <c r="H18" s="80">
        <f t="shared" si="2"/>
        <v>508.21730000000002</v>
      </c>
      <c r="I18" s="101">
        <f t="shared" si="3"/>
        <v>2727554.51</v>
      </c>
      <c r="N18" s="573" t="s">
        <v>24</v>
      </c>
      <c r="O18" s="573"/>
      <c r="P18" s="614">
        <f t="shared" si="0"/>
        <v>0</v>
      </c>
      <c r="Q18" s="614"/>
      <c r="R18" s="619">
        <v>1</v>
      </c>
      <c r="S18" s="619"/>
      <c r="T18" s="95">
        <f t="shared" si="4"/>
        <v>0</v>
      </c>
      <c r="U18" s="474">
        <f t="shared" si="5"/>
        <v>0</v>
      </c>
    </row>
    <row r="19" spans="1:21" x14ac:dyDescent="0.25">
      <c r="A19" s="550" t="s">
        <v>25</v>
      </c>
      <c r="B19" s="550"/>
      <c r="C19" s="143">
        <v>46.43</v>
      </c>
      <c r="D19" s="143">
        <v>48.4</v>
      </c>
      <c r="E19" s="116">
        <f t="shared" si="1"/>
        <v>94.83</v>
      </c>
      <c r="F19" s="635">
        <f>'1461'!F19:G19</f>
        <v>0.98799999999999999</v>
      </c>
      <c r="G19" s="635"/>
      <c r="H19" s="80">
        <f t="shared" si="2"/>
        <v>93.691999999999993</v>
      </c>
      <c r="I19" s="101">
        <f t="shared" si="3"/>
        <v>502836.16</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0</v>
      </c>
      <c r="D26" s="143">
        <v>0</v>
      </c>
      <c r="E26" s="116">
        <f t="shared" si="1"/>
        <v>0</v>
      </c>
      <c r="F26" s="635">
        <f>'1461'!F26:G26</f>
        <v>1.208</v>
      </c>
      <c r="G26" s="635"/>
      <c r="H26" s="80">
        <f t="shared" si="2"/>
        <v>0</v>
      </c>
      <c r="I26" s="101">
        <f t="shared" si="3"/>
        <v>0</v>
      </c>
      <c r="N26" s="573" t="s">
        <v>85</v>
      </c>
      <c r="O26" s="573"/>
      <c r="P26" s="614">
        <f t="shared" si="0"/>
        <v>0</v>
      </c>
      <c r="Q26" s="614"/>
      <c r="R26" s="619">
        <v>1</v>
      </c>
      <c r="S26" s="619"/>
      <c r="T26" s="95">
        <f t="shared" si="4"/>
        <v>0</v>
      </c>
      <c r="U26" s="474">
        <f t="shared" si="5"/>
        <v>0</v>
      </c>
    </row>
    <row r="27" spans="1:21" x14ac:dyDescent="0.25">
      <c r="A27" s="550" t="s">
        <v>86</v>
      </c>
      <c r="B27" s="550"/>
      <c r="C27" s="143">
        <v>0</v>
      </c>
      <c r="D27" s="143">
        <v>0</v>
      </c>
      <c r="E27" s="116">
        <f t="shared" si="1"/>
        <v>0</v>
      </c>
      <c r="F27" s="635">
        <f>'1461'!F27:G27</f>
        <v>1.208</v>
      </c>
      <c r="G27" s="635"/>
      <c r="H27" s="80">
        <f t="shared" si="2"/>
        <v>0</v>
      </c>
      <c r="I27" s="101">
        <f t="shared" si="3"/>
        <v>0</v>
      </c>
      <c r="N27" s="573" t="s">
        <v>86</v>
      </c>
      <c r="O27" s="573"/>
      <c r="P27" s="614">
        <f t="shared" si="0"/>
        <v>0</v>
      </c>
      <c r="Q27" s="614"/>
      <c r="R27" s="619">
        <v>1</v>
      </c>
      <c r="S27" s="619"/>
      <c r="T27" s="95">
        <f t="shared" si="4"/>
        <v>0</v>
      </c>
      <c r="U27" s="474">
        <f t="shared" si="5"/>
        <v>0</v>
      </c>
    </row>
    <row r="28" spans="1:21" x14ac:dyDescent="0.25">
      <c r="A28" s="550" t="s">
        <v>87</v>
      </c>
      <c r="B28" s="550"/>
      <c r="C28" s="143">
        <v>27.6</v>
      </c>
      <c r="D28" s="143">
        <v>29.15</v>
      </c>
      <c r="E28" s="116">
        <f t="shared" si="1"/>
        <v>56.75</v>
      </c>
      <c r="F28" s="635">
        <f>'1461'!F28:G28</f>
        <v>1.208</v>
      </c>
      <c r="G28" s="635"/>
      <c r="H28" s="80">
        <f t="shared" si="2"/>
        <v>68.554000000000002</v>
      </c>
      <c r="I28" s="101">
        <f t="shared" si="3"/>
        <v>367922.88</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320.01</v>
      </c>
      <c r="D30" s="94">
        <f>SUM(D14:D29)</f>
        <v>345.96</v>
      </c>
      <c r="E30" s="94">
        <f>SUM(E14:E29)</f>
        <v>665.97</v>
      </c>
      <c r="F30" s="554"/>
      <c r="G30" s="554"/>
      <c r="H30" s="99">
        <f>SUM(H14:H29)</f>
        <v>670.4633</v>
      </c>
      <c r="I30" s="94">
        <f>SUM(I14:I29)</f>
        <v>3598313.55</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670.4633</v>
      </c>
      <c r="F46" s="34"/>
      <c r="G46" s="106"/>
      <c r="H46" s="107" t="s">
        <v>98</v>
      </c>
      <c r="I46" s="94">
        <f>SUM(I44,I30)</f>
        <v>3598313.55</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3598313.55</v>
      </c>
      <c r="G51" s="109" t="s">
        <v>6</v>
      </c>
      <c r="H51" s="402">
        <v>4.5199999999999997E-2</v>
      </c>
      <c r="I51" s="101">
        <f>ROUND(F51*H51,2)</f>
        <v>162643.76999999999</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3598313.55</v>
      </c>
      <c r="G52" s="109" t="s">
        <v>6</v>
      </c>
      <c r="H52" s="402">
        <v>1.41E-2</v>
      </c>
      <c r="I52" s="101">
        <f>ROUND(F52*H52,2)</f>
        <v>50736.22</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213379.99</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0</v>
      </c>
      <c r="D57" s="143">
        <v>0</v>
      </c>
      <c r="E57" s="116">
        <f t="shared" ref="E57:E65" si="10">IF(D$66=0,C57*2,C57+D57)</f>
        <v>0</v>
      </c>
      <c r="F57" s="444" t="s">
        <v>434</v>
      </c>
      <c r="G57" s="444">
        <v>251</v>
      </c>
      <c r="H57" s="458">
        <f>'1461'!H57</f>
        <v>1047</v>
      </c>
      <c r="I57" s="101">
        <f>ROUND(E57*H57,2)</f>
        <v>0</v>
      </c>
      <c r="N57" s="590" t="s">
        <v>442</v>
      </c>
      <c r="O57" s="590"/>
      <c r="P57" s="593"/>
      <c r="Q57" s="593"/>
      <c r="R57" s="450" t="s">
        <v>434</v>
      </c>
      <c r="S57" s="450">
        <v>251</v>
      </c>
      <c r="T57" s="461">
        <f>H57</f>
        <v>1047</v>
      </c>
      <c r="U57" s="475">
        <f>ROUND(P57*T57,2)</f>
        <v>0</v>
      </c>
      <c r="V57" s="425"/>
    </row>
    <row r="58" spans="1:22" x14ac:dyDescent="0.25">
      <c r="A58" s="561"/>
      <c r="B58" s="561"/>
      <c r="C58" s="143">
        <v>0</v>
      </c>
      <c r="D58" s="143">
        <v>0</v>
      </c>
      <c r="E58" s="116">
        <f t="shared" si="10"/>
        <v>0</v>
      </c>
      <c r="F58" s="444" t="s">
        <v>434</v>
      </c>
      <c r="G58" s="444">
        <v>252</v>
      </c>
      <c r="H58" s="458">
        <f>'1461'!H58</f>
        <v>3380</v>
      </c>
      <c r="I58" s="101">
        <f t="shared" ref="I58:I65" si="11">ROUND(E58*H58,2)</f>
        <v>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0</v>
      </c>
      <c r="D60" s="143">
        <v>0</v>
      </c>
      <c r="E60" s="116">
        <f t="shared" si="10"/>
        <v>0</v>
      </c>
      <c r="F60" s="445" t="s">
        <v>13</v>
      </c>
      <c r="G60" s="444">
        <v>251</v>
      </c>
      <c r="H60" s="458">
        <f>'1461'!H60</f>
        <v>1173</v>
      </c>
      <c r="I60" s="101">
        <f t="shared" si="11"/>
        <v>0</v>
      </c>
      <c r="N60" s="591"/>
      <c r="O60" s="591"/>
      <c r="P60" s="594"/>
      <c r="Q60" s="594"/>
      <c r="R60" s="40" t="s">
        <v>13</v>
      </c>
      <c r="S60" s="450">
        <v>251</v>
      </c>
      <c r="T60" s="461">
        <f t="shared" si="12"/>
        <v>1173</v>
      </c>
      <c r="U60" s="475">
        <f t="shared" si="13"/>
        <v>0</v>
      </c>
      <c r="V60" s="425"/>
    </row>
    <row r="61" spans="1:22" x14ac:dyDescent="0.25">
      <c r="A61" s="561"/>
      <c r="B61" s="561"/>
      <c r="C61" s="143">
        <v>0</v>
      </c>
      <c r="D61" s="143">
        <v>0</v>
      </c>
      <c r="E61" s="116">
        <f t="shared" si="10"/>
        <v>0</v>
      </c>
      <c r="F61" s="445" t="s">
        <v>13</v>
      </c>
      <c r="G61" s="444">
        <v>252</v>
      </c>
      <c r="H61" s="458">
        <f>'1461'!H61</f>
        <v>3506</v>
      </c>
      <c r="I61" s="101">
        <f t="shared" si="11"/>
        <v>0</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45.93</v>
      </c>
      <c r="D63" s="143">
        <v>47.88</v>
      </c>
      <c r="E63" s="116">
        <f t="shared" si="10"/>
        <v>93.81</v>
      </c>
      <c r="F63" s="445" t="s">
        <v>14</v>
      </c>
      <c r="G63" s="444">
        <v>251</v>
      </c>
      <c r="H63" s="458">
        <f>'1461'!H63</f>
        <v>835</v>
      </c>
      <c r="I63" s="101">
        <f t="shared" si="11"/>
        <v>78331.350000000006</v>
      </c>
      <c r="N63" s="591"/>
      <c r="O63" s="591"/>
      <c r="P63" s="594"/>
      <c r="Q63" s="594"/>
      <c r="R63" s="40" t="s">
        <v>14</v>
      </c>
      <c r="S63" s="450">
        <v>251</v>
      </c>
      <c r="T63" s="461">
        <f t="shared" si="12"/>
        <v>835</v>
      </c>
      <c r="U63" s="475">
        <f t="shared" si="13"/>
        <v>0</v>
      </c>
      <c r="V63" s="425"/>
    </row>
    <row r="64" spans="1:22" x14ac:dyDescent="0.25">
      <c r="A64" s="561"/>
      <c r="B64" s="561"/>
      <c r="C64" s="143">
        <v>0.5</v>
      </c>
      <c r="D64" s="143">
        <v>0.52</v>
      </c>
      <c r="E64" s="116">
        <f t="shared" si="10"/>
        <v>1.02</v>
      </c>
      <c r="F64" s="445" t="s">
        <v>14</v>
      </c>
      <c r="G64" s="444">
        <v>252</v>
      </c>
      <c r="H64" s="458">
        <f>'1461'!H64</f>
        <v>3168</v>
      </c>
      <c r="I64" s="101">
        <f t="shared" si="11"/>
        <v>3231.36</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46.43</v>
      </c>
      <c r="D66" s="97">
        <f>SUM(D57:D65)</f>
        <v>48.400000000000006</v>
      </c>
      <c r="E66" s="97">
        <f>SUM(E57:E65)</f>
        <v>94.83</v>
      </c>
      <c r="F66" s="562" t="s">
        <v>443</v>
      </c>
      <c r="G66" s="562"/>
      <c r="H66" s="562"/>
      <c r="I66" s="97">
        <f>SUM(I57:I65)</f>
        <v>81562.710000000006</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665.97</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3.3E-3</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670.4633</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2.9520000000000002E-3</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665.97</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3.5720000000000001E-3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665.97</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3.3059999999999999E-3</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665.97</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3.5790000000000001E-3</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3.3059999999999999E-3</v>
      </c>
      <c r="I85" s="101">
        <f>ROUND(F85*H85,2)</f>
        <v>146486.51</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3.3E-3</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3.5790000000000001E-3</v>
      </c>
      <c r="I90" s="101">
        <f>ROUND(F90*H90,2)</f>
        <v>58250.66</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3.5720000000000001E-3</v>
      </c>
      <c r="I92" s="101">
        <f t="shared" ref="I92:I96" si="14">ROUND(F92*H92,2)</f>
        <v>36177.360000000001</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2.9520000000000002E-3</v>
      </c>
      <c r="I94" s="101">
        <f t="shared" si="14"/>
        <v>705521.13</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2.9520000000000002E-3</v>
      </c>
      <c r="I96" s="101">
        <f t="shared" si="14"/>
        <v>0</v>
      </c>
      <c r="N96" s="572" t="s">
        <v>418</v>
      </c>
      <c r="O96" s="573"/>
      <c r="P96" s="573"/>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475</v>
      </c>
      <c r="B98" s="512"/>
      <c r="C98" s="512"/>
      <c r="D98" s="512"/>
      <c r="E98" s="510" t="s">
        <v>3</v>
      </c>
      <c r="F98" s="291">
        <v>0</v>
      </c>
      <c r="G98" s="511" t="s">
        <v>6</v>
      </c>
      <c r="H98" s="423">
        <f>H70</f>
        <v>3.3E-3</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0</v>
      </c>
      <c r="D104" s="568"/>
      <c r="E104" s="46">
        <f>H8</f>
        <v>1.0442</v>
      </c>
      <c r="F104" s="304">
        <f>'1461'!F104</f>
        <v>947.59</v>
      </c>
      <c r="G104" s="39" t="s">
        <v>12</v>
      </c>
      <c r="H104" s="101">
        <f>ROUND(C104*E104*F104,2)</f>
        <v>0</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0</v>
      </c>
      <c r="D105" s="568"/>
      <c r="E105" s="46">
        <f>H8</f>
        <v>1.0442</v>
      </c>
      <c r="F105" s="304">
        <f>'1461'!F105</f>
        <v>904.74</v>
      </c>
      <c r="G105" s="39" t="s">
        <v>12</v>
      </c>
      <c r="H105" s="101">
        <f>ROUND(C105*E105*F105,2)</f>
        <v>0</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670.4633</v>
      </c>
      <c r="D106" s="568"/>
      <c r="E106" s="46">
        <f>H8</f>
        <v>1.0442</v>
      </c>
      <c r="F106" s="304">
        <f>'1461'!F106</f>
        <v>906.93</v>
      </c>
      <c r="G106" s="39" t="s">
        <v>12</v>
      </c>
      <c r="H106" s="94">
        <f>ROUND(C106*E106*F106,2)</f>
        <v>634939.68000000005</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670.4633</v>
      </c>
      <c r="D107" s="558"/>
      <c r="E107" s="123"/>
      <c r="F107" s="123"/>
      <c r="G107" s="123"/>
      <c r="H107" s="124" t="s">
        <v>100</v>
      </c>
      <c r="I107" s="101">
        <f>IF(A1=75,0,H106+H105+H104)</f>
        <v>634939.68000000005</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413</v>
      </c>
      <c r="D113" s="143">
        <v>0</v>
      </c>
      <c r="E113" s="116">
        <f>C113</f>
        <v>413</v>
      </c>
      <c r="F113" s="126" t="s">
        <v>30</v>
      </c>
      <c r="G113" s="305">
        <f>'1461'!G113</f>
        <v>548</v>
      </c>
      <c r="I113" s="101">
        <f>ROUND(G113*E113,2)</f>
        <v>226324</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16">
        <f>(C114+D114)/2</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5487575.5999999996</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5274195.6099999994</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5274195.6099999994</v>
      </c>
      <c r="I135" s="94">
        <f>ROUND(IF(E30=0,0,IF(E30&gt;250,-(((250/E30)*H135)*IF(G135="H",0.02,0.05)),IF(G135="H",-0.02*H135,-0.05*H135))),2)</f>
        <v>-98994.62</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5388580.9799999995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-780704.28-377049.44-377049.44-377049.44-377049.44-452107.54-489020.22-488989.04</f>
        <v>-3719018.84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1669562.1399999997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556520.71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164715.16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9">
    <tabColor rgb="FFFFCCCC"/>
  </sheetPr>
  <dimension ref="A1:V221"/>
  <sheetViews>
    <sheetView topLeftCell="A111" workbookViewId="0">
      <selection activeCell="F68" sqref="F68"/>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129</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106.18</v>
      </c>
      <c r="D14" s="141">
        <v>105.98</v>
      </c>
      <c r="E14" s="187">
        <f>IF(D$30=0,C14*2,C14+D14)</f>
        <v>212.16000000000003</v>
      </c>
      <c r="F14" s="639">
        <f>'1461'!F14:G14</f>
        <v>1.1220000000000001</v>
      </c>
      <c r="G14" s="639"/>
      <c r="H14" s="145">
        <f>ROUND(E14*F14,4)</f>
        <v>238.04349999999999</v>
      </c>
      <c r="I14" s="111">
        <f>ROUND(ROUND(ROUND(H14*$C$8,4)*($H$8),2)*(MAX($H$9,1)),2)</f>
        <v>1277557.1000000001</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11</v>
      </c>
      <c r="D15" s="143">
        <v>11</v>
      </c>
      <c r="E15" s="116">
        <f t="shared" ref="E15:E29" si="1">IF(D$30=0,C15*2,C15+D15)</f>
        <v>22</v>
      </c>
      <c r="F15" s="635">
        <f>'1461'!F15:G15</f>
        <v>1.1220000000000001</v>
      </c>
      <c r="G15" s="635"/>
      <c r="H15" s="80">
        <f t="shared" ref="H15:H29" si="2">ROUND(E15*F15,4)</f>
        <v>24.684000000000001</v>
      </c>
      <c r="I15" s="101">
        <f t="shared" ref="I15:I29" si="3">ROUND(ROUND(ROUND(H15*$C$8,4)*($H$8),2)*(MAX($H$9,1)),2)</f>
        <v>132476.71</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174.8</v>
      </c>
      <c r="D16" s="143">
        <v>171.83</v>
      </c>
      <c r="E16" s="116">
        <f t="shared" si="1"/>
        <v>346.63</v>
      </c>
      <c r="F16" s="635">
        <f>'1461'!F16:G16</f>
        <v>1</v>
      </c>
      <c r="G16" s="635"/>
      <c r="H16" s="80">
        <f t="shared" si="2"/>
        <v>346.63</v>
      </c>
      <c r="I16" s="101">
        <f t="shared" si="3"/>
        <v>1860330.65</v>
      </c>
      <c r="N16" s="573" t="s">
        <v>22</v>
      </c>
      <c r="O16" s="573"/>
      <c r="P16" s="614">
        <f t="shared" si="0"/>
        <v>0</v>
      </c>
      <c r="Q16" s="614"/>
      <c r="R16" s="619">
        <v>1</v>
      </c>
      <c r="S16" s="619"/>
      <c r="T16" s="95">
        <f t="shared" si="4"/>
        <v>0</v>
      </c>
      <c r="U16" s="474">
        <f t="shared" si="5"/>
        <v>0</v>
      </c>
    </row>
    <row r="17" spans="1:21" x14ac:dyDescent="0.25">
      <c r="A17" s="550" t="s">
        <v>23</v>
      </c>
      <c r="B17" s="550"/>
      <c r="C17" s="143">
        <v>20.5</v>
      </c>
      <c r="D17" s="143">
        <v>19.5</v>
      </c>
      <c r="E17" s="116">
        <f t="shared" si="1"/>
        <v>40</v>
      </c>
      <c r="F17" s="635">
        <f>'1461'!F17:G17</f>
        <v>1</v>
      </c>
      <c r="G17" s="635"/>
      <c r="H17" s="80">
        <f t="shared" si="2"/>
        <v>40</v>
      </c>
      <c r="I17" s="101">
        <f t="shared" si="3"/>
        <v>214676.24</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0</v>
      </c>
      <c r="D18" s="143">
        <v>0</v>
      </c>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0</v>
      </c>
      <c r="D19" s="143">
        <v>0</v>
      </c>
      <c r="E19" s="116">
        <f t="shared" si="1"/>
        <v>0</v>
      </c>
      <c r="F19" s="635">
        <f>'1461'!F19:G19</f>
        <v>0.98799999999999999</v>
      </c>
      <c r="G19" s="635"/>
      <c r="H19" s="80">
        <f t="shared" si="2"/>
        <v>0</v>
      </c>
      <c r="I19" s="101">
        <f t="shared" si="3"/>
        <v>0</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23.59</v>
      </c>
      <c r="D26" s="143">
        <v>25.57</v>
      </c>
      <c r="E26" s="116">
        <f t="shared" si="1"/>
        <v>49.16</v>
      </c>
      <c r="F26" s="635">
        <f>'1461'!F26:G26</f>
        <v>1.208</v>
      </c>
      <c r="G26" s="635"/>
      <c r="H26" s="80">
        <f t="shared" si="2"/>
        <v>59.385300000000001</v>
      </c>
      <c r="I26" s="101">
        <f t="shared" si="3"/>
        <v>318715.33</v>
      </c>
      <c r="N26" s="573" t="s">
        <v>85</v>
      </c>
      <c r="O26" s="573"/>
      <c r="P26" s="614">
        <f t="shared" si="0"/>
        <v>0</v>
      </c>
      <c r="Q26" s="614"/>
      <c r="R26" s="619">
        <v>1</v>
      </c>
      <c r="S26" s="619"/>
      <c r="T26" s="95">
        <f t="shared" si="4"/>
        <v>0</v>
      </c>
      <c r="U26" s="474">
        <f t="shared" si="5"/>
        <v>0</v>
      </c>
    </row>
    <row r="27" spans="1:21" x14ac:dyDescent="0.25">
      <c r="A27" s="550" t="s">
        <v>86</v>
      </c>
      <c r="B27" s="550"/>
      <c r="C27" s="143">
        <v>19.2</v>
      </c>
      <c r="D27" s="143">
        <v>20.51</v>
      </c>
      <c r="E27" s="116">
        <f t="shared" si="1"/>
        <v>39.71</v>
      </c>
      <c r="F27" s="635">
        <f>'1461'!F27:G27</f>
        <v>1.208</v>
      </c>
      <c r="G27" s="635"/>
      <c r="H27" s="80">
        <f t="shared" si="2"/>
        <v>47.969700000000003</v>
      </c>
      <c r="I27" s="101">
        <f t="shared" si="3"/>
        <v>257448.87</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355.27</v>
      </c>
      <c r="D30" s="94">
        <f>SUM(D14:D29)</f>
        <v>354.39</v>
      </c>
      <c r="E30" s="94">
        <f>SUM(E14:E29)</f>
        <v>709.66</v>
      </c>
      <c r="F30" s="554"/>
      <c r="G30" s="554"/>
      <c r="H30" s="99">
        <f>SUM(H14:H29)</f>
        <v>756.71250000000009</v>
      </c>
      <c r="I30" s="94">
        <f>SUM(I14:I29)</f>
        <v>4061204.9000000004</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756.71250000000009</v>
      </c>
      <c r="F46" s="34"/>
      <c r="G46" s="106"/>
      <c r="H46" s="107" t="s">
        <v>98</v>
      </c>
      <c r="I46" s="94">
        <f>SUM(I44,I30)</f>
        <v>4061204.9000000004</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4061204.9000000004</v>
      </c>
      <c r="G51" s="109" t="s">
        <v>6</v>
      </c>
      <c r="H51" s="402">
        <v>4.5199999999999997E-2</v>
      </c>
      <c r="I51" s="101">
        <f>ROUND(F51*H51,2)</f>
        <v>183566.46</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4061204.9000000004</v>
      </c>
      <c r="G52" s="109" t="s">
        <v>6</v>
      </c>
      <c r="H52" s="402">
        <v>1.41E-2</v>
      </c>
      <c r="I52" s="101">
        <f>ROUND(F52*H52,2)</f>
        <v>57262.99</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240829.44999999998</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10.5</v>
      </c>
      <c r="D57" s="143">
        <v>10.5</v>
      </c>
      <c r="E57" s="116">
        <f t="shared" ref="E57:E65" si="10">IF(D$66=0,C57*2,C57+D57)</f>
        <v>21</v>
      </c>
      <c r="F57" s="444" t="s">
        <v>434</v>
      </c>
      <c r="G57" s="444">
        <v>251</v>
      </c>
      <c r="H57" s="458">
        <f>'1461'!H57</f>
        <v>1047</v>
      </c>
      <c r="I57" s="101">
        <f>ROUND(E57*H57,2)</f>
        <v>21987</v>
      </c>
      <c r="N57" s="590" t="s">
        <v>442</v>
      </c>
      <c r="O57" s="590"/>
      <c r="P57" s="593"/>
      <c r="Q57" s="593"/>
      <c r="R57" s="450" t="s">
        <v>434</v>
      </c>
      <c r="S57" s="450">
        <v>251</v>
      </c>
      <c r="T57" s="461">
        <f>H57</f>
        <v>1047</v>
      </c>
      <c r="U57" s="475">
        <f>ROUND(P57*T57,2)</f>
        <v>0</v>
      </c>
      <c r="V57" s="425"/>
    </row>
    <row r="58" spans="1:22" x14ac:dyDescent="0.25">
      <c r="A58" s="561"/>
      <c r="B58" s="561"/>
      <c r="C58" s="143">
        <v>0.5</v>
      </c>
      <c r="D58" s="143">
        <v>0.5</v>
      </c>
      <c r="E58" s="116">
        <f t="shared" si="10"/>
        <v>1</v>
      </c>
      <c r="F58" s="444" t="s">
        <v>434</v>
      </c>
      <c r="G58" s="444">
        <v>252</v>
      </c>
      <c r="H58" s="458">
        <f>'1461'!H58</f>
        <v>3380</v>
      </c>
      <c r="I58" s="101">
        <f t="shared" ref="I58:I65" si="11">ROUND(E58*H58,2)</f>
        <v>3380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16.5</v>
      </c>
      <c r="D60" s="143">
        <v>15.7</v>
      </c>
      <c r="E60" s="116">
        <f t="shared" si="10"/>
        <v>32.200000000000003</v>
      </c>
      <c r="F60" s="445" t="s">
        <v>13</v>
      </c>
      <c r="G60" s="444">
        <v>251</v>
      </c>
      <c r="H60" s="458">
        <f>'1461'!H60</f>
        <v>1173</v>
      </c>
      <c r="I60" s="101">
        <f t="shared" si="11"/>
        <v>37770.6</v>
      </c>
      <c r="N60" s="591"/>
      <c r="O60" s="591"/>
      <c r="P60" s="594"/>
      <c r="Q60" s="594"/>
      <c r="R60" s="40" t="s">
        <v>13</v>
      </c>
      <c r="S60" s="450">
        <v>251</v>
      </c>
      <c r="T60" s="461">
        <f t="shared" si="12"/>
        <v>1173</v>
      </c>
      <c r="U60" s="475">
        <f t="shared" si="13"/>
        <v>0</v>
      </c>
      <c r="V60" s="425"/>
    </row>
    <row r="61" spans="1:22" x14ac:dyDescent="0.25">
      <c r="A61" s="561"/>
      <c r="B61" s="561"/>
      <c r="C61" s="143">
        <v>4</v>
      </c>
      <c r="D61" s="143">
        <v>3.8</v>
      </c>
      <c r="E61" s="116">
        <f t="shared" si="10"/>
        <v>7.8</v>
      </c>
      <c r="F61" s="445" t="s">
        <v>13</v>
      </c>
      <c r="G61" s="444">
        <v>252</v>
      </c>
      <c r="H61" s="458">
        <f>'1461'!H61</f>
        <v>3506</v>
      </c>
      <c r="I61" s="101">
        <f t="shared" si="11"/>
        <v>27346.799999999999</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0</v>
      </c>
      <c r="D63" s="143">
        <v>0</v>
      </c>
      <c r="E63" s="116">
        <f t="shared" si="10"/>
        <v>0</v>
      </c>
      <c r="F63" s="445" t="s">
        <v>14</v>
      </c>
      <c r="G63" s="444">
        <v>251</v>
      </c>
      <c r="H63" s="458">
        <f>'1461'!H63</f>
        <v>835</v>
      </c>
      <c r="I63" s="101">
        <f t="shared" si="11"/>
        <v>0</v>
      </c>
      <c r="N63" s="591"/>
      <c r="O63" s="591"/>
      <c r="P63" s="594"/>
      <c r="Q63" s="594"/>
      <c r="R63" s="40" t="s">
        <v>14</v>
      </c>
      <c r="S63" s="450">
        <v>251</v>
      </c>
      <c r="T63" s="461">
        <f t="shared" si="12"/>
        <v>835</v>
      </c>
      <c r="U63" s="475">
        <f t="shared" si="13"/>
        <v>0</v>
      </c>
      <c r="V63" s="425"/>
    </row>
    <row r="64" spans="1:22" x14ac:dyDescent="0.25">
      <c r="A64" s="561"/>
      <c r="B64" s="561"/>
      <c r="C64" s="143">
        <v>0</v>
      </c>
      <c r="D64" s="143">
        <v>0</v>
      </c>
      <c r="E64" s="116">
        <f t="shared" si="10"/>
        <v>0</v>
      </c>
      <c r="F64" s="445" t="s">
        <v>14</v>
      </c>
      <c r="G64" s="444">
        <v>252</v>
      </c>
      <c r="H64" s="458">
        <f>'1461'!H64</f>
        <v>3168</v>
      </c>
      <c r="I64" s="101">
        <f t="shared" si="11"/>
        <v>0</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31.5</v>
      </c>
      <c r="D66" s="97">
        <f>SUM(D57:D65)</f>
        <v>30.5</v>
      </c>
      <c r="E66" s="97">
        <f>SUM(E57:E65)</f>
        <v>62</v>
      </c>
      <c r="F66" s="562" t="s">
        <v>443</v>
      </c>
      <c r="G66" s="562"/>
      <c r="H66" s="562"/>
      <c r="I66" s="97">
        <f>SUM(I57:I65)</f>
        <v>90484.4</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709.66</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3.5170000000000002E-3</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756.71250000000009</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3.3319999999999999E-3</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709.66</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3.8059999999999999E-3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709.66</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3.5230000000000001E-3</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709.66</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3.813E-3</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3.5230000000000001E-3</v>
      </c>
      <c r="I85" s="101">
        <f>ROUND(F85*H85,2)</f>
        <v>156101.62</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3.5170000000000002E-3</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3.813E-3</v>
      </c>
      <c r="I90" s="101">
        <f>ROUND(F90*H90,2)</f>
        <v>62059.17</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3.8059999999999999E-3</v>
      </c>
      <c r="I92" s="101">
        <f t="shared" ref="I92:I96" si="14">ROUND(F92*H92,2)</f>
        <v>38547.32</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3.3319999999999999E-3</v>
      </c>
      <c r="I94" s="101">
        <f t="shared" si="14"/>
        <v>796340.25</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3.3319999999999999E-3</v>
      </c>
      <c r="I96" s="101">
        <f t="shared" si="14"/>
        <v>0</v>
      </c>
      <c r="N96" s="572" t="s">
        <v>418</v>
      </c>
      <c r="O96" s="573"/>
      <c r="P96" s="573"/>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475</v>
      </c>
      <c r="B98" s="512"/>
      <c r="C98" s="512"/>
      <c r="D98" s="512"/>
      <c r="E98" s="510" t="s">
        <v>3</v>
      </c>
      <c r="F98" s="291">
        <v>0</v>
      </c>
      <c r="G98" s="511" t="s">
        <v>6</v>
      </c>
      <c r="H98" s="423">
        <f>H70</f>
        <v>3.5170000000000002E-3</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322.11279999999999</v>
      </c>
      <c r="D104" s="568"/>
      <c r="E104" s="46">
        <f>H8</f>
        <v>1.0442</v>
      </c>
      <c r="F104" s="304">
        <f>'1461'!F104</f>
        <v>947.59</v>
      </c>
      <c r="G104" s="39" t="s">
        <v>12</v>
      </c>
      <c r="H104" s="101">
        <f>ROUND(C104*E104*F104,2)</f>
        <v>318722.07</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434.59969999999998</v>
      </c>
      <c r="D105" s="568"/>
      <c r="E105" s="46">
        <f>H8</f>
        <v>1.0442</v>
      </c>
      <c r="F105" s="304">
        <f>'1461'!F105</f>
        <v>904.74</v>
      </c>
      <c r="G105" s="39" t="s">
        <v>12</v>
      </c>
      <c r="H105" s="101">
        <f>ROUND(C105*E105*F105,2)</f>
        <v>410579.16</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0</v>
      </c>
      <c r="D106" s="568"/>
      <c r="E106" s="46">
        <f>H8</f>
        <v>1.0442</v>
      </c>
      <c r="F106" s="304">
        <f>'1461'!F106</f>
        <v>906.93</v>
      </c>
      <c r="G106" s="39" t="s">
        <v>12</v>
      </c>
      <c r="H106" s="94">
        <f>ROUND(C106*E106*F106,2)</f>
        <v>0</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756.71249999999998</v>
      </c>
      <c r="D107" s="558"/>
      <c r="E107" s="123"/>
      <c r="F107" s="123"/>
      <c r="G107" s="123"/>
      <c r="H107" s="124" t="s">
        <v>100</v>
      </c>
      <c r="I107" s="101">
        <f>IF(A1=75,0,H106+H105+H104)</f>
        <v>729301.23</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91</v>
      </c>
      <c r="D113" s="143">
        <v>0</v>
      </c>
      <c r="E113" s="116">
        <f>C113</f>
        <v>91</v>
      </c>
      <c r="F113" s="126" t="s">
        <v>30</v>
      </c>
      <c r="G113" s="305">
        <f>'1461'!G113</f>
        <v>548</v>
      </c>
      <c r="I113" s="101">
        <f>ROUND(G113*E113,2)</f>
        <v>49868</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16">
        <f>(C114+D114)/2</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5983906.8900000006</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5743077.4400000004</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645" t="s">
        <v>480</v>
      </c>
      <c r="O132" s="646"/>
      <c r="P132" s="646"/>
      <c r="Q132" s="646"/>
      <c r="R132" s="646"/>
      <c r="S132" s="646"/>
      <c r="T132" s="646"/>
      <c r="U132" s="138"/>
    </row>
    <row r="133" spans="1:21" x14ac:dyDescent="0.25">
      <c r="A133" s="550" t="s">
        <v>70</v>
      </c>
      <c r="B133" s="550"/>
      <c r="C133" s="550"/>
      <c r="D133" s="550"/>
      <c r="E133" s="550"/>
      <c r="F133" s="550"/>
      <c r="G133" s="550"/>
      <c r="H133" s="70" t="str">
        <f>IF(E30=0,"",IF((E15+E17+SUM(E19:E25))/E30&gt;0.75,1,""))</f>
        <v/>
      </c>
      <c r="I133" s="116">
        <f>U130</f>
        <v>0</v>
      </c>
      <c r="N133" s="646" t="s">
        <v>70</v>
      </c>
      <c r="O133" s="646"/>
      <c r="P133" s="646"/>
      <c r="Q133" s="646"/>
      <c r="R133" s="646"/>
      <c r="S133" s="646"/>
      <c r="T133" s="64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5743077.4400000004</v>
      </c>
      <c r="I135" s="94">
        <f>ROUND(IF(E30=0,0,IF(E30&gt;250,-(((250/E30)*H135)*IF(G135="H",0.02,0.05)),IF(G135="H",-0.02*H135,-0.05*H135))),2)</f>
        <v>-101158.96</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5882747.9300000006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-996968.76-486113.26-486113.26-486113.26-486113.26-483836.29-490981.12-492513.37</f>
        <v>-4408752.58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1473995.3500000006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491331.78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185994.91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0">
    <tabColor rgb="FFFFCCCC"/>
  </sheetPr>
  <dimension ref="A1:V221"/>
  <sheetViews>
    <sheetView topLeftCell="A114" workbookViewId="0">
      <selection activeCell="C31" sqref="C3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130</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151.69</v>
      </c>
      <c r="D14" s="141">
        <v>148.52000000000001</v>
      </c>
      <c r="E14" s="187">
        <f>IF(D$30=0,C14*2,C14+D14)</f>
        <v>300.21000000000004</v>
      </c>
      <c r="F14" s="639">
        <f>'1461'!F14:G14</f>
        <v>1.1220000000000001</v>
      </c>
      <c r="G14" s="639"/>
      <c r="H14" s="145">
        <f>ROUND(E14*F14,4)</f>
        <v>336.8356</v>
      </c>
      <c r="I14" s="111">
        <f>ROUND(ROUND(ROUND(H14*$C$8,4)*($H$8),2)*(MAX($H$9,1)),2)</f>
        <v>1807765.02</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21.5</v>
      </c>
      <c r="D15" s="143">
        <v>20</v>
      </c>
      <c r="E15" s="116">
        <f t="shared" ref="E15:E29" si="1">IF(D$30=0,C15*2,C15+D15)</f>
        <v>41.5</v>
      </c>
      <c r="F15" s="635">
        <f>'1461'!F15:G15</f>
        <v>1.1220000000000001</v>
      </c>
      <c r="G15" s="635"/>
      <c r="H15" s="80">
        <f t="shared" ref="H15:H29" si="2">ROUND(E15*F15,4)</f>
        <v>46.563000000000002</v>
      </c>
      <c r="I15" s="101">
        <f t="shared" ref="I15:I29" si="3">ROUND(ROUND(ROUND(H15*$C$8,4)*($H$8),2)*(MAX($H$9,1)),2)</f>
        <v>249899.25</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210.56</v>
      </c>
      <c r="D16" s="143">
        <v>205.72</v>
      </c>
      <c r="E16" s="116">
        <f t="shared" si="1"/>
        <v>416.28</v>
      </c>
      <c r="F16" s="635">
        <f>'1461'!F16:G16</f>
        <v>1</v>
      </c>
      <c r="G16" s="635"/>
      <c r="H16" s="80">
        <f t="shared" si="2"/>
        <v>416.28</v>
      </c>
      <c r="I16" s="101">
        <f t="shared" si="3"/>
        <v>2234135.66</v>
      </c>
      <c r="N16" s="573" t="s">
        <v>22</v>
      </c>
      <c r="O16" s="573"/>
      <c r="P16" s="614">
        <f t="shared" si="0"/>
        <v>0</v>
      </c>
      <c r="Q16" s="614"/>
      <c r="R16" s="619">
        <v>1</v>
      </c>
      <c r="S16" s="619"/>
      <c r="T16" s="95">
        <f t="shared" si="4"/>
        <v>0</v>
      </c>
      <c r="U16" s="474">
        <f t="shared" si="5"/>
        <v>0</v>
      </c>
    </row>
    <row r="17" spans="1:21" x14ac:dyDescent="0.25">
      <c r="A17" s="550" t="s">
        <v>23</v>
      </c>
      <c r="B17" s="550"/>
      <c r="C17" s="143">
        <v>27.5</v>
      </c>
      <c r="D17" s="143">
        <v>27.05</v>
      </c>
      <c r="E17" s="116">
        <f t="shared" si="1"/>
        <v>54.55</v>
      </c>
      <c r="F17" s="635">
        <f>'1461'!F17:G17</f>
        <v>1</v>
      </c>
      <c r="G17" s="635"/>
      <c r="H17" s="80">
        <f t="shared" si="2"/>
        <v>54.55</v>
      </c>
      <c r="I17" s="101">
        <f t="shared" si="3"/>
        <v>292764.73</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0</v>
      </c>
      <c r="D18" s="143">
        <v>0</v>
      </c>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0</v>
      </c>
      <c r="D19" s="143">
        <v>0</v>
      </c>
      <c r="E19" s="116">
        <f t="shared" si="1"/>
        <v>0</v>
      </c>
      <c r="F19" s="635">
        <f>'1461'!F19:G19</f>
        <v>0.98799999999999999</v>
      </c>
      <c r="G19" s="635"/>
      <c r="H19" s="80">
        <f t="shared" si="2"/>
        <v>0</v>
      </c>
      <c r="I19" s="101">
        <f t="shared" si="3"/>
        <v>0</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89.32</v>
      </c>
      <c r="D26" s="143">
        <v>86.68</v>
      </c>
      <c r="E26" s="116">
        <f t="shared" si="1"/>
        <v>176</v>
      </c>
      <c r="F26" s="635">
        <f>'1461'!F26:G26</f>
        <v>1.208</v>
      </c>
      <c r="G26" s="635"/>
      <c r="H26" s="80">
        <f t="shared" si="2"/>
        <v>212.608</v>
      </c>
      <c r="I26" s="101">
        <f t="shared" si="3"/>
        <v>1141047.1599999999</v>
      </c>
      <c r="N26" s="573" t="s">
        <v>85</v>
      </c>
      <c r="O26" s="573"/>
      <c r="P26" s="614">
        <f t="shared" si="0"/>
        <v>0</v>
      </c>
      <c r="Q26" s="614"/>
      <c r="R26" s="619">
        <v>1</v>
      </c>
      <c r="S26" s="619"/>
      <c r="T26" s="95">
        <f t="shared" si="4"/>
        <v>0</v>
      </c>
      <c r="U26" s="474">
        <f t="shared" si="5"/>
        <v>0</v>
      </c>
    </row>
    <row r="27" spans="1:21" x14ac:dyDescent="0.25">
      <c r="A27" s="550" t="s">
        <v>86</v>
      </c>
      <c r="B27" s="550"/>
      <c r="C27" s="143">
        <v>52.44</v>
      </c>
      <c r="D27" s="143">
        <v>38.799999999999997</v>
      </c>
      <c r="E27" s="116">
        <f t="shared" si="1"/>
        <v>91.24</v>
      </c>
      <c r="F27" s="635">
        <f>'1461'!F27:G27</f>
        <v>1.208</v>
      </c>
      <c r="G27" s="635"/>
      <c r="H27" s="80">
        <f t="shared" si="2"/>
        <v>110.2179</v>
      </c>
      <c r="I27" s="101">
        <f t="shared" si="3"/>
        <v>591529.12</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553.01</v>
      </c>
      <c r="D30" s="94">
        <f>SUM(D14:D29)</f>
        <v>526.77</v>
      </c>
      <c r="E30" s="94">
        <f>SUM(E14:E29)</f>
        <v>1079.78</v>
      </c>
      <c r="F30" s="554"/>
      <c r="G30" s="554"/>
      <c r="H30" s="99">
        <f>SUM(H14:H29)</f>
        <v>1177.0545</v>
      </c>
      <c r="I30" s="94">
        <f>SUM(I14:I29)</f>
        <v>6317140.9400000004</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1177.0545</v>
      </c>
      <c r="F46" s="34"/>
      <c r="G46" s="106"/>
      <c r="H46" s="107" t="s">
        <v>98</v>
      </c>
      <c r="I46" s="94">
        <f>SUM(I44,I30)</f>
        <v>6317140.9400000004</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6317140.9400000004</v>
      </c>
      <c r="G51" s="109" t="s">
        <v>6</v>
      </c>
      <c r="H51" s="402">
        <v>4.5199999999999997E-2</v>
      </c>
      <c r="I51" s="101">
        <f>ROUND(F51*H51,2)</f>
        <v>285534.77</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6317140.9400000004</v>
      </c>
      <c r="G52" s="109" t="s">
        <v>6</v>
      </c>
      <c r="H52" s="402">
        <v>1.41E-2</v>
      </c>
      <c r="I52" s="101">
        <f>ROUND(F52*H52,2)</f>
        <v>89071.69</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374606.46</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16</v>
      </c>
      <c r="D57" s="143">
        <v>14.88</v>
      </c>
      <c r="E57" s="116">
        <f t="shared" ref="E57:E65" si="10">IF(D$66=0,C57*2,C57+D57)</f>
        <v>30.880000000000003</v>
      </c>
      <c r="F57" s="444" t="s">
        <v>434</v>
      </c>
      <c r="G57" s="444">
        <v>251</v>
      </c>
      <c r="H57" s="458">
        <f>'1461'!H57</f>
        <v>1047</v>
      </c>
      <c r="I57" s="101">
        <f>ROUND(E57*H57,2)</f>
        <v>32331.360000000001</v>
      </c>
      <c r="N57" s="590" t="s">
        <v>442</v>
      </c>
      <c r="O57" s="590"/>
      <c r="P57" s="593"/>
      <c r="Q57" s="593"/>
      <c r="R57" s="450" t="s">
        <v>434</v>
      </c>
      <c r="S57" s="450">
        <v>251</v>
      </c>
      <c r="T57" s="461">
        <f>H57</f>
        <v>1047</v>
      </c>
      <c r="U57" s="475">
        <f>ROUND(P57*T57,2)</f>
        <v>0</v>
      </c>
      <c r="V57" s="425"/>
    </row>
    <row r="58" spans="1:22" x14ac:dyDescent="0.25">
      <c r="A58" s="561"/>
      <c r="B58" s="561"/>
      <c r="C58" s="143">
        <v>5.5</v>
      </c>
      <c r="D58" s="143">
        <v>5.12</v>
      </c>
      <c r="E58" s="116">
        <f t="shared" si="10"/>
        <v>10.620000000000001</v>
      </c>
      <c r="F58" s="444" t="s">
        <v>434</v>
      </c>
      <c r="G58" s="444">
        <v>252</v>
      </c>
      <c r="H58" s="458">
        <f>'1461'!H58</f>
        <v>3380</v>
      </c>
      <c r="I58" s="101">
        <f t="shared" ref="I58:I65" si="11">ROUND(E58*H58,2)</f>
        <v>35895.599999999999</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24.5</v>
      </c>
      <c r="D60" s="143">
        <v>24.1</v>
      </c>
      <c r="E60" s="116">
        <f t="shared" si="10"/>
        <v>48.6</v>
      </c>
      <c r="F60" s="445" t="s">
        <v>13</v>
      </c>
      <c r="G60" s="444">
        <v>251</v>
      </c>
      <c r="H60" s="458">
        <f>'1461'!H60</f>
        <v>1173</v>
      </c>
      <c r="I60" s="101">
        <f t="shared" si="11"/>
        <v>57007.8</v>
      </c>
      <c r="N60" s="591"/>
      <c r="O60" s="591"/>
      <c r="P60" s="594"/>
      <c r="Q60" s="594"/>
      <c r="R60" s="40" t="s">
        <v>13</v>
      </c>
      <c r="S60" s="450">
        <v>251</v>
      </c>
      <c r="T60" s="461">
        <f t="shared" si="12"/>
        <v>1173</v>
      </c>
      <c r="U60" s="475">
        <f t="shared" si="13"/>
        <v>0</v>
      </c>
      <c r="V60" s="425"/>
    </row>
    <row r="61" spans="1:22" x14ac:dyDescent="0.25">
      <c r="A61" s="561"/>
      <c r="B61" s="561"/>
      <c r="C61" s="143">
        <v>3</v>
      </c>
      <c r="D61" s="143">
        <v>2.95</v>
      </c>
      <c r="E61" s="116">
        <f t="shared" si="10"/>
        <v>5.95</v>
      </c>
      <c r="F61" s="445" t="s">
        <v>13</v>
      </c>
      <c r="G61" s="444">
        <v>252</v>
      </c>
      <c r="H61" s="458">
        <f>'1461'!H61</f>
        <v>3506</v>
      </c>
      <c r="I61" s="101">
        <f t="shared" si="11"/>
        <v>20860.7</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0</v>
      </c>
      <c r="D63" s="143">
        <v>0</v>
      </c>
      <c r="E63" s="116">
        <f t="shared" si="10"/>
        <v>0</v>
      </c>
      <c r="F63" s="445" t="s">
        <v>14</v>
      </c>
      <c r="G63" s="444">
        <v>251</v>
      </c>
      <c r="H63" s="458">
        <f>'1461'!H63</f>
        <v>835</v>
      </c>
      <c r="I63" s="101">
        <f t="shared" si="11"/>
        <v>0</v>
      </c>
      <c r="N63" s="591"/>
      <c r="O63" s="591"/>
      <c r="P63" s="594"/>
      <c r="Q63" s="594"/>
      <c r="R63" s="40" t="s">
        <v>14</v>
      </c>
      <c r="S63" s="450">
        <v>251</v>
      </c>
      <c r="T63" s="461">
        <f t="shared" si="12"/>
        <v>835</v>
      </c>
      <c r="U63" s="475">
        <f t="shared" si="13"/>
        <v>0</v>
      </c>
      <c r="V63" s="425"/>
    </row>
    <row r="64" spans="1:22" x14ac:dyDescent="0.25">
      <c r="A64" s="561"/>
      <c r="B64" s="561"/>
      <c r="C64" s="143">
        <v>0</v>
      </c>
      <c r="D64" s="143">
        <v>0</v>
      </c>
      <c r="E64" s="116">
        <f t="shared" si="10"/>
        <v>0</v>
      </c>
      <c r="F64" s="445" t="s">
        <v>14</v>
      </c>
      <c r="G64" s="444">
        <v>252</v>
      </c>
      <c r="H64" s="458">
        <f>'1461'!H64</f>
        <v>3168</v>
      </c>
      <c r="I64" s="101">
        <f t="shared" si="11"/>
        <v>0</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49</v>
      </c>
      <c r="D66" s="97">
        <f>SUM(D57:D65)</f>
        <v>47.050000000000004</v>
      </c>
      <c r="E66" s="97">
        <f>SUM(E57:E65)</f>
        <v>96.05</v>
      </c>
      <c r="F66" s="562" t="s">
        <v>443</v>
      </c>
      <c r="G66" s="562"/>
      <c r="H66" s="562"/>
      <c r="I66" s="97">
        <f>SUM(I57:I65)</f>
        <v>146095.46</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1079.78</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5.3509999999999999E-3</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1177.0545</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5.1830000000000001E-3</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1079.78</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5.7920000000000003E-3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1079.78</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5.3600000000000002E-3</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1079.78</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5.8019999999999999E-3</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5.3600000000000002E-3</v>
      </c>
      <c r="I85" s="101">
        <f>ROUND(F85*H85,2)</f>
        <v>237497.78</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5.3509999999999999E-3</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5.8019999999999999E-3</v>
      </c>
      <c r="I90" s="101">
        <f>ROUND(F90*H90,2)</f>
        <v>94431.5</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5.7920000000000003E-3</v>
      </c>
      <c r="I92" s="101">
        <f t="shared" ref="I92:I96" si="14">ROUND(F92*H92,2)</f>
        <v>58661.599999999999</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5.1830000000000001E-3</v>
      </c>
      <c r="I94" s="101">
        <f t="shared" si="14"/>
        <v>1238724.94</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5.1830000000000001E-3</v>
      </c>
      <c r="I96" s="101">
        <f t="shared" si="14"/>
        <v>0</v>
      </c>
      <c r="N96" s="572" t="s">
        <v>418</v>
      </c>
      <c r="O96" s="573"/>
      <c r="P96" s="573"/>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475</v>
      </c>
      <c r="B98" s="512"/>
      <c r="C98" s="512"/>
      <c r="D98" s="512"/>
      <c r="E98" s="510" t="s">
        <v>3</v>
      </c>
      <c r="F98" s="291">
        <v>0</v>
      </c>
      <c r="G98" s="511" t="s">
        <v>6</v>
      </c>
      <c r="H98" s="423">
        <f>H70</f>
        <v>5.3509999999999999E-3</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596.00659999999993</v>
      </c>
      <c r="D104" s="568"/>
      <c r="E104" s="46">
        <f>H8</f>
        <v>1.0442</v>
      </c>
      <c r="F104" s="304">
        <f>'1461'!F104</f>
        <v>947.59</v>
      </c>
      <c r="G104" s="39" t="s">
        <v>12</v>
      </c>
      <c r="H104" s="101">
        <f>ROUND(C104*E104*F104,2)</f>
        <v>589732.72</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581.04790000000003</v>
      </c>
      <c r="D105" s="568"/>
      <c r="E105" s="46">
        <f>H8</f>
        <v>1.0442</v>
      </c>
      <c r="F105" s="304">
        <f>'1461'!F105</f>
        <v>904.74</v>
      </c>
      <c r="G105" s="39" t="s">
        <v>12</v>
      </c>
      <c r="H105" s="101">
        <f>ROUND(C105*E105*F105,2)</f>
        <v>548933.1</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0</v>
      </c>
      <c r="D106" s="568"/>
      <c r="E106" s="46">
        <f>H8</f>
        <v>1.0442</v>
      </c>
      <c r="F106" s="304">
        <f>'1461'!F106</f>
        <v>906.93</v>
      </c>
      <c r="G106" s="39" t="s">
        <v>12</v>
      </c>
      <c r="H106" s="94">
        <f>ROUND(C106*E106*F106,2)</f>
        <v>0</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1177.0545</v>
      </c>
      <c r="D107" s="558"/>
      <c r="E107" s="123"/>
      <c r="F107" s="123"/>
      <c r="G107" s="123"/>
      <c r="H107" s="124" t="s">
        <v>100</v>
      </c>
      <c r="I107" s="101">
        <f>IF(A1=75,0,H106+H105+H104)</f>
        <v>1138665.8199999998</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2</v>
      </c>
      <c r="D113" s="143">
        <v>0</v>
      </c>
      <c r="E113" s="116">
        <f>C113</f>
        <v>2</v>
      </c>
      <c r="F113" s="126" t="s">
        <v>30</v>
      </c>
      <c r="G113" s="305">
        <f>'1461'!G113</f>
        <v>548</v>
      </c>
      <c r="I113" s="101">
        <f>ROUND(G113*E113,2)</f>
        <v>1096</v>
      </c>
      <c r="N113" s="602" t="s">
        <v>52</v>
      </c>
      <c r="O113" s="602"/>
      <c r="P113" s="582">
        <f>IF(H133=1,E113,0)</f>
        <v>0</v>
      </c>
      <c r="Q113" s="582"/>
      <c r="R113" s="582"/>
      <c r="S113" s="83" t="s">
        <v>30</v>
      </c>
      <c r="T113" s="58">
        <f>G113</f>
        <v>548</v>
      </c>
      <c r="U113" s="474">
        <f>ROUND(T113*P113,2)</f>
        <v>0</v>
      </c>
    </row>
    <row r="114" spans="1:21" x14ac:dyDescent="0.25">
      <c r="A114" s="529" t="s">
        <v>376</v>
      </c>
      <c r="B114" s="530"/>
      <c r="C114" s="143">
        <v>1</v>
      </c>
      <c r="D114" s="143">
        <v>0</v>
      </c>
      <c r="E114" s="116">
        <f>C114</f>
        <v>1</v>
      </c>
      <c r="F114" s="126" t="s">
        <v>30</v>
      </c>
      <c r="G114" s="305">
        <f>'1461'!G114</f>
        <v>1762</v>
      </c>
      <c r="I114" s="101">
        <f>ROUND(G114*E114,2)</f>
        <v>1762</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9234076.040000001</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8859469.5800000001</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8859469.5800000001</v>
      </c>
      <c r="I135" s="94">
        <f>ROUND(IF(E30=0,0,IF(E30&gt;250,-(((250/E30)*H135)*IF(G135="H",0.02,0.05)),IF(G135="H",-0.02*H135,-0.05*H135))),2)</f>
        <v>-102561.05</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9131514.9900000002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-1632755.08-797401.21-797401.21-797401.21-797401.21-755455.69-755316.58-758397.4</f>
        <v>-7091529.5899999999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2039985.4000000004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679995.13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340412.43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tabColor rgb="FFFFCCCC"/>
  </sheetPr>
  <dimension ref="A1:V221"/>
  <sheetViews>
    <sheetView topLeftCell="A114" workbookViewId="0">
      <selection activeCell="F147" sqref="F14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131</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0</v>
      </c>
      <c r="D14" s="141">
        <v>0</v>
      </c>
      <c r="E14" s="187">
        <f>IF(D$30=0,C14*2,C14+D14)</f>
        <v>0</v>
      </c>
      <c r="F14" s="639">
        <f>'1461'!F14:G14</f>
        <v>1.1220000000000001</v>
      </c>
      <c r="G14" s="639"/>
      <c r="H14" s="145">
        <f>ROUND(E14*F14,4)</f>
        <v>0</v>
      </c>
      <c r="I14" s="111">
        <f>ROUND(ROUND(ROUND(H14*$C$8,4)*($H$8),2)*(MAX($H$9,1)),2)</f>
        <v>0</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0</v>
      </c>
      <c r="D15" s="143">
        <v>0</v>
      </c>
      <c r="E15" s="116">
        <f t="shared" ref="E15:E29" si="1">IF(D$30=0,C15*2,C15+D15)</f>
        <v>0</v>
      </c>
      <c r="F15" s="635">
        <f>'1461'!F15:G15</f>
        <v>1.1220000000000001</v>
      </c>
      <c r="G15" s="635"/>
      <c r="H15" s="80">
        <f t="shared" ref="H15:H29" si="2">ROUND(E15*F15,4)</f>
        <v>0</v>
      </c>
      <c r="I15" s="101">
        <f t="shared" ref="I15:I29" si="3">ROUND(ROUND(ROUND(H15*$C$8,4)*($H$8),2)*(MAX($H$9,1)),2)</f>
        <v>0</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264.45</v>
      </c>
      <c r="D16" s="143">
        <v>272.39999999999998</v>
      </c>
      <c r="E16" s="116">
        <f t="shared" si="1"/>
        <v>536.84999999999991</v>
      </c>
      <c r="F16" s="635">
        <f>'1461'!F16:G16</f>
        <v>1</v>
      </c>
      <c r="G16" s="635"/>
      <c r="H16" s="80">
        <f t="shared" si="2"/>
        <v>536.85</v>
      </c>
      <c r="I16" s="101">
        <f t="shared" si="3"/>
        <v>2881223.52</v>
      </c>
      <c r="N16" s="573" t="s">
        <v>22</v>
      </c>
      <c r="O16" s="573"/>
      <c r="P16" s="614">
        <f t="shared" si="0"/>
        <v>0</v>
      </c>
      <c r="Q16" s="614"/>
      <c r="R16" s="619">
        <v>1</v>
      </c>
      <c r="S16" s="619"/>
      <c r="T16" s="95">
        <f t="shared" si="4"/>
        <v>0</v>
      </c>
      <c r="U16" s="474">
        <f t="shared" si="5"/>
        <v>0</v>
      </c>
    </row>
    <row r="17" spans="1:21" x14ac:dyDescent="0.25">
      <c r="A17" s="550" t="s">
        <v>23</v>
      </c>
      <c r="B17" s="550"/>
      <c r="C17" s="143">
        <v>53</v>
      </c>
      <c r="D17" s="143">
        <v>52.98</v>
      </c>
      <c r="E17" s="116">
        <f t="shared" si="1"/>
        <v>105.97999999999999</v>
      </c>
      <c r="F17" s="635">
        <f>'1461'!F17:G17</f>
        <v>1</v>
      </c>
      <c r="G17" s="635"/>
      <c r="H17" s="80">
        <f t="shared" si="2"/>
        <v>105.98</v>
      </c>
      <c r="I17" s="101">
        <f t="shared" si="3"/>
        <v>568784.69999999995</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0</v>
      </c>
      <c r="D18" s="143">
        <v>0</v>
      </c>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0</v>
      </c>
      <c r="D19" s="143">
        <v>0</v>
      </c>
      <c r="E19" s="116">
        <f t="shared" si="1"/>
        <v>0</v>
      </c>
      <c r="F19" s="635">
        <f>'1461'!F19:G19</f>
        <v>0.98799999999999999</v>
      </c>
      <c r="G19" s="635"/>
      <c r="H19" s="80">
        <f t="shared" si="2"/>
        <v>0</v>
      </c>
      <c r="I19" s="101">
        <f t="shared" si="3"/>
        <v>0</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0</v>
      </c>
      <c r="D26" s="143">
        <v>0</v>
      </c>
      <c r="E26" s="116">
        <f t="shared" si="1"/>
        <v>0</v>
      </c>
      <c r="F26" s="635">
        <f>'1461'!F26:G26</f>
        <v>1.208</v>
      </c>
      <c r="G26" s="635"/>
      <c r="H26" s="80">
        <f t="shared" si="2"/>
        <v>0</v>
      </c>
      <c r="I26" s="101">
        <f t="shared" si="3"/>
        <v>0</v>
      </c>
      <c r="N26" s="573" t="s">
        <v>85</v>
      </c>
      <c r="O26" s="573"/>
      <c r="P26" s="614">
        <f t="shared" si="0"/>
        <v>0</v>
      </c>
      <c r="Q26" s="614"/>
      <c r="R26" s="619">
        <v>1</v>
      </c>
      <c r="S26" s="619"/>
      <c r="T26" s="95">
        <f t="shared" si="4"/>
        <v>0</v>
      </c>
      <c r="U26" s="474">
        <f t="shared" si="5"/>
        <v>0</v>
      </c>
    </row>
    <row r="27" spans="1:21" x14ac:dyDescent="0.25">
      <c r="A27" s="550" t="s">
        <v>86</v>
      </c>
      <c r="B27" s="550"/>
      <c r="C27" s="143">
        <v>5.07</v>
      </c>
      <c r="D27" s="143">
        <v>5.93</v>
      </c>
      <c r="E27" s="116">
        <f t="shared" si="1"/>
        <v>11</v>
      </c>
      <c r="F27" s="635">
        <f>'1461'!F27:G27</f>
        <v>1.208</v>
      </c>
      <c r="G27" s="635"/>
      <c r="H27" s="80">
        <f t="shared" si="2"/>
        <v>13.288</v>
      </c>
      <c r="I27" s="101">
        <f t="shared" si="3"/>
        <v>71315.45</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322.52</v>
      </c>
      <c r="D30" s="94">
        <f>SUM(D14:D29)</f>
        <v>331.31</v>
      </c>
      <c r="E30" s="94">
        <f>SUM(E14:E29)</f>
        <v>653.82999999999993</v>
      </c>
      <c r="F30" s="554"/>
      <c r="G30" s="554"/>
      <c r="H30" s="99">
        <f>SUM(H14:H29)</f>
        <v>656.11800000000005</v>
      </c>
      <c r="I30" s="94">
        <f>SUM(I14:I29)</f>
        <v>3521323.67</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656.11800000000005</v>
      </c>
      <c r="F46" s="34"/>
      <c r="G46" s="106"/>
      <c r="H46" s="107" t="s">
        <v>98</v>
      </c>
      <c r="I46" s="94">
        <f>SUM(I44,I30)</f>
        <v>3521323.67</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3521323.67</v>
      </c>
      <c r="G51" s="109" t="s">
        <v>6</v>
      </c>
      <c r="H51" s="402">
        <v>4.5199999999999997E-2</v>
      </c>
      <c r="I51" s="101">
        <f>ROUND(F51*H51,2)</f>
        <v>159163.82999999999</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3521323.67</v>
      </c>
      <c r="G52" s="109" t="s">
        <v>6</v>
      </c>
      <c r="H52" s="402">
        <v>1.41E-2</v>
      </c>
      <c r="I52" s="101">
        <f>ROUND(F52*H52,2)</f>
        <v>49650.66</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208814.49</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0</v>
      </c>
      <c r="D57" s="143">
        <v>0</v>
      </c>
      <c r="E57" s="116">
        <f t="shared" ref="E57:E65" si="10">IF(D$72=0,C57*2,C57+D57)</f>
        <v>0</v>
      </c>
      <c r="F57" s="444" t="s">
        <v>434</v>
      </c>
      <c r="G57" s="444">
        <v>251</v>
      </c>
      <c r="H57" s="458">
        <f>'1461'!H57</f>
        <v>1047</v>
      </c>
      <c r="I57" s="101">
        <f>ROUND(E57*H57,2)</f>
        <v>0</v>
      </c>
      <c r="N57" s="590" t="s">
        <v>442</v>
      </c>
      <c r="O57" s="590"/>
      <c r="P57" s="593"/>
      <c r="Q57" s="593"/>
      <c r="R57" s="450" t="s">
        <v>434</v>
      </c>
      <c r="S57" s="450">
        <v>251</v>
      </c>
      <c r="T57" s="461">
        <f>H57</f>
        <v>1047</v>
      </c>
      <c r="U57" s="475">
        <f>ROUND(P57*T57,2)</f>
        <v>0</v>
      </c>
      <c r="V57" s="425"/>
    </row>
    <row r="58" spans="1:22" x14ac:dyDescent="0.25">
      <c r="A58" s="561"/>
      <c r="B58" s="561"/>
      <c r="C58" s="143">
        <v>0</v>
      </c>
      <c r="D58" s="143">
        <v>0</v>
      </c>
      <c r="E58" s="116">
        <f t="shared" si="10"/>
        <v>0</v>
      </c>
      <c r="F58" s="444" t="s">
        <v>434</v>
      </c>
      <c r="G58" s="444">
        <v>252</v>
      </c>
      <c r="H58" s="458">
        <f>'1461'!H58</f>
        <v>3380</v>
      </c>
      <c r="I58" s="101">
        <f t="shared" ref="I58:I65" si="11">ROUND(E58*H58,2)</f>
        <v>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48.99</v>
      </c>
      <c r="D60" s="143">
        <v>48.97</v>
      </c>
      <c r="E60" s="116">
        <f>IF(D$72=0,C60*2,C60+D60)</f>
        <v>97.960000000000008</v>
      </c>
      <c r="F60" s="445" t="s">
        <v>13</v>
      </c>
      <c r="G60" s="444">
        <v>251</v>
      </c>
      <c r="H60" s="458">
        <f>'1461'!H60</f>
        <v>1173</v>
      </c>
      <c r="I60" s="101">
        <f t="shared" si="11"/>
        <v>114907.08</v>
      </c>
      <c r="N60" s="591"/>
      <c r="O60" s="591"/>
      <c r="P60" s="594"/>
      <c r="Q60" s="594"/>
      <c r="R60" s="40" t="s">
        <v>13</v>
      </c>
      <c r="S60" s="450">
        <v>251</v>
      </c>
      <c r="T60" s="461">
        <f t="shared" si="12"/>
        <v>1173</v>
      </c>
      <c r="U60" s="475">
        <f t="shared" si="13"/>
        <v>0</v>
      </c>
      <c r="V60" s="425"/>
    </row>
    <row r="61" spans="1:22" x14ac:dyDescent="0.25">
      <c r="A61" s="561"/>
      <c r="B61" s="561"/>
      <c r="C61" s="143">
        <v>3.51</v>
      </c>
      <c r="D61" s="143">
        <v>3.51</v>
      </c>
      <c r="E61" s="116">
        <f>IF(D$72=0,C61*2,C61+D61)</f>
        <v>7.02</v>
      </c>
      <c r="F61" s="445" t="s">
        <v>13</v>
      </c>
      <c r="G61" s="444">
        <v>252</v>
      </c>
      <c r="H61" s="458">
        <f>'1461'!H61</f>
        <v>3506</v>
      </c>
      <c r="I61" s="101">
        <f t="shared" si="11"/>
        <v>24612.12</v>
      </c>
      <c r="N61" s="591"/>
      <c r="O61" s="591"/>
      <c r="P61" s="594"/>
      <c r="Q61" s="594"/>
      <c r="R61" s="40" t="s">
        <v>13</v>
      </c>
      <c r="S61" s="450">
        <v>252</v>
      </c>
      <c r="T61" s="461">
        <f t="shared" si="12"/>
        <v>3506</v>
      </c>
      <c r="U61" s="475">
        <f t="shared" si="13"/>
        <v>0</v>
      </c>
      <c r="V61" s="425"/>
    </row>
    <row r="62" spans="1:22" x14ac:dyDescent="0.25">
      <c r="A62" s="561"/>
      <c r="B62" s="561"/>
      <c r="C62" s="143">
        <v>0.5</v>
      </c>
      <c r="D62" s="143">
        <v>0.5</v>
      </c>
      <c r="E62" s="116">
        <f>IF(D$72=0,C62*2,C62+D62)</f>
        <v>1</v>
      </c>
      <c r="F62" s="445" t="s">
        <v>13</v>
      </c>
      <c r="G62" s="444">
        <v>253</v>
      </c>
      <c r="H62" s="458">
        <f>'1461'!H62</f>
        <v>7023</v>
      </c>
      <c r="I62" s="101">
        <f t="shared" si="11"/>
        <v>7023</v>
      </c>
      <c r="N62" s="591"/>
      <c r="O62" s="591"/>
      <c r="P62" s="594"/>
      <c r="Q62" s="594"/>
      <c r="R62" s="40" t="s">
        <v>13</v>
      </c>
      <c r="S62" s="450">
        <v>253</v>
      </c>
      <c r="T62" s="461">
        <f t="shared" si="12"/>
        <v>7023</v>
      </c>
      <c r="U62" s="475">
        <f t="shared" si="13"/>
        <v>0</v>
      </c>
      <c r="V62" s="425"/>
    </row>
    <row r="63" spans="1:22" x14ac:dyDescent="0.25">
      <c r="A63" s="561"/>
      <c r="B63" s="561"/>
      <c r="C63" s="143">
        <v>0</v>
      </c>
      <c r="D63" s="143">
        <v>0</v>
      </c>
      <c r="E63" s="116">
        <f t="shared" si="10"/>
        <v>0</v>
      </c>
      <c r="F63" s="445" t="s">
        <v>14</v>
      </c>
      <c r="G63" s="444">
        <v>251</v>
      </c>
      <c r="H63" s="458">
        <f>'1461'!H63</f>
        <v>835</v>
      </c>
      <c r="I63" s="101">
        <f t="shared" si="11"/>
        <v>0</v>
      </c>
      <c r="N63" s="591"/>
      <c r="O63" s="591"/>
      <c r="P63" s="594"/>
      <c r="Q63" s="594"/>
      <c r="R63" s="40" t="s">
        <v>14</v>
      </c>
      <c r="S63" s="450">
        <v>251</v>
      </c>
      <c r="T63" s="461">
        <f t="shared" si="12"/>
        <v>835</v>
      </c>
      <c r="U63" s="475">
        <f t="shared" si="13"/>
        <v>0</v>
      </c>
      <c r="V63" s="425"/>
    </row>
    <row r="64" spans="1:22" x14ac:dyDescent="0.25">
      <c r="A64" s="561"/>
      <c r="B64" s="561"/>
      <c r="C64" s="143">
        <v>0</v>
      </c>
      <c r="D64" s="143">
        <v>0</v>
      </c>
      <c r="E64" s="116">
        <f t="shared" si="10"/>
        <v>0</v>
      </c>
      <c r="F64" s="445" t="s">
        <v>14</v>
      </c>
      <c r="G64" s="444">
        <v>252</v>
      </c>
      <c r="H64" s="458">
        <f>'1461'!H64</f>
        <v>3168</v>
      </c>
      <c r="I64" s="101">
        <f t="shared" si="11"/>
        <v>0</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53</v>
      </c>
      <c r="D66" s="97">
        <f>SUM(D57:D65)</f>
        <v>52.98</v>
      </c>
      <c r="E66" s="97">
        <f>SUM(E57:E65)</f>
        <v>105.98</v>
      </c>
      <c r="F66" s="562" t="s">
        <v>443</v>
      </c>
      <c r="G66" s="562"/>
      <c r="H66" s="562"/>
      <c r="I66" s="97">
        <f>SUM(I57:I65)</f>
        <v>146542.20000000001</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653.82999999999993</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3.2399999999999998E-3</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656.11800000000005</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2.8890000000000001E-3</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653.82999999999993</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3.5070000000000001E-3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653.82999999999993</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3.2450000000000001E-3</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653.82999999999993</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3.5130000000000001E-3</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3.2450000000000001E-3</v>
      </c>
      <c r="I85" s="101">
        <f>ROUND(F85*H85,2)</f>
        <v>143783.64000000001</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3.2399999999999998E-3</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3.5130000000000001E-3</v>
      </c>
      <c r="I90" s="101">
        <f>ROUND(F90*H90,2)</f>
        <v>57176.46</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3.5070000000000001E-3</v>
      </c>
      <c r="I92" s="101">
        <f t="shared" ref="I92:I96" si="14">ROUND(F92*H92,2)</f>
        <v>35519.03</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2.8890000000000001E-3</v>
      </c>
      <c r="I94" s="101">
        <f t="shared" si="14"/>
        <v>690464.28</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2.8890000000000001E-3</v>
      </c>
      <c r="I96" s="101">
        <f t="shared" si="14"/>
        <v>0</v>
      </c>
      <c r="N96" s="572" t="s">
        <v>418</v>
      </c>
      <c r="O96" s="573"/>
      <c r="P96" s="573"/>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475</v>
      </c>
      <c r="B98" s="512"/>
      <c r="C98" s="512"/>
      <c r="D98" s="512"/>
      <c r="E98" s="510" t="s">
        <v>3</v>
      </c>
      <c r="F98" s="291">
        <v>0</v>
      </c>
      <c r="G98" s="511" t="s">
        <v>6</v>
      </c>
      <c r="H98" s="423">
        <f>H70</f>
        <v>3.2399999999999998E-3</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0</v>
      </c>
      <c r="D104" s="568"/>
      <c r="E104" s="46">
        <f>H8</f>
        <v>1.0442</v>
      </c>
      <c r="F104" s="304">
        <f>'1461'!F104</f>
        <v>947.59</v>
      </c>
      <c r="G104" s="39" t="s">
        <v>12</v>
      </c>
      <c r="H104" s="101">
        <f>ROUND(C104*E104*F104,2)</f>
        <v>0</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656.11800000000005</v>
      </c>
      <c r="D105" s="568"/>
      <c r="E105" s="46">
        <f>H8</f>
        <v>1.0442</v>
      </c>
      <c r="F105" s="304">
        <f>'1461'!F105</f>
        <v>904.74</v>
      </c>
      <c r="G105" s="39" t="s">
        <v>12</v>
      </c>
      <c r="H105" s="101">
        <f>ROUND(C105*E105*F105,2)</f>
        <v>619854.04</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0</v>
      </c>
      <c r="D106" s="568"/>
      <c r="E106" s="46">
        <f>H8</f>
        <v>1.0442</v>
      </c>
      <c r="F106" s="304">
        <f>'1461'!F106</f>
        <v>906.93</v>
      </c>
      <c r="G106" s="39" t="s">
        <v>12</v>
      </c>
      <c r="H106" s="94">
        <f>ROUND(C106*E106*F106,2)</f>
        <v>0</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656.11800000000005</v>
      </c>
      <c r="D107" s="558"/>
      <c r="E107" s="123"/>
      <c r="F107" s="123"/>
      <c r="G107" s="123"/>
      <c r="H107" s="124" t="s">
        <v>100</v>
      </c>
      <c r="I107" s="101">
        <f>IF(A1=75,0,H106+H105+H104)</f>
        <v>619854.04</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1</v>
      </c>
      <c r="D113" s="143">
        <v>0</v>
      </c>
      <c r="E113" s="116">
        <f>C113</f>
        <v>1</v>
      </c>
      <c r="F113" s="126" t="s">
        <v>30</v>
      </c>
      <c r="G113" s="305">
        <f>'1461'!G113</f>
        <v>548</v>
      </c>
      <c r="I113" s="101">
        <f>ROUND(G113*E113,2)</f>
        <v>548</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16">
        <f>(C114+D114)/2</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5215211.32</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5006396.83</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5006396.83</v>
      </c>
      <c r="I135" s="94">
        <f>ROUND(IF(E30=0,0,IF(E30&gt;250,-(((250/E30)*H135)*IF(G135="H",0.02,0.05)),IF(G135="H",-0.02*H135,-0.05*H135))),2)</f>
        <v>-38285.160000000003</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5176926.16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-926284.56-449657.87-449657.87-449657.87-449657.87-382604.82-398692.25-400413.08</f>
        <v>-3906626.1900000004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1270299.9699999997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423433.32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61842.78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tabColor rgb="FFFFCCCC"/>
  </sheetPr>
  <dimension ref="A1:V221"/>
  <sheetViews>
    <sheetView topLeftCell="A105" workbookViewId="0">
      <selection activeCell="E64" sqref="E64"/>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132</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0</v>
      </c>
      <c r="D14" s="141">
        <v>0</v>
      </c>
      <c r="E14" s="187">
        <f>IF(D$30=0,C14*2,C14+D14)</f>
        <v>0</v>
      </c>
      <c r="F14" s="639">
        <f>'1461'!F14:G14</f>
        <v>1.1220000000000001</v>
      </c>
      <c r="G14" s="639"/>
      <c r="H14" s="145">
        <f>ROUND(E14*F14,4)</f>
        <v>0</v>
      </c>
      <c r="I14" s="111">
        <f>ROUND(ROUND(ROUND(H14*$C$8,4)*($H$8),2)*(MAX($H$9,1)),2)</f>
        <v>0</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0</v>
      </c>
      <c r="D15" s="143">
        <v>0</v>
      </c>
      <c r="E15" s="116">
        <f t="shared" ref="E15:E29" si="1">IF(D$30=0,C15*2,C15+D15)</f>
        <v>0</v>
      </c>
      <c r="F15" s="635">
        <f>'1461'!F15:G15</f>
        <v>1.1220000000000001</v>
      </c>
      <c r="G15" s="635"/>
      <c r="H15" s="80">
        <f t="shared" ref="H15:H29" si="2">ROUND(E15*F15,4)</f>
        <v>0</v>
      </c>
      <c r="I15" s="101">
        <f t="shared" ref="I15:I29" si="3">ROUND(ROUND(ROUND(H15*$C$8,4)*($H$8),2)*(MAX($H$9,1)),2)</f>
        <v>0</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0</v>
      </c>
      <c r="D16" s="143">
        <v>0</v>
      </c>
      <c r="E16" s="116">
        <f t="shared" si="1"/>
        <v>0</v>
      </c>
      <c r="F16" s="635">
        <f>'1461'!F16:G16</f>
        <v>1</v>
      </c>
      <c r="G16" s="635"/>
      <c r="H16" s="80">
        <f t="shared" si="2"/>
        <v>0</v>
      </c>
      <c r="I16" s="101">
        <f t="shared" si="3"/>
        <v>0</v>
      </c>
      <c r="N16" s="573" t="s">
        <v>22</v>
      </c>
      <c r="O16" s="573"/>
      <c r="P16" s="614">
        <f t="shared" si="0"/>
        <v>0</v>
      </c>
      <c r="Q16" s="614"/>
      <c r="R16" s="619">
        <v>1</v>
      </c>
      <c r="S16" s="619"/>
      <c r="T16" s="95">
        <f t="shared" si="4"/>
        <v>0</v>
      </c>
      <c r="U16" s="474">
        <f t="shared" si="5"/>
        <v>0</v>
      </c>
    </row>
    <row r="17" spans="1:21" x14ac:dyDescent="0.25">
      <c r="A17" s="550" t="s">
        <v>23</v>
      </c>
      <c r="B17" s="550"/>
      <c r="C17" s="143">
        <v>0</v>
      </c>
      <c r="D17" s="143">
        <v>0</v>
      </c>
      <c r="E17" s="116">
        <f t="shared" si="1"/>
        <v>0</v>
      </c>
      <c r="F17" s="635">
        <f>'1461'!F17:G17</f>
        <v>1</v>
      </c>
      <c r="G17" s="635"/>
      <c r="H17" s="80">
        <f t="shared" si="2"/>
        <v>0</v>
      </c>
      <c r="I17" s="101">
        <f t="shared" si="3"/>
        <v>0</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422.73</v>
      </c>
      <c r="D18" s="143">
        <v>431.83</v>
      </c>
      <c r="E18" s="116">
        <f t="shared" si="1"/>
        <v>854.56</v>
      </c>
      <c r="F18" s="635">
        <f>'1461'!F18:G18</f>
        <v>0.98799999999999999</v>
      </c>
      <c r="G18" s="635"/>
      <c r="H18" s="80">
        <f t="shared" si="2"/>
        <v>844.30529999999999</v>
      </c>
      <c r="I18" s="101">
        <f t="shared" si="3"/>
        <v>4531307.24</v>
      </c>
      <c r="N18" s="573" t="s">
        <v>24</v>
      </c>
      <c r="O18" s="573"/>
      <c r="P18" s="614">
        <f t="shared" si="0"/>
        <v>0</v>
      </c>
      <c r="Q18" s="614"/>
      <c r="R18" s="619">
        <v>1</v>
      </c>
      <c r="S18" s="619"/>
      <c r="T18" s="95">
        <f t="shared" si="4"/>
        <v>0</v>
      </c>
      <c r="U18" s="474">
        <f t="shared" si="5"/>
        <v>0</v>
      </c>
    </row>
    <row r="19" spans="1:21" x14ac:dyDescent="0.25">
      <c r="A19" s="550" t="s">
        <v>25</v>
      </c>
      <c r="B19" s="550"/>
      <c r="C19" s="143">
        <v>44.5</v>
      </c>
      <c r="D19" s="143">
        <v>36.03</v>
      </c>
      <c r="E19" s="116">
        <f t="shared" si="1"/>
        <v>80.53</v>
      </c>
      <c r="F19" s="635">
        <f>'1461'!F19:G19</f>
        <v>0.98799999999999999</v>
      </c>
      <c r="G19" s="635"/>
      <c r="H19" s="80">
        <f t="shared" si="2"/>
        <v>79.563599999999994</v>
      </c>
      <c r="I19" s="101">
        <f t="shared" si="3"/>
        <v>427010.37</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0</v>
      </c>
      <c r="D26" s="143">
        <v>0</v>
      </c>
      <c r="E26" s="116">
        <f t="shared" si="1"/>
        <v>0</v>
      </c>
      <c r="F26" s="635">
        <f>'1461'!F26:G26</f>
        <v>1.208</v>
      </c>
      <c r="G26" s="635"/>
      <c r="H26" s="80">
        <f t="shared" si="2"/>
        <v>0</v>
      </c>
      <c r="I26" s="101">
        <f t="shared" si="3"/>
        <v>0</v>
      </c>
      <c r="N26" s="573" t="s">
        <v>85</v>
      </c>
      <c r="O26" s="573"/>
      <c r="P26" s="614">
        <f t="shared" si="0"/>
        <v>0</v>
      </c>
      <c r="Q26" s="614"/>
      <c r="R26" s="619">
        <v>1</v>
      </c>
      <c r="S26" s="619"/>
      <c r="T26" s="95">
        <f t="shared" si="4"/>
        <v>0</v>
      </c>
      <c r="U26" s="474">
        <f t="shared" si="5"/>
        <v>0</v>
      </c>
    </row>
    <row r="27" spans="1:21" x14ac:dyDescent="0.25">
      <c r="A27" s="550" t="s">
        <v>86</v>
      </c>
      <c r="B27" s="550"/>
      <c r="C27" s="143">
        <v>0</v>
      </c>
      <c r="D27" s="143">
        <v>0</v>
      </c>
      <c r="E27" s="116">
        <f t="shared" si="1"/>
        <v>0</v>
      </c>
      <c r="F27" s="635">
        <f>'1461'!F27:G27</f>
        <v>1.208</v>
      </c>
      <c r="G27" s="635"/>
      <c r="H27" s="80">
        <f t="shared" si="2"/>
        <v>0</v>
      </c>
      <c r="I27" s="101">
        <f t="shared" si="3"/>
        <v>0</v>
      </c>
      <c r="N27" s="573" t="s">
        <v>86</v>
      </c>
      <c r="O27" s="573"/>
      <c r="P27" s="614">
        <f t="shared" si="0"/>
        <v>0</v>
      </c>
      <c r="Q27" s="614"/>
      <c r="R27" s="619">
        <v>1</v>
      </c>
      <c r="S27" s="619"/>
      <c r="T27" s="95">
        <f t="shared" si="4"/>
        <v>0</v>
      </c>
      <c r="U27" s="474">
        <f t="shared" si="5"/>
        <v>0</v>
      </c>
    </row>
    <row r="28" spans="1:21" x14ac:dyDescent="0.25">
      <c r="A28" s="550" t="s">
        <v>87</v>
      </c>
      <c r="B28" s="550"/>
      <c r="C28" s="143">
        <v>7.47</v>
      </c>
      <c r="D28" s="143">
        <v>6.89</v>
      </c>
      <c r="E28" s="116">
        <f t="shared" si="1"/>
        <v>14.36</v>
      </c>
      <c r="F28" s="635">
        <f>'1461'!F28:G28</f>
        <v>1.208</v>
      </c>
      <c r="G28" s="635"/>
      <c r="H28" s="80">
        <f t="shared" si="2"/>
        <v>17.346900000000002</v>
      </c>
      <c r="I28" s="101">
        <f t="shared" si="3"/>
        <v>93099.18</v>
      </c>
      <c r="N28" s="573" t="s">
        <v>87</v>
      </c>
      <c r="O28" s="573"/>
      <c r="P28" s="614">
        <f t="shared" si="0"/>
        <v>0</v>
      </c>
      <c r="Q28" s="614"/>
      <c r="R28" s="619">
        <v>1</v>
      </c>
      <c r="S28" s="619"/>
      <c r="T28" s="95">
        <f t="shared" si="4"/>
        <v>0</v>
      </c>
      <c r="U28" s="474">
        <f t="shared" si="5"/>
        <v>0</v>
      </c>
    </row>
    <row r="29" spans="1:21" x14ac:dyDescent="0.25">
      <c r="A29" s="550" t="s">
        <v>88</v>
      </c>
      <c r="B29" s="550"/>
      <c r="C29" s="110">
        <v>24.6</v>
      </c>
      <c r="D29" s="110">
        <v>25.07</v>
      </c>
      <c r="E29" s="154">
        <f t="shared" si="1"/>
        <v>49.67</v>
      </c>
      <c r="F29" s="635">
        <f>'1461'!F29:G29</f>
        <v>1.0720000000000001</v>
      </c>
      <c r="G29" s="635"/>
      <c r="H29" s="93">
        <f t="shared" si="2"/>
        <v>53.246200000000002</v>
      </c>
      <c r="I29" s="94">
        <f t="shared" si="3"/>
        <v>285767.34999999998</v>
      </c>
      <c r="N29" s="588" t="s">
        <v>88</v>
      </c>
      <c r="O29" s="588"/>
      <c r="P29" s="614">
        <f t="shared" si="0"/>
        <v>0</v>
      </c>
      <c r="Q29" s="614"/>
      <c r="R29" s="615">
        <v>1</v>
      </c>
      <c r="S29" s="615"/>
      <c r="T29" s="95">
        <f t="shared" si="4"/>
        <v>0</v>
      </c>
      <c r="U29" s="474">
        <f t="shared" si="5"/>
        <v>0</v>
      </c>
    </row>
    <row r="30" spans="1:21" x14ac:dyDescent="0.25">
      <c r="A30" s="562" t="s">
        <v>5</v>
      </c>
      <c r="B30" s="562"/>
      <c r="C30" s="94">
        <f>SUM(C14:C29)</f>
        <v>499.30000000000007</v>
      </c>
      <c r="D30" s="94">
        <f>SUM(D14:D29)</f>
        <v>499.82</v>
      </c>
      <c r="E30" s="94">
        <f>SUM(E14:E29)</f>
        <v>999.11999999999989</v>
      </c>
      <c r="F30" s="554"/>
      <c r="G30" s="554"/>
      <c r="H30" s="99">
        <f>SUM(H14:H29)</f>
        <v>994.46199999999999</v>
      </c>
      <c r="I30" s="94">
        <f>SUM(I14:I29)</f>
        <v>5337184.1399999997</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994.46199999999999</v>
      </c>
      <c r="F46" s="34"/>
      <c r="G46" s="106"/>
      <c r="H46" s="107" t="s">
        <v>98</v>
      </c>
      <c r="I46" s="94">
        <f>SUM(I44,I30)</f>
        <v>5337184.1399999997</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5337184.1399999997</v>
      </c>
      <c r="G51" s="109" t="s">
        <v>6</v>
      </c>
      <c r="H51" s="402">
        <v>4.5199999999999997E-2</v>
      </c>
      <c r="I51" s="101">
        <f>ROUND(F51*H51,2)</f>
        <v>241240.72</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5337184.1399999997</v>
      </c>
      <c r="G52" s="109" t="s">
        <v>6</v>
      </c>
      <c r="H52" s="402">
        <v>1.41E-2</v>
      </c>
      <c r="I52" s="101">
        <f>ROUND(F52*H52,2)</f>
        <v>75254.3</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316495.02</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0</v>
      </c>
      <c r="D57" s="143">
        <v>0</v>
      </c>
      <c r="E57" s="116">
        <f t="shared" ref="E57:E65" si="10">IF(D$66=0,C57*2,C57+D57)</f>
        <v>0</v>
      </c>
      <c r="F57" s="444" t="s">
        <v>434</v>
      </c>
      <c r="G57" s="444">
        <v>251</v>
      </c>
      <c r="H57" s="458">
        <f>'1461'!H57</f>
        <v>1047</v>
      </c>
      <c r="I57" s="101">
        <f>ROUND(E57*H57,2)</f>
        <v>0</v>
      </c>
      <c r="N57" s="590" t="s">
        <v>442</v>
      </c>
      <c r="O57" s="590"/>
      <c r="P57" s="593"/>
      <c r="Q57" s="593"/>
      <c r="R57" s="450" t="s">
        <v>434</v>
      </c>
      <c r="S57" s="450">
        <v>251</v>
      </c>
      <c r="T57" s="461">
        <f>H57</f>
        <v>1047</v>
      </c>
      <c r="U57" s="475">
        <f>ROUND(P57*T57,2)</f>
        <v>0</v>
      </c>
      <c r="V57" s="425"/>
    </row>
    <row r="58" spans="1:22" x14ac:dyDescent="0.25">
      <c r="A58" s="561"/>
      <c r="B58" s="561"/>
      <c r="C58" s="143">
        <v>0</v>
      </c>
      <c r="D58" s="143">
        <v>0</v>
      </c>
      <c r="E58" s="116">
        <f t="shared" si="10"/>
        <v>0</v>
      </c>
      <c r="F58" s="444" t="s">
        <v>434</v>
      </c>
      <c r="G58" s="444">
        <v>252</v>
      </c>
      <c r="H58" s="458">
        <f>'1461'!H58</f>
        <v>3380</v>
      </c>
      <c r="I58" s="101">
        <f t="shared" ref="I58:I65" si="11">ROUND(E58*H58,2)</f>
        <v>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0</v>
      </c>
      <c r="D60" s="143">
        <v>0</v>
      </c>
      <c r="E60" s="116">
        <f t="shared" si="10"/>
        <v>0</v>
      </c>
      <c r="F60" s="445" t="s">
        <v>13</v>
      </c>
      <c r="G60" s="444">
        <v>251</v>
      </c>
      <c r="H60" s="458">
        <f>'1461'!H60</f>
        <v>1173</v>
      </c>
      <c r="I60" s="101">
        <f t="shared" si="11"/>
        <v>0</v>
      </c>
      <c r="N60" s="591"/>
      <c r="O60" s="591"/>
      <c r="P60" s="594"/>
      <c r="Q60" s="594"/>
      <c r="R60" s="40" t="s">
        <v>13</v>
      </c>
      <c r="S60" s="450">
        <v>251</v>
      </c>
      <c r="T60" s="461">
        <f t="shared" si="12"/>
        <v>1173</v>
      </c>
      <c r="U60" s="475">
        <f t="shared" si="13"/>
        <v>0</v>
      </c>
      <c r="V60" s="425"/>
    </row>
    <row r="61" spans="1:22" x14ac:dyDescent="0.25">
      <c r="A61" s="561"/>
      <c r="B61" s="561"/>
      <c r="C61" s="143">
        <v>0</v>
      </c>
      <c r="D61" s="143">
        <v>0</v>
      </c>
      <c r="E61" s="116">
        <f t="shared" si="10"/>
        <v>0</v>
      </c>
      <c r="F61" s="445" t="s">
        <v>13</v>
      </c>
      <c r="G61" s="444">
        <v>252</v>
      </c>
      <c r="H61" s="458">
        <f>'1461'!H61</f>
        <v>3506</v>
      </c>
      <c r="I61" s="101">
        <f t="shared" si="11"/>
        <v>0</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43</v>
      </c>
      <c r="D63" s="143">
        <v>34.82</v>
      </c>
      <c r="E63" s="116">
        <f t="shared" si="10"/>
        <v>77.819999999999993</v>
      </c>
      <c r="F63" s="445" t="s">
        <v>14</v>
      </c>
      <c r="G63" s="444">
        <v>251</v>
      </c>
      <c r="H63" s="458">
        <f>'1461'!H63</f>
        <v>835</v>
      </c>
      <c r="I63" s="101">
        <f t="shared" si="11"/>
        <v>64979.7</v>
      </c>
      <c r="N63" s="591"/>
      <c r="O63" s="591"/>
      <c r="P63" s="594"/>
      <c r="Q63" s="594"/>
      <c r="R63" s="40" t="s">
        <v>14</v>
      </c>
      <c r="S63" s="450">
        <v>251</v>
      </c>
      <c r="T63" s="461">
        <f t="shared" si="12"/>
        <v>835</v>
      </c>
      <c r="U63" s="475">
        <f t="shared" si="13"/>
        <v>0</v>
      </c>
      <c r="V63" s="425"/>
    </row>
    <row r="64" spans="1:22" x14ac:dyDescent="0.25">
      <c r="A64" s="561"/>
      <c r="B64" s="561"/>
      <c r="C64" s="143">
        <v>1.5</v>
      </c>
      <c r="D64" s="143">
        <v>1.21</v>
      </c>
      <c r="E64" s="116">
        <f t="shared" si="10"/>
        <v>2.71</v>
      </c>
      <c r="F64" s="445" t="s">
        <v>14</v>
      </c>
      <c r="G64" s="444">
        <v>252</v>
      </c>
      <c r="H64" s="458">
        <f>'1461'!H64</f>
        <v>3168</v>
      </c>
      <c r="I64" s="101">
        <f t="shared" si="11"/>
        <v>8585.2800000000007</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44.5</v>
      </c>
      <c r="D66" s="97">
        <f>SUM(D57:D65)</f>
        <v>36.03</v>
      </c>
      <c r="E66" s="97">
        <f>SUM(E57:E65)</f>
        <v>80.529999999999987</v>
      </c>
      <c r="F66" s="562" t="s">
        <v>443</v>
      </c>
      <c r="G66" s="562"/>
      <c r="H66" s="562"/>
      <c r="I66" s="97">
        <f>SUM(I57:I65)</f>
        <v>73564.98</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999.11999999999989</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4.9509999999999997E-3</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994.46199999999999</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4.3790000000000001E-3</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999.11999999999989</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5.359E-3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999.11999999999989</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4.9589999999999999E-3</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999.11999999999989</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5.3689999999999996E-3</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4.9589999999999999E-3</v>
      </c>
      <c r="I85" s="101">
        <f>ROUND(F85*H85,2)</f>
        <v>219729.76</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4.9509999999999997E-3</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5.3689999999999996E-3</v>
      </c>
      <c r="I90" s="101">
        <f>ROUND(F90*H90,2)</f>
        <v>87384.13</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5.359E-3</v>
      </c>
      <c r="I92" s="101">
        <f t="shared" ref="I92:I96" si="14">ROUND(F92*H92,2)</f>
        <v>54276.160000000003</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4.3790000000000001E-3</v>
      </c>
      <c r="I94" s="101">
        <f t="shared" si="14"/>
        <v>1046570.81</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4.3790000000000001E-3</v>
      </c>
      <c r="I96" s="101">
        <f t="shared" si="14"/>
        <v>0</v>
      </c>
      <c r="N96" s="572" t="s">
        <v>418</v>
      </c>
      <c r="O96" s="573"/>
      <c r="P96" s="573"/>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475</v>
      </c>
      <c r="B98" s="512"/>
      <c r="C98" s="512"/>
      <c r="D98" s="512"/>
      <c r="E98" s="510" t="s">
        <v>3</v>
      </c>
      <c r="F98" s="291">
        <v>0</v>
      </c>
      <c r="G98" s="511" t="s">
        <v>6</v>
      </c>
      <c r="H98" s="423">
        <f>H70</f>
        <v>4.9509999999999997E-3</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0</v>
      </c>
      <c r="D104" s="568"/>
      <c r="E104" s="46">
        <f>H8</f>
        <v>1.0442</v>
      </c>
      <c r="F104" s="304">
        <f>'1461'!F104</f>
        <v>947.59</v>
      </c>
      <c r="G104" s="39" t="s">
        <v>12</v>
      </c>
      <c r="H104" s="101">
        <f>ROUND(C104*E104*F104,2)</f>
        <v>0</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0</v>
      </c>
      <c r="D105" s="568"/>
      <c r="E105" s="46">
        <f>H8</f>
        <v>1.0442</v>
      </c>
      <c r="F105" s="304">
        <f>'1461'!F105</f>
        <v>904.74</v>
      </c>
      <c r="G105" s="39" t="s">
        <v>12</v>
      </c>
      <c r="H105" s="101">
        <f>ROUND(C105*E105*F105,2)</f>
        <v>0</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994.46199999999999</v>
      </c>
      <c r="D106" s="568"/>
      <c r="E106" s="46">
        <f>H8</f>
        <v>1.0442</v>
      </c>
      <c r="F106" s="304">
        <f>'1461'!F106</f>
        <v>906.93</v>
      </c>
      <c r="G106" s="39" t="s">
        <v>12</v>
      </c>
      <c r="H106" s="94">
        <f>ROUND(C106*E106*F106,2)</f>
        <v>941771.73</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994.46199999999999</v>
      </c>
      <c r="D107" s="558"/>
      <c r="E107" s="123"/>
      <c r="F107" s="123"/>
      <c r="G107" s="123"/>
      <c r="H107" s="124" t="s">
        <v>100</v>
      </c>
      <c r="I107" s="101">
        <f>IF(A1=75,0,H106+H105+H104)</f>
        <v>941771.73</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3</v>
      </c>
      <c r="D113" s="143">
        <v>0</v>
      </c>
      <c r="E113" s="116">
        <f>C113</f>
        <v>3</v>
      </c>
      <c r="F113" s="126" t="s">
        <v>30</v>
      </c>
      <c r="G113" s="305">
        <f>'1461'!G113</f>
        <v>548</v>
      </c>
      <c r="I113" s="101">
        <f>ROUND(G113*E113,2)</f>
        <v>1644</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16">
        <f>(C114+D114)/2</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7762125.7100000009</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7445630.6900000013</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379" t="s">
        <v>240</v>
      </c>
      <c r="H135" s="139">
        <f>IF(H133=1,I133,I130)</f>
        <v>7445630.6900000013</v>
      </c>
      <c r="I135" s="94">
        <f>ROUND(IF(E30=0,0,IF(E30&gt;250,-(((250/E30)*H135)*IF(G135="H",0.02,0.05)),IF(G135="H",-0.02*H135,-0.05*H135))),2)</f>
        <v>-37260.94</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7724864.7700000005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-1396767.02-679815.82-679815.82-679815.82-679815.82-599472.33-600691.22-603261.18</f>
        <v>-5919455.0299999984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1805409.7400000021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601803.25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111651.67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3:T133"/>
    <mergeCell ref="N132:T132"/>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4">
    <tabColor rgb="FFFFCCCC"/>
  </sheetPr>
  <dimension ref="A1:V221"/>
  <sheetViews>
    <sheetView topLeftCell="A102" workbookViewId="0">
      <selection activeCell="G60" sqref="G60"/>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322</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219.48</v>
      </c>
      <c r="D14" s="141">
        <v>210.25</v>
      </c>
      <c r="E14" s="187">
        <f>IF(D$30=0,C14*2,C14+D14)</f>
        <v>429.73</v>
      </c>
      <c r="F14" s="639">
        <f>'1461'!F14:G14</f>
        <v>1.1220000000000001</v>
      </c>
      <c r="G14" s="639"/>
      <c r="H14" s="145">
        <f>ROUND(E14*F14,4)</f>
        <v>482.15710000000001</v>
      </c>
      <c r="I14" s="111">
        <f>ROUND(ROUND(ROUND(H14*$C$8,4)*($H$8),2)*(MAX($H$9,1)),2)</f>
        <v>2587691.86</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24.5</v>
      </c>
      <c r="D15" s="143">
        <v>29.23</v>
      </c>
      <c r="E15" s="116">
        <f t="shared" ref="E15:E29" si="1">IF(D$30=0,C15*2,C15+D15)</f>
        <v>53.730000000000004</v>
      </c>
      <c r="F15" s="635">
        <f>'1461'!F15:G15</f>
        <v>1.1220000000000001</v>
      </c>
      <c r="G15" s="635"/>
      <c r="H15" s="80">
        <f t="shared" ref="H15:H29" si="2">ROUND(E15*F15,4)</f>
        <v>60.2851</v>
      </c>
      <c r="I15" s="101">
        <f t="shared" ref="I15:I29" si="3">ROUND(ROUND(ROUND(H15*$C$8,4)*($H$8),2)*(MAX($H$9,1)),2)</f>
        <v>323544.46999999997</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282.2</v>
      </c>
      <c r="D16" s="143">
        <v>284.01</v>
      </c>
      <c r="E16" s="116">
        <f t="shared" si="1"/>
        <v>566.21</v>
      </c>
      <c r="F16" s="635">
        <f>'1461'!F16:G16</f>
        <v>1</v>
      </c>
      <c r="G16" s="635"/>
      <c r="H16" s="80">
        <f t="shared" si="2"/>
        <v>566.21</v>
      </c>
      <c r="I16" s="101">
        <f t="shared" si="3"/>
        <v>3038795.88</v>
      </c>
      <c r="N16" s="573" t="s">
        <v>22</v>
      </c>
      <c r="O16" s="573"/>
      <c r="P16" s="614">
        <f t="shared" si="0"/>
        <v>0</v>
      </c>
      <c r="Q16" s="614"/>
      <c r="R16" s="619">
        <v>1</v>
      </c>
      <c r="S16" s="619"/>
      <c r="T16" s="95">
        <f t="shared" si="4"/>
        <v>0</v>
      </c>
      <c r="U16" s="474">
        <f t="shared" si="5"/>
        <v>0</v>
      </c>
    </row>
    <row r="17" spans="1:21" x14ac:dyDescent="0.25">
      <c r="A17" s="550" t="s">
        <v>23</v>
      </c>
      <c r="B17" s="550"/>
      <c r="C17" s="143">
        <v>37.5</v>
      </c>
      <c r="D17" s="143">
        <v>38.6</v>
      </c>
      <c r="E17" s="116">
        <f t="shared" si="1"/>
        <v>76.099999999999994</v>
      </c>
      <c r="F17" s="635">
        <f>'1461'!F17:G17</f>
        <v>1</v>
      </c>
      <c r="G17" s="635"/>
      <c r="H17" s="80">
        <f t="shared" si="2"/>
        <v>76.099999999999994</v>
      </c>
      <c r="I17" s="101">
        <f t="shared" si="3"/>
        <v>408421.55</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0</v>
      </c>
      <c r="D18" s="143">
        <v>0</v>
      </c>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0</v>
      </c>
      <c r="D19" s="143">
        <v>0</v>
      </c>
      <c r="E19" s="116">
        <f t="shared" si="1"/>
        <v>0</v>
      </c>
      <c r="F19" s="635">
        <f>'1461'!F19:G19</f>
        <v>0.98799999999999999</v>
      </c>
      <c r="G19" s="635"/>
      <c r="H19" s="80">
        <f t="shared" si="2"/>
        <v>0</v>
      </c>
      <c r="I19" s="101">
        <f t="shared" si="3"/>
        <v>0</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21.78</v>
      </c>
      <c r="D26" s="143">
        <v>21.84</v>
      </c>
      <c r="E26" s="116">
        <f t="shared" si="1"/>
        <v>43.620000000000005</v>
      </c>
      <c r="F26" s="635">
        <f>'1461'!F26:G26</f>
        <v>1.208</v>
      </c>
      <c r="G26" s="635"/>
      <c r="H26" s="80">
        <f t="shared" si="2"/>
        <v>52.692999999999998</v>
      </c>
      <c r="I26" s="101">
        <f t="shared" si="3"/>
        <v>282798.38</v>
      </c>
      <c r="N26" s="573" t="s">
        <v>85</v>
      </c>
      <c r="O26" s="573"/>
      <c r="P26" s="614">
        <f t="shared" si="0"/>
        <v>0</v>
      </c>
      <c r="Q26" s="614"/>
      <c r="R26" s="619">
        <v>1</v>
      </c>
      <c r="S26" s="619"/>
      <c r="T26" s="95">
        <f t="shared" si="4"/>
        <v>0</v>
      </c>
      <c r="U26" s="474">
        <f t="shared" si="5"/>
        <v>0</v>
      </c>
    </row>
    <row r="27" spans="1:21" x14ac:dyDescent="0.25">
      <c r="A27" s="550" t="s">
        <v>86</v>
      </c>
      <c r="B27" s="550"/>
      <c r="C27" s="143">
        <v>10.31</v>
      </c>
      <c r="D27" s="143">
        <v>10.9</v>
      </c>
      <c r="E27" s="116">
        <f t="shared" si="1"/>
        <v>21.21</v>
      </c>
      <c r="F27" s="635">
        <f>'1461'!F27:G27</f>
        <v>1.208</v>
      </c>
      <c r="G27" s="635"/>
      <c r="H27" s="80">
        <f t="shared" si="2"/>
        <v>25.621700000000001</v>
      </c>
      <c r="I27" s="101">
        <f t="shared" si="3"/>
        <v>137509.26</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595.76999999999987</v>
      </c>
      <c r="D30" s="94">
        <f>SUM(D14:D29)</f>
        <v>594.83000000000004</v>
      </c>
      <c r="E30" s="94">
        <f>SUM(E14:E29)</f>
        <v>1190.5999999999999</v>
      </c>
      <c r="F30" s="554"/>
      <c r="G30" s="554"/>
      <c r="H30" s="99">
        <f>SUM(H14:H29)</f>
        <v>1263.0668999999998</v>
      </c>
      <c r="I30" s="94">
        <f>SUM(I14:I29)</f>
        <v>6778761.3999999994</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1263.0668999999998</v>
      </c>
      <c r="F46" s="34"/>
      <c r="G46" s="106"/>
      <c r="H46" s="107" t="s">
        <v>98</v>
      </c>
      <c r="I46" s="94">
        <f>SUM(I44,I30)</f>
        <v>6778761.3999999994</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6778761.3999999994</v>
      </c>
      <c r="G51" s="109" t="s">
        <v>6</v>
      </c>
      <c r="H51" s="402">
        <v>4.5199999999999997E-2</v>
      </c>
      <c r="I51" s="101">
        <f>ROUND(F51*H51,2)</f>
        <v>306400.02</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6778761.3999999994</v>
      </c>
      <c r="G52" s="109" t="s">
        <v>6</v>
      </c>
      <c r="H52" s="402">
        <v>1.41E-2</v>
      </c>
      <c r="I52" s="101">
        <f>ROUND(F52*H52,2)</f>
        <v>95580.54</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401980.56</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21.5</v>
      </c>
      <c r="D57" s="143">
        <v>25.65</v>
      </c>
      <c r="E57" s="116">
        <f t="shared" ref="E57:E65" si="10">IF(D$66=0,C57*2,C57+D57)</f>
        <v>47.15</v>
      </c>
      <c r="F57" s="444" t="s">
        <v>434</v>
      </c>
      <c r="G57" s="444">
        <v>251</v>
      </c>
      <c r="H57" s="458">
        <f>'1461'!H57</f>
        <v>1047</v>
      </c>
      <c r="I57" s="101">
        <f>ROUND(E57*H57,2)</f>
        <v>49366.05</v>
      </c>
      <c r="N57" s="590" t="s">
        <v>442</v>
      </c>
      <c r="O57" s="590"/>
      <c r="P57" s="593"/>
      <c r="Q57" s="593"/>
      <c r="R57" s="450" t="s">
        <v>434</v>
      </c>
      <c r="S57" s="450">
        <v>251</v>
      </c>
      <c r="T57" s="461">
        <f>H57</f>
        <v>1047</v>
      </c>
      <c r="U57" s="475">
        <f>ROUND(P57*T57,2)</f>
        <v>0</v>
      </c>
      <c r="V57" s="425"/>
    </row>
    <row r="58" spans="1:22" x14ac:dyDescent="0.25">
      <c r="A58" s="561"/>
      <c r="B58" s="561"/>
      <c r="C58" s="143">
        <v>2.5</v>
      </c>
      <c r="D58" s="143">
        <v>2.98</v>
      </c>
      <c r="E58" s="116">
        <f t="shared" si="10"/>
        <v>5.48</v>
      </c>
      <c r="F58" s="444" t="s">
        <v>434</v>
      </c>
      <c r="G58" s="444">
        <v>252</v>
      </c>
      <c r="H58" s="458">
        <f>'1461'!H58</f>
        <v>3380</v>
      </c>
      <c r="I58" s="101">
        <f t="shared" ref="I58:I65" si="11">ROUND(E58*H58,2)</f>
        <v>18522.400000000001</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0.5</v>
      </c>
      <c r="D59" s="143">
        <v>0.6</v>
      </c>
      <c r="E59" s="116">
        <f t="shared" si="10"/>
        <v>1.1000000000000001</v>
      </c>
      <c r="F59" s="444" t="s">
        <v>434</v>
      </c>
      <c r="G59" s="444">
        <v>253</v>
      </c>
      <c r="H59" s="458">
        <f>'1461'!H59</f>
        <v>6896</v>
      </c>
      <c r="I59" s="101">
        <f t="shared" si="11"/>
        <v>7585.6</v>
      </c>
      <c r="N59" s="591"/>
      <c r="O59" s="591"/>
      <c r="P59" s="594"/>
      <c r="Q59" s="594"/>
      <c r="R59" s="450" t="s">
        <v>434</v>
      </c>
      <c r="S59" s="450">
        <v>253</v>
      </c>
      <c r="T59" s="461">
        <f t="shared" si="12"/>
        <v>6896</v>
      </c>
      <c r="U59" s="475">
        <f t="shared" si="13"/>
        <v>0</v>
      </c>
      <c r="V59" s="425"/>
    </row>
    <row r="60" spans="1:22" x14ac:dyDescent="0.25">
      <c r="A60" s="561"/>
      <c r="B60" s="561"/>
      <c r="C60" s="143">
        <v>33.5</v>
      </c>
      <c r="D60" s="143">
        <v>34.479999999999997</v>
      </c>
      <c r="E60" s="116">
        <f t="shared" si="10"/>
        <v>67.97999999999999</v>
      </c>
      <c r="F60" s="445" t="s">
        <v>13</v>
      </c>
      <c r="G60" s="444">
        <v>251</v>
      </c>
      <c r="H60" s="458">
        <f>'1461'!H60</f>
        <v>1173</v>
      </c>
      <c r="I60" s="101">
        <f t="shared" si="11"/>
        <v>79740.539999999994</v>
      </c>
      <c r="N60" s="591"/>
      <c r="O60" s="591"/>
      <c r="P60" s="594"/>
      <c r="Q60" s="594"/>
      <c r="R60" s="40" t="s">
        <v>13</v>
      </c>
      <c r="S60" s="450">
        <v>251</v>
      </c>
      <c r="T60" s="461">
        <f t="shared" si="12"/>
        <v>1173</v>
      </c>
      <c r="U60" s="475">
        <f t="shared" si="13"/>
        <v>0</v>
      </c>
      <c r="V60" s="425"/>
    </row>
    <row r="61" spans="1:22" x14ac:dyDescent="0.25">
      <c r="A61" s="561"/>
      <c r="B61" s="561"/>
      <c r="C61" s="143">
        <v>4</v>
      </c>
      <c r="D61" s="143">
        <v>4.12</v>
      </c>
      <c r="E61" s="116">
        <f t="shared" si="10"/>
        <v>8.120000000000001</v>
      </c>
      <c r="F61" s="445" t="s">
        <v>13</v>
      </c>
      <c r="G61" s="444">
        <v>252</v>
      </c>
      <c r="H61" s="458">
        <f>'1461'!H61</f>
        <v>3506</v>
      </c>
      <c r="I61" s="101">
        <f t="shared" si="11"/>
        <v>28468.720000000001</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0</v>
      </c>
      <c r="D63" s="143">
        <v>0</v>
      </c>
      <c r="E63" s="116">
        <f t="shared" si="10"/>
        <v>0</v>
      </c>
      <c r="F63" s="445" t="s">
        <v>14</v>
      </c>
      <c r="G63" s="444">
        <v>251</v>
      </c>
      <c r="H63" s="458">
        <f>'1461'!H63</f>
        <v>835</v>
      </c>
      <c r="I63" s="101">
        <f t="shared" si="11"/>
        <v>0</v>
      </c>
      <c r="N63" s="591"/>
      <c r="O63" s="591"/>
      <c r="P63" s="594"/>
      <c r="Q63" s="594"/>
      <c r="R63" s="40" t="s">
        <v>14</v>
      </c>
      <c r="S63" s="450">
        <v>251</v>
      </c>
      <c r="T63" s="461">
        <f t="shared" si="12"/>
        <v>835</v>
      </c>
      <c r="U63" s="475">
        <f t="shared" si="13"/>
        <v>0</v>
      </c>
      <c r="V63" s="425"/>
    </row>
    <row r="64" spans="1:22" x14ac:dyDescent="0.25">
      <c r="A64" s="561"/>
      <c r="B64" s="561"/>
      <c r="C64" s="143">
        <v>0</v>
      </c>
      <c r="D64" s="143">
        <v>0</v>
      </c>
      <c r="E64" s="116">
        <f t="shared" si="10"/>
        <v>0</v>
      </c>
      <c r="F64" s="445" t="s">
        <v>14</v>
      </c>
      <c r="G64" s="444">
        <v>252</v>
      </c>
      <c r="H64" s="458">
        <f>'1461'!H64</f>
        <v>3168</v>
      </c>
      <c r="I64" s="101">
        <f t="shared" si="11"/>
        <v>0</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62</v>
      </c>
      <c r="D66" s="97">
        <f>SUM(D57:D65)</f>
        <v>67.83</v>
      </c>
      <c r="E66" s="97">
        <f>SUM(E57:E65)</f>
        <v>129.82999999999998</v>
      </c>
      <c r="F66" s="562" t="s">
        <v>443</v>
      </c>
      <c r="G66" s="562"/>
      <c r="H66" s="562"/>
      <c r="I66" s="97">
        <f>SUM(I57:I65)</f>
        <v>183683.31000000003</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1190.5999999999999</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5.8999999999999999E-3</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1263.0668999999998</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5.5620000000000001E-3</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1190.5999999999999</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6.3860000000000002E-3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1190.5999999999999</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5.9100000000000003E-3</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1190.5999999999999</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6.398E-3</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5.9100000000000003E-3</v>
      </c>
      <c r="I85" s="101">
        <f>ROUND(F85*H85,2)</f>
        <v>261867.89</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5.8999999999999999E-3</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6.398E-3</v>
      </c>
      <c r="I90" s="101">
        <f>ROUND(F90*H90,2)</f>
        <v>104131.8</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6.3860000000000002E-3</v>
      </c>
      <c r="I92" s="101">
        <f t="shared" ref="I92:I96" si="14">ROUND(F92*H92,2)</f>
        <v>64677.66</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5.5620000000000001E-3</v>
      </c>
      <c r="I94" s="101">
        <f t="shared" si="14"/>
        <v>1329305.06</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5.5620000000000001E-3</v>
      </c>
      <c r="I96" s="101">
        <f t="shared" si="14"/>
        <v>0</v>
      </c>
      <c r="N96" s="572" t="s">
        <v>418</v>
      </c>
      <c r="O96" s="573"/>
      <c r="P96" s="573"/>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475</v>
      </c>
      <c r="B98" s="512"/>
      <c r="C98" s="512"/>
      <c r="D98" s="512"/>
      <c r="E98" s="510" t="s">
        <v>3</v>
      </c>
      <c r="F98" s="291">
        <v>0</v>
      </c>
      <c r="G98" s="511" t="s">
        <v>6</v>
      </c>
      <c r="H98" s="423">
        <f>H70</f>
        <v>5.8999999999999999E-3</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595.13519999999994</v>
      </c>
      <c r="D104" s="568"/>
      <c r="E104" s="46">
        <f>H8</f>
        <v>1.0442</v>
      </c>
      <c r="F104" s="304">
        <f>'1461'!F104</f>
        <v>947.59</v>
      </c>
      <c r="G104" s="39" t="s">
        <v>12</v>
      </c>
      <c r="H104" s="101">
        <f>ROUND(C104*E104*F104,2)</f>
        <v>588870.5</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667.93170000000009</v>
      </c>
      <c r="D105" s="568"/>
      <c r="E105" s="46">
        <f>H8</f>
        <v>1.0442</v>
      </c>
      <c r="F105" s="304">
        <f>'1461'!F105</f>
        <v>904.74</v>
      </c>
      <c r="G105" s="39" t="s">
        <v>12</v>
      </c>
      <c r="H105" s="101">
        <f>ROUND(C105*E105*F105,2)</f>
        <v>631014.79</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0</v>
      </c>
      <c r="D106" s="568"/>
      <c r="E106" s="46">
        <f>H8</f>
        <v>1.0442</v>
      </c>
      <c r="F106" s="304">
        <f>'1461'!F106</f>
        <v>906.93</v>
      </c>
      <c r="G106" s="39" t="s">
        <v>12</v>
      </c>
      <c r="H106" s="94">
        <f>ROUND(C106*E106*F106,2)</f>
        <v>0</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1263.0669</v>
      </c>
      <c r="D107" s="558"/>
      <c r="E107" s="123"/>
      <c r="F107" s="123"/>
      <c r="G107" s="123"/>
      <c r="H107" s="124" t="s">
        <v>100</v>
      </c>
      <c r="I107" s="101">
        <f>IF(A1=75,0,H106+H105+H104)</f>
        <v>1219885.29</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186</v>
      </c>
      <c r="D113" s="143">
        <v>0</v>
      </c>
      <c r="E113" s="116">
        <f>C113</f>
        <v>186</v>
      </c>
      <c r="F113" s="126" t="s">
        <v>30</v>
      </c>
      <c r="G113" s="305">
        <f>'1461'!G113</f>
        <v>548</v>
      </c>
      <c r="I113" s="101">
        <f>ROUND(G113*E113,2)</f>
        <v>101928</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16">
        <f>(C114+D114)/2</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10044240.41</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9642259.8499999996</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9642259.8499999996</v>
      </c>
      <c r="I135" s="94">
        <f>ROUND(IF(E30=0,0,IF(E30&gt;250,-(((250/E30)*H135)*IF(G135="H",0.02,0.05)),IF(G135="H",-0.02*H135,-0.05*H135))),2)</f>
        <v>-101233.2</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9943007.2100000009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-1840105.11-898085-898085-898085-898085-751001.65-750382.59-752891.2</f>
        <v>-7686720.5500000007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2256286.66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752095.55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380879.79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6">
    <tabColor rgb="FFFFCCCC"/>
  </sheetPr>
  <dimension ref="A1:V221"/>
  <sheetViews>
    <sheetView topLeftCell="A105" workbookViewId="0">
      <selection activeCell="F48" sqref="F48"/>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4.570312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307</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457"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J11" s="256"/>
      <c r="K11" s="255"/>
      <c r="L11" s="255"/>
      <c r="N11" s="12"/>
      <c r="O11" s="12"/>
      <c r="P11" s="13"/>
      <c r="Q11" s="13"/>
      <c r="R11" s="623" t="s">
        <v>1</v>
      </c>
      <c r="S11" s="623"/>
      <c r="T11" s="15" t="s">
        <v>60</v>
      </c>
      <c r="U11" s="16" t="s">
        <v>27</v>
      </c>
    </row>
    <row r="12" spans="1:21" ht="15.75" customHeight="1" x14ac:dyDescent="0.25">
      <c r="A12" s="544" t="s">
        <v>1</v>
      </c>
      <c r="B12" s="544"/>
      <c r="C12" s="327" t="str">
        <f>'1461'!C12</f>
        <v>FTE</v>
      </c>
      <c r="D12" s="325" t="str">
        <f>'1461'!D12</f>
        <v>FTE</v>
      </c>
      <c r="E12" s="325" t="s">
        <v>2</v>
      </c>
      <c r="F12" s="545" t="s">
        <v>63</v>
      </c>
      <c r="G12" s="545"/>
      <c r="H12" s="17" t="s">
        <v>59</v>
      </c>
      <c r="I12" s="389" t="s">
        <v>390</v>
      </c>
      <c r="J12" s="254"/>
      <c r="K12" s="255"/>
      <c r="L12" s="255"/>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K13" s="255"/>
      <c r="L13" s="255"/>
      <c r="N13" s="626" t="s">
        <v>36</v>
      </c>
      <c r="O13" s="626"/>
      <c r="P13" s="627" t="s">
        <v>37</v>
      </c>
      <c r="Q13" s="627"/>
      <c r="R13" s="628" t="s">
        <v>38</v>
      </c>
      <c r="S13" s="628"/>
      <c r="T13" s="22" t="s">
        <v>39</v>
      </c>
      <c r="U13" s="23" t="s">
        <v>40</v>
      </c>
    </row>
    <row r="14" spans="1:21" x14ac:dyDescent="0.25">
      <c r="A14" s="548" t="s">
        <v>20</v>
      </c>
      <c r="B14" s="548"/>
      <c r="C14" s="143">
        <v>41.82</v>
      </c>
      <c r="D14" s="141">
        <v>42.32</v>
      </c>
      <c r="E14" s="187">
        <f>IF(D$30=0,C14*2,C14+D14)</f>
        <v>84.14</v>
      </c>
      <c r="F14" s="639">
        <f>'1461'!F14:G14</f>
        <v>1.1220000000000001</v>
      </c>
      <c r="G14" s="639"/>
      <c r="H14" s="145">
        <f>ROUND(E14*F14,4)</f>
        <v>94.405100000000004</v>
      </c>
      <c r="I14" s="111">
        <f>ROUND(ROUND(ROUND(H14*$C$8,4)*($H$8),2)*(MAX($H$9,1)),2)</f>
        <v>506663.3</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1.5</v>
      </c>
      <c r="D15" s="143">
        <v>2.46</v>
      </c>
      <c r="E15" s="116">
        <f t="shared" ref="E15:E29" si="1">IF(D$30=0,C15*2,C15+D15)</f>
        <v>3.96</v>
      </c>
      <c r="F15" s="635">
        <f>'1461'!F15:G15</f>
        <v>1.1220000000000001</v>
      </c>
      <c r="G15" s="635"/>
      <c r="H15" s="80">
        <f t="shared" ref="H15:H29" si="2">ROUND(E15*F15,4)</f>
        <v>4.4431000000000003</v>
      </c>
      <c r="I15" s="101">
        <f t="shared" ref="I15:I29" si="3">ROUND(ROUND(ROUND(H15*$C$8,4)*($H$8),2)*(MAX($H$9,1)),2)</f>
        <v>23845.7</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24.93</v>
      </c>
      <c r="D16" s="143">
        <v>27.76</v>
      </c>
      <c r="E16" s="116">
        <f t="shared" si="1"/>
        <v>52.69</v>
      </c>
      <c r="F16" s="635">
        <f>'1461'!F16:G16</f>
        <v>1</v>
      </c>
      <c r="G16" s="635"/>
      <c r="H16" s="80">
        <f t="shared" si="2"/>
        <v>52.69</v>
      </c>
      <c r="I16" s="101">
        <f t="shared" si="3"/>
        <v>282782.28000000003</v>
      </c>
      <c r="N16" s="573" t="s">
        <v>22</v>
      </c>
      <c r="O16" s="573"/>
      <c r="P16" s="614">
        <f t="shared" si="0"/>
        <v>0</v>
      </c>
      <c r="Q16" s="614"/>
      <c r="R16" s="619">
        <v>1</v>
      </c>
      <c r="S16" s="619"/>
      <c r="T16" s="95">
        <f t="shared" si="4"/>
        <v>0</v>
      </c>
      <c r="U16" s="474">
        <f t="shared" si="5"/>
        <v>0</v>
      </c>
    </row>
    <row r="17" spans="1:21" x14ac:dyDescent="0.25">
      <c r="A17" s="550" t="s">
        <v>23</v>
      </c>
      <c r="B17" s="550"/>
      <c r="C17" s="143">
        <v>2.5</v>
      </c>
      <c r="D17" s="143">
        <v>2.85</v>
      </c>
      <c r="E17" s="116">
        <f t="shared" si="1"/>
        <v>5.35</v>
      </c>
      <c r="F17" s="635">
        <f>'1461'!F17:G17</f>
        <v>1</v>
      </c>
      <c r="G17" s="635"/>
      <c r="H17" s="80">
        <f t="shared" si="2"/>
        <v>5.35</v>
      </c>
      <c r="I17" s="101">
        <f t="shared" si="3"/>
        <v>28712.95</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0</v>
      </c>
      <c r="D18" s="143">
        <v>0</v>
      </c>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0</v>
      </c>
      <c r="D19" s="143">
        <v>0</v>
      </c>
      <c r="E19" s="116">
        <f t="shared" si="1"/>
        <v>0</v>
      </c>
      <c r="F19" s="635">
        <f>'1461'!F19:G19</f>
        <v>0.98799999999999999</v>
      </c>
      <c r="G19" s="635"/>
      <c r="H19" s="80">
        <f t="shared" si="2"/>
        <v>0</v>
      </c>
      <c r="I19" s="101">
        <f t="shared" si="3"/>
        <v>0</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56.18</v>
      </c>
      <c r="D26" s="143">
        <v>61.11</v>
      </c>
      <c r="E26" s="116">
        <f t="shared" si="1"/>
        <v>117.28999999999999</v>
      </c>
      <c r="F26" s="635">
        <f>'1461'!F26:G26</f>
        <v>1.208</v>
      </c>
      <c r="G26" s="635"/>
      <c r="H26" s="80">
        <f t="shared" si="2"/>
        <v>141.68629999999999</v>
      </c>
      <c r="I26" s="101">
        <f t="shared" si="3"/>
        <v>760417.06</v>
      </c>
      <c r="N26" s="573" t="s">
        <v>85</v>
      </c>
      <c r="O26" s="573"/>
      <c r="P26" s="614">
        <f t="shared" si="0"/>
        <v>0</v>
      </c>
      <c r="Q26" s="614"/>
      <c r="R26" s="619">
        <v>1</v>
      </c>
      <c r="S26" s="619"/>
      <c r="T26" s="95">
        <f t="shared" si="4"/>
        <v>0</v>
      </c>
      <c r="U26" s="474">
        <f t="shared" si="5"/>
        <v>0</v>
      </c>
    </row>
    <row r="27" spans="1:21" x14ac:dyDescent="0.25">
      <c r="A27" s="550" t="s">
        <v>86</v>
      </c>
      <c r="B27" s="550"/>
      <c r="C27" s="143">
        <v>26.69</v>
      </c>
      <c r="D27" s="143">
        <v>24.84</v>
      </c>
      <c r="E27" s="116">
        <f t="shared" si="1"/>
        <v>51.53</v>
      </c>
      <c r="F27" s="635">
        <f>'1461'!F27:G27</f>
        <v>1.208</v>
      </c>
      <c r="G27" s="635"/>
      <c r="H27" s="80">
        <f t="shared" si="2"/>
        <v>62.248199999999997</v>
      </c>
      <c r="I27" s="101">
        <f t="shared" si="3"/>
        <v>334080.24</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153.62</v>
      </c>
      <c r="D30" s="94">
        <f>SUM(D14:D29)+0</f>
        <v>161.34</v>
      </c>
      <c r="E30" s="94">
        <f>SUM(E14:E29)</f>
        <v>314.95999999999992</v>
      </c>
      <c r="F30" s="554"/>
      <c r="G30" s="554"/>
      <c r="H30" s="99">
        <f>SUM(H14:H29)</f>
        <v>360.8227</v>
      </c>
      <c r="I30" s="94">
        <f>SUM(I14:I29)</f>
        <v>1936501.53</v>
      </c>
      <c r="K30" s="237">
        <f>I30-J30</f>
        <v>1936501.53</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360.8227</v>
      </c>
      <c r="F46" s="34"/>
      <c r="G46" s="106"/>
      <c r="H46" s="107" t="s">
        <v>98</v>
      </c>
      <c r="I46" s="94">
        <f>SUM(I44,I30)</f>
        <v>1936501.53</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1936501.53</v>
      </c>
      <c r="G51" s="109" t="s">
        <v>6</v>
      </c>
      <c r="H51" s="402">
        <v>4.5199999999999997E-2</v>
      </c>
      <c r="I51" s="101">
        <f>ROUND(F51*H51,2)</f>
        <v>87529.87</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1936501.53</v>
      </c>
      <c r="G52" s="109" t="s">
        <v>6</v>
      </c>
      <c r="H52" s="402">
        <v>1.41E-2</v>
      </c>
      <c r="I52" s="101">
        <f>ROUND(F52*H52,2)</f>
        <v>27304.67</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114834.54</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1.5</v>
      </c>
      <c r="D57" s="143">
        <v>2.46</v>
      </c>
      <c r="E57" s="116">
        <f>IF(D$66=0,C57*2,C57+D57)</f>
        <v>3.96</v>
      </c>
      <c r="F57" s="444" t="s">
        <v>434</v>
      </c>
      <c r="G57" s="444">
        <v>251</v>
      </c>
      <c r="H57" s="458">
        <f>'1461'!H57</f>
        <v>1047</v>
      </c>
      <c r="I57" s="101">
        <f>ROUND(E57*H57,2)</f>
        <v>4146.12</v>
      </c>
      <c r="N57" s="590" t="s">
        <v>442</v>
      </c>
      <c r="O57" s="590"/>
      <c r="P57" s="593"/>
      <c r="Q57" s="593"/>
      <c r="R57" s="450" t="s">
        <v>434</v>
      </c>
      <c r="S57" s="450">
        <v>251</v>
      </c>
      <c r="T57" s="461">
        <f>H57</f>
        <v>1047</v>
      </c>
      <c r="U57" s="475">
        <f>ROUND(P57*T57,2)</f>
        <v>0</v>
      </c>
      <c r="V57" s="425"/>
    </row>
    <row r="58" spans="1:22" x14ac:dyDescent="0.25">
      <c r="A58" s="561"/>
      <c r="B58" s="561"/>
      <c r="C58" s="143">
        <v>0</v>
      </c>
      <c r="D58" s="143">
        <v>0</v>
      </c>
      <c r="E58" s="116">
        <f t="shared" ref="E58:E65" si="10">IF(D$66=0,C58*2,C58+D58)</f>
        <v>0</v>
      </c>
      <c r="F58" s="444" t="s">
        <v>434</v>
      </c>
      <c r="G58" s="444">
        <v>252</v>
      </c>
      <c r="H58" s="458">
        <f>'1461'!H58</f>
        <v>3380</v>
      </c>
      <c r="I58" s="101">
        <f t="shared" ref="I58:I65" si="11">ROUND(E58*H58,2)</f>
        <v>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2.5</v>
      </c>
      <c r="D60" s="143">
        <v>2.85</v>
      </c>
      <c r="E60" s="116">
        <f t="shared" si="10"/>
        <v>5.35</v>
      </c>
      <c r="F60" s="445" t="s">
        <v>13</v>
      </c>
      <c r="G60" s="444">
        <v>251</v>
      </c>
      <c r="H60" s="458">
        <f>'1461'!H60</f>
        <v>1173</v>
      </c>
      <c r="I60" s="101">
        <f t="shared" si="11"/>
        <v>6275.55</v>
      </c>
      <c r="N60" s="591"/>
      <c r="O60" s="591"/>
      <c r="P60" s="594"/>
      <c r="Q60" s="594"/>
      <c r="R60" s="40" t="s">
        <v>13</v>
      </c>
      <c r="S60" s="450">
        <v>251</v>
      </c>
      <c r="T60" s="461">
        <f t="shared" si="12"/>
        <v>1173</v>
      </c>
      <c r="U60" s="475">
        <f t="shared" si="13"/>
        <v>0</v>
      </c>
      <c r="V60" s="425"/>
    </row>
    <row r="61" spans="1:22" x14ac:dyDescent="0.25">
      <c r="A61" s="561"/>
      <c r="B61" s="561"/>
      <c r="C61" s="143">
        <v>0</v>
      </c>
      <c r="D61" s="143">
        <v>0</v>
      </c>
      <c r="E61" s="116">
        <f t="shared" si="10"/>
        <v>0</v>
      </c>
      <c r="F61" s="445" t="s">
        <v>13</v>
      </c>
      <c r="G61" s="444">
        <v>252</v>
      </c>
      <c r="H61" s="458">
        <f>'1461'!H61</f>
        <v>3506</v>
      </c>
      <c r="I61" s="101">
        <f t="shared" si="11"/>
        <v>0</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0</v>
      </c>
      <c r="D63" s="143">
        <v>0</v>
      </c>
      <c r="E63" s="116">
        <f t="shared" si="10"/>
        <v>0</v>
      </c>
      <c r="F63" s="445" t="s">
        <v>14</v>
      </c>
      <c r="G63" s="444">
        <v>251</v>
      </c>
      <c r="H63" s="458">
        <f>'1461'!H63</f>
        <v>835</v>
      </c>
      <c r="I63" s="101">
        <f t="shared" si="11"/>
        <v>0</v>
      </c>
      <c r="N63" s="591"/>
      <c r="O63" s="591"/>
      <c r="P63" s="594"/>
      <c r="Q63" s="594"/>
      <c r="R63" s="40" t="s">
        <v>14</v>
      </c>
      <c r="S63" s="450">
        <v>251</v>
      </c>
      <c r="T63" s="461">
        <f t="shared" si="12"/>
        <v>835</v>
      </c>
      <c r="U63" s="475">
        <f t="shared" si="13"/>
        <v>0</v>
      </c>
      <c r="V63" s="425"/>
    </row>
    <row r="64" spans="1:22" x14ac:dyDescent="0.25">
      <c r="A64" s="561"/>
      <c r="B64" s="561"/>
      <c r="C64" s="143">
        <v>0</v>
      </c>
      <c r="D64" s="143">
        <v>0</v>
      </c>
      <c r="E64" s="116">
        <f t="shared" si="10"/>
        <v>0</v>
      </c>
      <c r="F64" s="445" t="s">
        <v>14</v>
      </c>
      <c r="G64" s="444">
        <v>252</v>
      </c>
      <c r="H64" s="458">
        <f>'1461'!H64</f>
        <v>3168</v>
      </c>
      <c r="I64" s="101">
        <f t="shared" si="11"/>
        <v>0</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4</v>
      </c>
      <c r="D66" s="97">
        <f>SUM(D57:D65)</f>
        <v>5.3100000000000005</v>
      </c>
      <c r="E66" s="97">
        <f>SUM(E57:E65)</f>
        <v>9.3099999999999987</v>
      </c>
      <c r="F66" s="562" t="s">
        <v>443</v>
      </c>
      <c r="G66" s="562"/>
      <c r="H66" s="562"/>
      <c r="I66" s="97">
        <f>SUM(I57:I65)</f>
        <v>10421.67</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314.95999999999992</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1.5610000000000001E-3</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360.8227</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1.5889999999999999E-3</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314.95999999999992</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1.689E-3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314.95999999999992</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1.5629999999999999E-3</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314.95999999999992</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1.6919999999999999E-3</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1.5629999999999999E-3</v>
      </c>
      <c r="I85" s="101">
        <f>ROUND(F85*H85,2)</f>
        <v>69255.42</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1.5610000000000001E-3</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1.6919999999999999E-3</v>
      </c>
      <c r="I90" s="101">
        <f>ROUND(F90*H90,2)</f>
        <v>27538.45</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1.689E-3</v>
      </c>
      <c r="I92" s="101">
        <f t="shared" ref="I92:I96" si="14">ROUND(F92*H92,2)</f>
        <v>17106.259999999998</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1.5889999999999999E-3</v>
      </c>
      <c r="I94" s="101">
        <f t="shared" si="14"/>
        <v>379767.3</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1.5889999999999999E-3</v>
      </c>
      <c r="I96" s="101">
        <f t="shared" si="14"/>
        <v>0</v>
      </c>
      <c r="N96" s="572" t="s">
        <v>418</v>
      </c>
      <c r="O96" s="573"/>
      <c r="P96" s="573"/>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475</v>
      </c>
      <c r="B98" s="512"/>
      <c r="C98" s="512"/>
      <c r="D98" s="512"/>
      <c r="E98" s="510" t="s">
        <v>3</v>
      </c>
      <c r="F98" s="291">
        <v>0</v>
      </c>
      <c r="G98" s="511" t="s">
        <v>6</v>
      </c>
      <c r="H98" s="423">
        <f>H70</f>
        <v>1.5610000000000001E-3</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240.53449999999998</v>
      </c>
      <c r="D104" s="568"/>
      <c r="E104" s="46">
        <f>H8</f>
        <v>1.0442</v>
      </c>
      <c r="F104" s="304">
        <f>'1461'!F104</f>
        <v>947.59</v>
      </c>
      <c r="G104" s="39" t="s">
        <v>12</v>
      </c>
      <c r="H104" s="101">
        <f>ROUND(C104*E104*F104,2)</f>
        <v>238002.51</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120.28819999999999</v>
      </c>
      <c r="D105" s="568"/>
      <c r="E105" s="46">
        <f>H8</f>
        <v>1.0442</v>
      </c>
      <c r="F105" s="304">
        <f>'1461'!F105</f>
        <v>904.74</v>
      </c>
      <c r="G105" s="39" t="s">
        <v>12</v>
      </c>
      <c r="H105" s="101">
        <f>ROUND(C105*E105*F105,2)</f>
        <v>113639.81</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0</v>
      </c>
      <c r="D106" s="568"/>
      <c r="E106" s="46">
        <f>H8</f>
        <v>1.0442</v>
      </c>
      <c r="F106" s="304">
        <f>'1461'!F106</f>
        <v>906.93</v>
      </c>
      <c r="G106" s="39" t="s">
        <v>12</v>
      </c>
      <c r="H106" s="94">
        <f>ROUND(C106*E106*F106,2)</f>
        <v>0</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360.82269999999994</v>
      </c>
      <c r="D107" s="558"/>
      <c r="E107" s="123"/>
      <c r="F107" s="123"/>
      <c r="G107" s="123"/>
      <c r="H107" s="124" t="s">
        <v>100</v>
      </c>
      <c r="I107" s="101">
        <f>IF(A1=75,0,H106+H105+H104)</f>
        <v>351642.32</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7"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2</v>
      </c>
      <c r="D113" s="143">
        <v>0</v>
      </c>
      <c r="E113" s="116">
        <f>C113</f>
        <v>2</v>
      </c>
      <c r="F113" s="126" t="s">
        <v>30</v>
      </c>
      <c r="G113" s="305">
        <f>'1461'!G113</f>
        <v>548</v>
      </c>
      <c r="I113" s="101">
        <f>ROUND(G113*E113,2)</f>
        <v>1096</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16">
        <f>(C114+D114)/2</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2793328.9499999997</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2678494.4099999997</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2678494.4099999997</v>
      </c>
      <c r="I135" s="94">
        <f>ROUND(IF(E30=0,0,IF(E30&gt;250,-(((250/E30)*H135)*IF(G135="H",0.02,0.05)),IF(G135="H",-0.02*H135,-0.05*H135))),2)</f>
        <v>-106302.96</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2687025.9899999998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5">
        <f>-492894.36-240977.85-240977.85-240977.85-240977.85-193234.7-193200.35-194063.21</f>
        <v>-2037304.02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267">
        <f>I137+I139</f>
        <v>649721.96999999974</v>
      </c>
      <c r="N141" s="73"/>
      <c r="O141" s="73"/>
      <c r="P141" s="73"/>
      <c r="Q141" s="73"/>
      <c r="R141" s="73"/>
      <c r="S141" s="73"/>
      <c r="T141" s="73"/>
      <c r="U141" s="73"/>
    </row>
    <row r="142" spans="1:21" x14ac:dyDescent="0.25">
      <c r="A142" s="81"/>
      <c r="B142" s="69"/>
      <c r="C142" s="69"/>
      <c r="D142" s="69"/>
      <c r="E142" s="69"/>
      <c r="F142" s="69"/>
      <c r="G142" s="69"/>
      <c r="H142" s="65"/>
      <c r="I142" s="267"/>
      <c r="N142" s="73"/>
      <c r="O142" s="73"/>
      <c r="P142" s="73"/>
      <c r="Q142" s="73"/>
      <c r="R142" s="73"/>
      <c r="S142" s="73"/>
      <c r="T142" s="73"/>
      <c r="U142" s="73"/>
    </row>
    <row r="143" spans="1:21" x14ac:dyDescent="0.25">
      <c r="A143" s="81" t="s">
        <v>248</v>
      </c>
      <c r="B143" s="69"/>
      <c r="C143" s="69"/>
      <c r="D143" s="69"/>
      <c r="E143" s="69"/>
      <c r="F143" s="69"/>
      <c r="G143" s="69"/>
      <c r="H143" s="65"/>
      <c r="I143" s="274">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216573.99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27621.759999999998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c r="K206" s="251"/>
    </row>
    <row r="207" spans="1:14" x14ac:dyDescent="0.25">
      <c r="A207" s="74"/>
      <c r="K207" s="251"/>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2">
    <tabColor rgb="FFFFCCCC"/>
  </sheetPr>
  <dimension ref="A1:V221"/>
  <sheetViews>
    <sheetView topLeftCell="A129" workbookViewId="0">
      <selection activeCell="E31" sqref="E3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327</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457"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J11" s="256"/>
      <c r="K11" s="255"/>
      <c r="L11" s="255"/>
      <c r="N11" s="12"/>
      <c r="O11" s="12"/>
      <c r="P11" s="13"/>
      <c r="Q11" s="13"/>
      <c r="R11" s="623" t="s">
        <v>1</v>
      </c>
      <c r="S11" s="623"/>
      <c r="T11" s="15" t="s">
        <v>60</v>
      </c>
      <c r="U11" s="16" t="s">
        <v>27</v>
      </c>
    </row>
    <row r="12" spans="1:21" ht="15.75" customHeight="1" x14ac:dyDescent="0.25">
      <c r="A12" s="544" t="s">
        <v>1</v>
      </c>
      <c r="B12" s="544"/>
      <c r="C12" s="327" t="str">
        <f>'1461'!C12</f>
        <v>FTE</v>
      </c>
      <c r="D12" s="325" t="str">
        <f>'1461'!D12</f>
        <v>FTE</v>
      </c>
      <c r="E12" s="325" t="s">
        <v>2</v>
      </c>
      <c r="F12" s="545" t="s">
        <v>63</v>
      </c>
      <c r="G12" s="545"/>
      <c r="H12" s="17" t="s">
        <v>59</v>
      </c>
      <c r="I12" s="389" t="s">
        <v>390</v>
      </c>
      <c r="J12" s="254"/>
      <c r="K12" s="255"/>
      <c r="L12" s="255"/>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K13" s="255"/>
      <c r="L13" s="255"/>
      <c r="N13" s="626" t="s">
        <v>36</v>
      </c>
      <c r="O13" s="626"/>
      <c r="P13" s="627" t="s">
        <v>37</v>
      </c>
      <c r="Q13" s="627"/>
      <c r="R13" s="628" t="s">
        <v>38</v>
      </c>
      <c r="S13" s="628"/>
      <c r="T13" s="22" t="s">
        <v>39</v>
      </c>
      <c r="U13" s="23" t="s">
        <v>40</v>
      </c>
    </row>
    <row r="14" spans="1:21" x14ac:dyDescent="0.25">
      <c r="A14" s="548" t="s">
        <v>20</v>
      </c>
      <c r="B14" s="548"/>
      <c r="C14" s="143">
        <v>86.26</v>
      </c>
      <c r="D14" s="141">
        <v>82.93</v>
      </c>
      <c r="E14" s="187">
        <f>IF(D$30=0,C14*2,C14+D14)</f>
        <v>169.19</v>
      </c>
      <c r="F14" s="639">
        <f>'1461'!F14:G14</f>
        <v>1.1220000000000001</v>
      </c>
      <c r="G14" s="639"/>
      <c r="H14" s="145">
        <f>ROUND(E14*F14,4)</f>
        <v>189.8312</v>
      </c>
      <c r="I14" s="111">
        <f>ROUND(ROUND(ROUND(H14*$C$8,4)*($H$8),2)*(MAX($H$9,1)),2)</f>
        <v>1018806.22</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9.5</v>
      </c>
      <c r="D15" s="143">
        <v>8.52</v>
      </c>
      <c r="E15" s="116">
        <f t="shared" ref="E15:E29" si="1">IF(D$30=0,C15*2,C15+D15)</f>
        <v>18.02</v>
      </c>
      <c r="F15" s="635">
        <f>'1461'!F15:G15</f>
        <v>1.1220000000000001</v>
      </c>
      <c r="G15" s="635"/>
      <c r="H15" s="80">
        <f t="shared" ref="H15:H29" si="2">ROUND(E15*F15,4)</f>
        <v>20.218399999999999</v>
      </c>
      <c r="I15" s="101">
        <f t="shared" ref="I15:I29" si="3">ROUND(ROUND(ROUND(H15*$C$8,4)*($H$8),2)*(MAX($H$9,1)),2)</f>
        <v>108510.25</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107.81</v>
      </c>
      <c r="D16" s="143">
        <v>103.57</v>
      </c>
      <c r="E16" s="116">
        <f t="shared" si="1"/>
        <v>211.38</v>
      </c>
      <c r="F16" s="635">
        <f>'1461'!F16:G16</f>
        <v>1</v>
      </c>
      <c r="G16" s="635"/>
      <c r="H16" s="80">
        <f t="shared" si="2"/>
        <v>211.38</v>
      </c>
      <c r="I16" s="101">
        <f t="shared" si="3"/>
        <v>1134456.6000000001</v>
      </c>
      <c r="N16" s="573" t="s">
        <v>22</v>
      </c>
      <c r="O16" s="573"/>
      <c r="P16" s="614">
        <f t="shared" si="0"/>
        <v>0</v>
      </c>
      <c r="Q16" s="614"/>
      <c r="R16" s="619">
        <v>1</v>
      </c>
      <c r="S16" s="619"/>
      <c r="T16" s="95">
        <f t="shared" si="4"/>
        <v>0</v>
      </c>
      <c r="U16" s="474">
        <f t="shared" si="5"/>
        <v>0</v>
      </c>
    </row>
    <row r="17" spans="1:21" x14ac:dyDescent="0.25">
      <c r="A17" s="550" t="s">
        <v>23</v>
      </c>
      <c r="B17" s="550"/>
      <c r="C17" s="143">
        <v>23</v>
      </c>
      <c r="D17" s="143">
        <v>21.01</v>
      </c>
      <c r="E17" s="116">
        <f t="shared" si="1"/>
        <v>44.010000000000005</v>
      </c>
      <c r="F17" s="635">
        <f>'1461'!F17:G17</f>
        <v>1</v>
      </c>
      <c r="G17" s="635"/>
      <c r="H17" s="80">
        <f t="shared" si="2"/>
        <v>44.01</v>
      </c>
      <c r="I17" s="101">
        <f t="shared" si="3"/>
        <v>236197.54</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0</v>
      </c>
      <c r="D18" s="143">
        <v>0</v>
      </c>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0</v>
      </c>
      <c r="D19" s="143">
        <v>0</v>
      </c>
      <c r="E19" s="116">
        <f t="shared" si="1"/>
        <v>0</v>
      </c>
      <c r="F19" s="635">
        <f>'1461'!F19:G19</f>
        <v>0.98799999999999999</v>
      </c>
      <c r="G19" s="635"/>
      <c r="H19" s="80">
        <f t="shared" si="2"/>
        <v>0</v>
      </c>
      <c r="I19" s="101">
        <f t="shared" si="3"/>
        <v>0</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28.34</v>
      </c>
      <c r="D26" s="143">
        <v>28.39</v>
      </c>
      <c r="E26" s="116">
        <f t="shared" si="1"/>
        <v>56.730000000000004</v>
      </c>
      <c r="F26" s="635">
        <f>'1461'!F26:G26</f>
        <v>1.208</v>
      </c>
      <c r="G26" s="635"/>
      <c r="H26" s="80">
        <f t="shared" si="2"/>
        <v>68.529799999999994</v>
      </c>
      <c r="I26" s="101">
        <f t="shared" si="3"/>
        <v>367793</v>
      </c>
      <c r="N26" s="573" t="s">
        <v>85</v>
      </c>
      <c r="O26" s="573"/>
      <c r="P26" s="614">
        <f t="shared" si="0"/>
        <v>0</v>
      </c>
      <c r="Q26" s="614"/>
      <c r="R26" s="619">
        <v>1</v>
      </c>
      <c r="S26" s="619"/>
      <c r="T26" s="95">
        <f t="shared" si="4"/>
        <v>0</v>
      </c>
      <c r="U26" s="474">
        <f t="shared" si="5"/>
        <v>0</v>
      </c>
    </row>
    <row r="27" spans="1:21" x14ac:dyDescent="0.25">
      <c r="A27" s="550" t="s">
        <v>86</v>
      </c>
      <c r="B27" s="550"/>
      <c r="C27" s="143">
        <v>15.19</v>
      </c>
      <c r="D27" s="143">
        <v>17.52</v>
      </c>
      <c r="E27" s="116">
        <f t="shared" si="1"/>
        <v>32.71</v>
      </c>
      <c r="F27" s="635">
        <f>'1461'!F27:G27</f>
        <v>1.208</v>
      </c>
      <c r="G27" s="635"/>
      <c r="H27" s="80">
        <f t="shared" si="2"/>
        <v>39.5137</v>
      </c>
      <c r="I27" s="101">
        <f t="shared" si="3"/>
        <v>212066.32</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270.10000000000002</v>
      </c>
      <c r="D30" s="94">
        <f>SUM(D14:D29)</f>
        <v>261.93999999999994</v>
      </c>
      <c r="E30" s="94">
        <f>SUM(E14:E29)</f>
        <v>532.04000000000008</v>
      </c>
      <c r="F30" s="554"/>
      <c r="G30" s="554"/>
      <c r="H30" s="99">
        <f>SUM(H14:H29)</f>
        <v>573.48309999999992</v>
      </c>
      <c r="I30" s="94">
        <f>SUM(I14:I29)</f>
        <v>3077829.93</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573.48309999999992</v>
      </c>
      <c r="F46" s="34"/>
      <c r="G46" s="106"/>
      <c r="H46" s="107" t="s">
        <v>98</v>
      </c>
      <c r="I46" s="94">
        <f>SUM(I44,I30)</f>
        <v>3077829.93</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3077829.93</v>
      </c>
      <c r="G51" s="109" t="s">
        <v>6</v>
      </c>
      <c r="H51" s="402">
        <v>4.5199999999999997E-2</v>
      </c>
      <c r="I51" s="101">
        <f>ROUND(F51*H51,2)</f>
        <v>139117.91</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3077829.93</v>
      </c>
      <c r="G52" s="109" t="s">
        <v>6</v>
      </c>
      <c r="H52" s="402">
        <v>1.41E-2</v>
      </c>
      <c r="I52" s="101">
        <f>ROUND(F52*H52,2)</f>
        <v>43397.4</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182515.31</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9</v>
      </c>
      <c r="D57" s="143">
        <v>8.07</v>
      </c>
      <c r="E57" s="116">
        <f t="shared" ref="E57:E65" si="10">IF(D$66=0,C57*2,C57+D57)</f>
        <v>17.07</v>
      </c>
      <c r="F57" s="444" t="s">
        <v>434</v>
      </c>
      <c r="G57" s="444">
        <v>251</v>
      </c>
      <c r="H57" s="458">
        <f>'1461'!H57</f>
        <v>1047</v>
      </c>
      <c r="I57" s="101">
        <f>ROUND(E57*H57,2)</f>
        <v>17872.29</v>
      </c>
      <c r="N57" s="590" t="s">
        <v>442</v>
      </c>
      <c r="O57" s="590"/>
      <c r="P57" s="593"/>
      <c r="Q57" s="593"/>
      <c r="R57" s="450" t="s">
        <v>434</v>
      </c>
      <c r="S57" s="450">
        <v>251</v>
      </c>
      <c r="T57" s="461">
        <f>H57</f>
        <v>1047</v>
      </c>
      <c r="U57" s="475">
        <f>ROUND(P57*T57,2)</f>
        <v>0</v>
      </c>
      <c r="V57" s="425"/>
    </row>
    <row r="58" spans="1:22" x14ac:dyDescent="0.25">
      <c r="A58" s="561"/>
      <c r="B58" s="561"/>
      <c r="C58" s="143">
        <v>0.5</v>
      </c>
      <c r="D58" s="143">
        <v>0.45</v>
      </c>
      <c r="E58" s="116">
        <f t="shared" si="10"/>
        <v>0.95</v>
      </c>
      <c r="F58" s="444" t="s">
        <v>434</v>
      </c>
      <c r="G58" s="444">
        <v>252</v>
      </c>
      <c r="H58" s="458">
        <f>'1461'!H58</f>
        <v>3380</v>
      </c>
      <c r="I58" s="101">
        <f t="shared" ref="I58:I65" si="11">ROUND(E58*H58,2)</f>
        <v>3211</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21</v>
      </c>
      <c r="D60" s="143">
        <v>19.18</v>
      </c>
      <c r="E60" s="116">
        <f t="shared" si="10"/>
        <v>40.18</v>
      </c>
      <c r="F60" s="445" t="s">
        <v>13</v>
      </c>
      <c r="G60" s="444">
        <v>251</v>
      </c>
      <c r="H60" s="458">
        <f>'1461'!H60</f>
        <v>1173</v>
      </c>
      <c r="I60" s="101">
        <f t="shared" si="11"/>
        <v>47131.14</v>
      </c>
      <c r="N60" s="591"/>
      <c r="O60" s="591"/>
      <c r="P60" s="594"/>
      <c r="Q60" s="594"/>
      <c r="R60" s="40" t="s">
        <v>13</v>
      </c>
      <c r="S60" s="450">
        <v>251</v>
      </c>
      <c r="T60" s="461">
        <f t="shared" si="12"/>
        <v>1173</v>
      </c>
      <c r="U60" s="475">
        <f t="shared" si="13"/>
        <v>0</v>
      </c>
      <c r="V60" s="425"/>
    </row>
    <row r="61" spans="1:22" x14ac:dyDescent="0.25">
      <c r="A61" s="561"/>
      <c r="B61" s="561"/>
      <c r="C61" s="143">
        <v>2</v>
      </c>
      <c r="D61" s="143">
        <v>1.83</v>
      </c>
      <c r="E61" s="116">
        <f t="shared" si="10"/>
        <v>3.83</v>
      </c>
      <c r="F61" s="445" t="s">
        <v>13</v>
      </c>
      <c r="G61" s="444">
        <v>252</v>
      </c>
      <c r="H61" s="458">
        <f>'1461'!H61</f>
        <v>3506</v>
      </c>
      <c r="I61" s="101">
        <f t="shared" si="11"/>
        <v>13427.98</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0</v>
      </c>
      <c r="D63" s="143">
        <v>0</v>
      </c>
      <c r="E63" s="116">
        <f t="shared" si="10"/>
        <v>0</v>
      </c>
      <c r="F63" s="445" t="s">
        <v>14</v>
      </c>
      <c r="G63" s="444">
        <v>251</v>
      </c>
      <c r="H63" s="458">
        <f>'1461'!H63</f>
        <v>835</v>
      </c>
      <c r="I63" s="101">
        <f t="shared" si="11"/>
        <v>0</v>
      </c>
      <c r="N63" s="591"/>
      <c r="O63" s="591"/>
      <c r="P63" s="594"/>
      <c r="Q63" s="594"/>
      <c r="R63" s="40" t="s">
        <v>14</v>
      </c>
      <c r="S63" s="450">
        <v>251</v>
      </c>
      <c r="T63" s="461">
        <f t="shared" si="12"/>
        <v>835</v>
      </c>
      <c r="U63" s="475">
        <f t="shared" si="13"/>
        <v>0</v>
      </c>
      <c r="V63" s="425"/>
    </row>
    <row r="64" spans="1:22" x14ac:dyDescent="0.25">
      <c r="A64" s="561"/>
      <c r="B64" s="561"/>
      <c r="C64" s="143">
        <v>0</v>
      </c>
      <c r="D64" s="143">
        <v>0</v>
      </c>
      <c r="E64" s="116">
        <f t="shared" si="10"/>
        <v>0</v>
      </c>
      <c r="F64" s="445" t="s">
        <v>14</v>
      </c>
      <c r="G64" s="444">
        <v>252</v>
      </c>
      <c r="H64" s="458">
        <f>'1461'!H64</f>
        <v>3168</v>
      </c>
      <c r="I64" s="101">
        <f t="shared" si="11"/>
        <v>0</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32.5</v>
      </c>
      <c r="D66" s="97">
        <f>SUM(D57:D65)</f>
        <v>29.53</v>
      </c>
      <c r="E66" s="97">
        <f>SUM(E57:E65)</f>
        <v>62.03</v>
      </c>
      <c r="F66" s="562" t="s">
        <v>443</v>
      </c>
      <c r="G66" s="562"/>
      <c r="H66" s="562"/>
      <c r="I66" s="97">
        <f>SUM(I57:I65)</f>
        <v>81642.409999999989</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532.04000000000008</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2.6359999999999999E-3</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573.48309999999992</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2.5249999999999999E-3</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532.04000000000008</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2.8540000000000002E-3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532.04000000000008</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2.6410000000000001E-3</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532.04000000000008</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2.859E-3</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2.6410000000000001E-3</v>
      </c>
      <c r="I85" s="101">
        <f>ROUND(F85*H85,2)</f>
        <v>117020.83</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2.6359999999999999E-3</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2.859E-3</v>
      </c>
      <c r="I90" s="101">
        <f>ROUND(F90*H90,2)</f>
        <v>46532.17</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2.8540000000000002E-3</v>
      </c>
      <c r="I92" s="101">
        <f t="shared" ref="I92:I96" si="14">ROUND(F92*H92,2)</f>
        <v>28905.42</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2.5249999999999999E-3</v>
      </c>
      <c r="I94" s="101">
        <f t="shared" si="14"/>
        <v>603469.13</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2.5249999999999999E-3</v>
      </c>
      <c r="I96" s="101">
        <f t="shared" si="14"/>
        <v>0</v>
      </c>
      <c r="N96" s="572" t="s">
        <v>418</v>
      </c>
      <c r="O96" s="573"/>
      <c r="P96" s="573"/>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475</v>
      </c>
      <c r="B98" s="512"/>
      <c r="C98" s="512"/>
      <c r="D98" s="512"/>
      <c r="E98" s="510" t="s">
        <v>3</v>
      </c>
      <c r="F98" s="291">
        <v>0</v>
      </c>
      <c r="G98" s="511" t="s">
        <v>6</v>
      </c>
      <c r="H98" s="423">
        <f>H70</f>
        <v>2.6359999999999999E-3</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278.57939999999996</v>
      </c>
      <c r="D104" s="568"/>
      <c r="E104" s="46">
        <f>H8</f>
        <v>1.0442</v>
      </c>
      <c r="F104" s="304">
        <f>'1461'!F104</f>
        <v>947.59</v>
      </c>
      <c r="G104" s="39" t="s">
        <v>12</v>
      </c>
      <c r="H104" s="101">
        <f>ROUND(C104*E104*F104,2)</f>
        <v>275646.93</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294.90369999999996</v>
      </c>
      <c r="D105" s="568"/>
      <c r="E105" s="46">
        <f>H8</f>
        <v>1.0442</v>
      </c>
      <c r="F105" s="304">
        <f>'1461'!F105</f>
        <v>904.74</v>
      </c>
      <c r="G105" s="39" t="s">
        <v>12</v>
      </c>
      <c r="H105" s="101">
        <f>ROUND(C105*E105*F105,2)</f>
        <v>278604.23</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0</v>
      </c>
      <c r="D106" s="568"/>
      <c r="E106" s="46">
        <f>H8</f>
        <v>1.0442</v>
      </c>
      <c r="F106" s="304">
        <f>'1461'!F106</f>
        <v>906.93</v>
      </c>
      <c r="G106" s="39" t="s">
        <v>12</v>
      </c>
      <c r="H106" s="94">
        <f>ROUND(C106*E106*F106,2)</f>
        <v>0</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573.48309999999992</v>
      </c>
      <c r="D107" s="558"/>
      <c r="E107" s="123"/>
      <c r="F107" s="123"/>
      <c r="G107" s="123"/>
      <c r="H107" s="124" t="s">
        <v>100</v>
      </c>
      <c r="I107" s="101">
        <f>IF(A1=75,0,H106+H105+H104)</f>
        <v>554251.15999999992</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7"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2</v>
      </c>
      <c r="D113" s="143">
        <v>0</v>
      </c>
      <c r="E113" s="116">
        <f>C113</f>
        <v>2</v>
      </c>
      <c r="F113" s="126" t="s">
        <v>30</v>
      </c>
      <c r="G113" s="305">
        <f>'1461'!G113</f>
        <v>548</v>
      </c>
      <c r="I113" s="101">
        <f>ROUND(G113*E113,2)</f>
        <v>1096</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16">
        <f>(C114+D114)/2</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4510747.05</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4328231.74</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4328231.74</v>
      </c>
      <c r="I135" s="94">
        <f>ROUND(IF(E30=0,0,IF(E30&gt;250,-(((250/E30)*H135)*IF(G135="H",0.02,0.05)),IF(G135="H",-0.02*H135,-0.05*H135))),2)</f>
        <v>-101689.53</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4409057.5199999996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5">
        <f>-652963.75-318794.64-318794.63-318794.64-318794.63-426107.95-423255.56-424725.61</f>
        <v>-3202231.41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267">
        <f>I137+I139</f>
        <v>1206826.1099999994</v>
      </c>
      <c r="N141" s="73"/>
      <c r="O141" s="73"/>
      <c r="P141" s="73"/>
      <c r="Q141" s="73"/>
      <c r="R141" s="73"/>
      <c r="S141" s="73"/>
      <c r="T141" s="73"/>
      <c r="U141" s="73"/>
    </row>
    <row r="142" spans="1:21" x14ac:dyDescent="0.25">
      <c r="A142" s="81"/>
      <c r="B142" s="69"/>
      <c r="C142" s="69"/>
      <c r="D142" s="69"/>
      <c r="E142" s="69"/>
      <c r="F142" s="69"/>
      <c r="G142" s="69"/>
      <c r="H142" s="65"/>
      <c r="I142" s="267"/>
      <c r="N142" s="73"/>
      <c r="O142" s="73"/>
      <c r="P142" s="73"/>
      <c r="Q142" s="73"/>
      <c r="R142" s="73"/>
      <c r="S142" s="73"/>
      <c r="T142" s="73"/>
      <c r="U142" s="73"/>
    </row>
    <row r="143" spans="1:21" x14ac:dyDescent="0.25">
      <c r="A143" s="81" t="s">
        <v>248</v>
      </c>
      <c r="B143" s="69"/>
      <c r="C143" s="69"/>
      <c r="D143" s="69"/>
      <c r="E143" s="69"/>
      <c r="F143" s="69"/>
      <c r="G143" s="69"/>
      <c r="H143" s="65"/>
      <c r="I143" s="274">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402275.37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114722.06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8">
    <tabColor rgb="FFFFCCCC"/>
  </sheetPr>
  <dimension ref="A1:V221"/>
  <sheetViews>
    <sheetView topLeftCell="A114" workbookViewId="0">
      <selection activeCell="D62" sqref="D6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133</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0</v>
      </c>
      <c r="D14" s="141">
        <v>0</v>
      </c>
      <c r="E14" s="187">
        <f>IF(D$30=0,C14*2,C14+D14)</f>
        <v>0</v>
      </c>
      <c r="F14" s="639">
        <f>'1461'!F14:G14</f>
        <v>1.1220000000000001</v>
      </c>
      <c r="G14" s="639"/>
      <c r="H14" s="145">
        <f>ROUND(E14*F14,4)</f>
        <v>0</v>
      </c>
      <c r="I14" s="111">
        <f>ROUND(ROUND(ROUND(H14*$C$8,4)*($H$8),2)*(MAX($H$9,1)),2)</f>
        <v>0</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0</v>
      </c>
      <c r="D15" s="143">
        <v>0</v>
      </c>
      <c r="E15" s="116">
        <f t="shared" ref="E15:E29" si="1">IF(D$30=0,C15*2,C15+D15)</f>
        <v>0</v>
      </c>
      <c r="F15" s="635">
        <f>'1461'!F15:G15</f>
        <v>1.1220000000000001</v>
      </c>
      <c r="G15" s="635"/>
      <c r="H15" s="80">
        <f t="shared" ref="H15:H29" si="2">ROUND(E15*F15,4)</f>
        <v>0</v>
      </c>
      <c r="I15" s="101">
        <f t="shared" ref="I15:I29" si="3">ROUND(ROUND(ROUND(H15*$C$8,4)*($H$8),2)*(MAX($H$9,1)),2)</f>
        <v>0</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34.07</v>
      </c>
      <c r="D16" s="143">
        <v>34.06</v>
      </c>
      <c r="E16" s="116">
        <f t="shared" si="1"/>
        <v>68.13</v>
      </c>
      <c r="F16" s="635">
        <f>'1461'!F16:G16</f>
        <v>1</v>
      </c>
      <c r="G16" s="635"/>
      <c r="H16" s="80">
        <f t="shared" si="2"/>
        <v>68.13</v>
      </c>
      <c r="I16" s="101">
        <f t="shared" si="3"/>
        <v>365647.31</v>
      </c>
      <c r="N16" s="573" t="s">
        <v>22</v>
      </c>
      <c r="O16" s="573"/>
      <c r="P16" s="614">
        <f t="shared" si="0"/>
        <v>0</v>
      </c>
      <c r="Q16" s="614"/>
      <c r="R16" s="619">
        <v>1</v>
      </c>
      <c r="S16" s="619"/>
      <c r="T16" s="95">
        <f t="shared" si="4"/>
        <v>0</v>
      </c>
      <c r="U16" s="474">
        <f t="shared" si="5"/>
        <v>0</v>
      </c>
    </row>
    <row r="17" spans="1:21" x14ac:dyDescent="0.25">
      <c r="A17" s="550" t="s">
        <v>23</v>
      </c>
      <c r="B17" s="550"/>
      <c r="C17" s="143">
        <v>11</v>
      </c>
      <c r="D17" s="143">
        <v>10.72</v>
      </c>
      <c r="E17" s="116">
        <f t="shared" si="1"/>
        <v>21.72</v>
      </c>
      <c r="F17" s="635">
        <f>'1461'!F17:G17</f>
        <v>1</v>
      </c>
      <c r="G17" s="635"/>
      <c r="H17" s="80">
        <f t="shared" si="2"/>
        <v>21.72</v>
      </c>
      <c r="I17" s="101">
        <f t="shared" si="3"/>
        <v>116569.2</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0</v>
      </c>
      <c r="D18" s="143">
        <v>0</v>
      </c>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0</v>
      </c>
      <c r="D19" s="143">
        <v>0</v>
      </c>
      <c r="E19" s="116">
        <f t="shared" si="1"/>
        <v>0</v>
      </c>
      <c r="F19" s="635">
        <f>'1461'!F19:G19</f>
        <v>0.98799999999999999</v>
      </c>
      <c r="G19" s="635"/>
      <c r="H19" s="80">
        <f t="shared" si="2"/>
        <v>0</v>
      </c>
      <c r="I19" s="101">
        <f t="shared" si="3"/>
        <v>0</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0</v>
      </c>
      <c r="D26" s="143">
        <v>0</v>
      </c>
      <c r="E26" s="116">
        <f t="shared" si="1"/>
        <v>0</v>
      </c>
      <c r="F26" s="635">
        <f>'1461'!F26:G26</f>
        <v>1.208</v>
      </c>
      <c r="G26" s="635"/>
      <c r="H26" s="80">
        <f t="shared" si="2"/>
        <v>0</v>
      </c>
      <c r="I26" s="101">
        <f t="shared" si="3"/>
        <v>0</v>
      </c>
      <c r="N26" s="573" t="s">
        <v>85</v>
      </c>
      <c r="O26" s="573"/>
      <c r="P26" s="614">
        <f t="shared" si="0"/>
        <v>0</v>
      </c>
      <c r="Q26" s="614"/>
      <c r="R26" s="619">
        <v>1</v>
      </c>
      <c r="S26" s="619"/>
      <c r="T26" s="95">
        <f t="shared" si="4"/>
        <v>0</v>
      </c>
      <c r="U26" s="474">
        <f t="shared" si="5"/>
        <v>0</v>
      </c>
    </row>
    <row r="27" spans="1:21" x14ac:dyDescent="0.25">
      <c r="A27" s="550" t="s">
        <v>86</v>
      </c>
      <c r="B27" s="550"/>
      <c r="C27" s="143">
        <v>0.43</v>
      </c>
      <c r="D27" s="143">
        <v>0.43</v>
      </c>
      <c r="E27" s="116">
        <f t="shared" si="1"/>
        <v>0.86</v>
      </c>
      <c r="F27" s="635">
        <f>'1461'!F27:G27</f>
        <v>1.208</v>
      </c>
      <c r="G27" s="635"/>
      <c r="H27" s="80">
        <f t="shared" si="2"/>
        <v>1.0388999999999999</v>
      </c>
      <c r="I27" s="101">
        <f t="shared" si="3"/>
        <v>5575.68</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45.5</v>
      </c>
      <c r="D30" s="94">
        <f>SUM(D14:D29)</f>
        <v>45.21</v>
      </c>
      <c r="E30" s="94">
        <f>SUM(E14:E29)</f>
        <v>90.71</v>
      </c>
      <c r="F30" s="554"/>
      <c r="G30" s="554"/>
      <c r="H30" s="99">
        <f>SUM(H14:H29)</f>
        <v>90.888899999999992</v>
      </c>
      <c r="I30" s="94">
        <f>SUM(I14:I29)</f>
        <v>487792.19</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90.888899999999992</v>
      </c>
      <c r="F46" s="34"/>
      <c r="G46" s="106"/>
      <c r="H46" s="107" t="s">
        <v>98</v>
      </c>
      <c r="I46" s="94">
        <f>SUM(I44,I30)</f>
        <v>487792.19</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487792.19</v>
      </c>
      <c r="G51" s="109" t="s">
        <v>6</v>
      </c>
      <c r="H51" s="402">
        <v>4.5199999999999997E-2</v>
      </c>
      <c r="I51" s="101">
        <f>ROUND(F51*H51,2)</f>
        <v>22048.21</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487792.19</v>
      </c>
      <c r="G52" s="109" t="s">
        <v>6</v>
      </c>
      <c r="H52" s="402">
        <v>1.41E-2</v>
      </c>
      <c r="I52" s="101">
        <f>ROUND(F52*H52,2)</f>
        <v>6877.87</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28926.079999999998</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0</v>
      </c>
      <c r="D57" s="143">
        <v>0</v>
      </c>
      <c r="E57" s="116">
        <f t="shared" ref="E57:E65" si="10">IF(D$66=0,C57*2,C57+D57)</f>
        <v>0</v>
      </c>
      <c r="F57" s="444" t="s">
        <v>434</v>
      </c>
      <c r="G57" s="444">
        <v>251</v>
      </c>
      <c r="H57" s="458">
        <f>'1461'!H57</f>
        <v>1047</v>
      </c>
      <c r="I57" s="101">
        <f>ROUND(E57*H57,2)</f>
        <v>0</v>
      </c>
      <c r="N57" s="590" t="s">
        <v>442</v>
      </c>
      <c r="O57" s="590"/>
      <c r="P57" s="593"/>
      <c r="Q57" s="593"/>
      <c r="R57" s="450" t="s">
        <v>434</v>
      </c>
      <c r="S57" s="450">
        <v>251</v>
      </c>
      <c r="T57" s="461">
        <f>H57</f>
        <v>1047</v>
      </c>
      <c r="U57" s="475">
        <f>ROUND(P57*T57,2)</f>
        <v>0</v>
      </c>
      <c r="V57" s="425"/>
    </row>
    <row r="58" spans="1:22" x14ac:dyDescent="0.25">
      <c r="A58" s="561"/>
      <c r="B58" s="561"/>
      <c r="C58" s="143">
        <v>0</v>
      </c>
      <c r="D58" s="143">
        <v>0</v>
      </c>
      <c r="E58" s="116">
        <f t="shared" si="10"/>
        <v>0</v>
      </c>
      <c r="F58" s="444" t="s">
        <v>434</v>
      </c>
      <c r="G58" s="444">
        <v>252</v>
      </c>
      <c r="H58" s="458">
        <f>'1461'!H58</f>
        <v>3380</v>
      </c>
      <c r="I58" s="101">
        <f t="shared" ref="I58:I65" si="11">ROUND(E58*H58,2)</f>
        <v>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11</v>
      </c>
      <c r="D60" s="143">
        <v>10.72</v>
      </c>
      <c r="E60" s="116">
        <f t="shared" si="10"/>
        <v>21.72</v>
      </c>
      <c r="F60" s="445" t="s">
        <v>13</v>
      </c>
      <c r="G60" s="444">
        <v>251</v>
      </c>
      <c r="H60" s="458">
        <f>'1461'!H60</f>
        <v>1173</v>
      </c>
      <c r="I60" s="101">
        <f t="shared" si="11"/>
        <v>25477.56</v>
      </c>
      <c r="N60" s="591"/>
      <c r="O60" s="591"/>
      <c r="P60" s="594"/>
      <c r="Q60" s="594"/>
      <c r="R60" s="40" t="s">
        <v>13</v>
      </c>
      <c r="S60" s="450">
        <v>251</v>
      </c>
      <c r="T60" s="461">
        <f t="shared" si="12"/>
        <v>1173</v>
      </c>
      <c r="U60" s="475">
        <f t="shared" si="13"/>
        <v>0</v>
      </c>
      <c r="V60" s="425"/>
    </row>
    <row r="61" spans="1:22" x14ac:dyDescent="0.25">
      <c r="A61" s="561"/>
      <c r="B61" s="561"/>
      <c r="C61" s="143">
        <v>0</v>
      </c>
      <c r="D61" s="143">
        <v>0</v>
      </c>
      <c r="E61" s="116">
        <f t="shared" si="10"/>
        <v>0</v>
      </c>
      <c r="F61" s="445" t="s">
        <v>13</v>
      </c>
      <c r="G61" s="444">
        <v>252</v>
      </c>
      <c r="H61" s="458">
        <f>'1461'!H61</f>
        <v>3506</v>
      </c>
      <c r="I61" s="101">
        <f t="shared" si="11"/>
        <v>0</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0</v>
      </c>
      <c r="D63" s="143">
        <v>0</v>
      </c>
      <c r="E63" s="116">
        <f t="shared" si="10"/>
        <v>0</v>
      </c>
      <c r="F63" s="445" t="s">
        <v>14</v>
      </c>
      <c r="G63" s="444">
        <v>251</v>
      </c>
      <c r="H63" s="458">
        <f>'1461'!H63</f>
        <v>835</v>
      </c>
      <c r="I63" s="101">
        <f t="shared" si="11"/>
        <v>0</v>
      </c>
      <c r="N63" s="591"/>
      <c r="O63" s="591"/>
      <c r="P63" s="594"/>
      <c r="Q63" s="594"/>
      <c r="R63" s="40" t="s">
        <v>14</v>
      </c>
      <c r="S63" s="450">
        <v>251</v>
      </c>
      <c r="T63" s="461">
        <f t="shared" si="12"/>
        <v>835</v>
      </c>
      <c r="U63" s="475">
        <f t="shared" si="13"/>
        <v>0</v>
      </c>
      <c r="V63" s="425"/>
    </row>
    <row r="64" spans="1:22" x14ac:dyDescent="0.25">
      <c r="A64" s="561"/>
      <c r="B64" s="561"/>
      <c r="C64" s="143">
        <v>0</v>
      </c>
      <c r="D64" s="143">
        <v>0</v>
      </c>
      <c r="E64" s="116">
        <f t="shared" si="10"/>
        <v>0</v>
      </c>
      <c r="F64" s="445" t="s">
        <v>14</v>
      </c>
      <c r="G64" s="444">
        <v>252</v>
      </c>
      <c r="H64" s="458">
        <f>'1461'!H64</f>
        <v>3168</v>
      </c>
      <c r="I64" s="101">
        <f t="shared" si="11"/>
        <v>0</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11</v>
      </c>
      <c r="D66" s="97">
        <f>SUM(D57:D65)</f>
        <v>10.72</v>
      </c>
      <c r="E66" s="97">
        <f>SUM(E57:E65)</f>
        <v>21.72</v>
      </c>
      <c r="F66" s="562" t="s">
        <v>443</v>
      </c>
      <c r="G66" s="562"/>
      <c r="H66" s="562"/>
      <c r="I66" s="97">
        <f>SUM(I57:I65)</f>
        <v>25477.56</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90.71</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4.4999999999999999E-4</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90.888899999999992</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4.0000000000000002E-4</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90.71</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4.8700000000000002E-4</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90.71</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4.4999999999999999E-4</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90.71</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4.8700000000000002E-4</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4.4999999999999999E-4</v>
      </c>
      <c r="I85" s="101">
        <f>ROUND(F85*H85,2)</f>
        <v>19939.18</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4.4999999999999999E-4</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4.8700000000000002E-4</v>
      </c>
      <c r="I90" s="101">
        <f>ROUND(F90*H90,2)</f>
        <v>7926.26</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4.8700000000000002E-4</v>
      </c>
      <c r="I92" s="101">
        <f t="shared" ref="I92:I96" si="14">ROUND(F92*H92,2)</f>
        <v>4932.3500000000004</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4.0000000000000002E-4</v>
      </c>
      <c r="I94" s="101">
        <f t="shared" si="14"/>
        <v>95599.07</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4.0000000000000002E-4</v>
      </c>
      <c r="I96" s="101">
        <f t="shared" si="14"/>
        <v>0</v>
      </c>
      <c r="N96" s="572" t="s">
        <v>418</v>
      </c>
      <c r="O96" s="573"/>
      <c r="P96" s="573"/>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475</v>
      </c>
      <c r="B98" s="512"/>
      <c r="C98" s="512"/>
      <c r="D98" s="512"/>
      <c r="E98" s="510" t="s">
        <v>3</v>
      </c>
      <c r="F98" s="291">
        <v>0</v>
      </c>
      <c r="G98" s="511" t="s">
        <v>6</v>
      </c>
      <c r="H98" s="423">
        <f>H70</f>
        <v>4.4999999999999999E-4</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0</v>
      </c>
      <c r="D104" s="568"/>
      <c r="E104" s="46">
        <f>H8</f>
        <v>1.0442</v>
      </c>
      <c r="F104" s="304">
        <f>'1461'!F104</f>
        <v>947.59</v>
      </c>
      <c r="G104" s="39" t="s">
        <v>12</v>
      </c>
      <c r="H104" s="101">
        <f>ROUND(C104*E104*F104,2)</f>
        <v>0</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90.888899999999992</v>
      </c>
      <c r="D105" s="568"/>
      <c r="E105" s="46">
        <f>H8</f>
        <v>1.0442</v>
      </c>
      <c r="F105" s="304">
        <f>'1461'!F105</f>
        <v>904.74</v>
      </c>
      <c r="G105" s="39" t="s">
        <v>12</v>
      </c>
      <c r="H105" s="101">
        <f>ROUND(C105*E105*F105,2)</f>
        <v>85865.43</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0</v>
      </c>
      <c r="D106" s="568"/>
      <c r="E106" s="46">
        <f>H8</f>
        <v>1.0442</v>
      </c>
      <c r="F106" s="304">
        <f>'1461'!F106</f>
        <v>906.93</v>
      </c>
      <c r="G106" s="39" t="s">
        <v>12</v>
      </c>
      <c r="H106" s="94">
        <f>ROUND(C106*E106*F106,2)</f>
        <v>0</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90.888899999999992</v>
      </c>
      <c r="D107" s="558"/>
      <c r="E107" s="123"/>
      <c r="F107" s="123"/>
      <c r="G107" s="123"/>
      <c r="H107" s="124" t="s">
        <v>100</v>
      </c>
      <c r="I107" s="101">
        <f>IF(A1=75,0,H106+H105+H104)</f>
        <v>85865.43</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0</v>
      </c>
      <c r="D113" s="143">
        <v>0</v>
      </c>
      <c r="E113" s="116">
        <f>C113</f>
        <v>0</v>
      </c>
      <c r="F113" s="126" t="s">
        <v>30</v>
      </c>
      <c r="G113" s="305">
        <f>'1461'!G113</f>
        <v>548</v>
      </c>
      <c r="I113" s="101">
        <f>ROUND(G113*E113,2)</f>
        <v>0</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16">
        <f>C114</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727532.04</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698605.96000000008</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698605.96000000008</v>
      </c>
      <c r="I135" s="94">
        <f>ROUND(IF(E30=0,0,IF(E30&gt;250,-(((250/E30)*H135)*IF(G135="H",0.02,0.05)),IF(G135="H",-0.02*H135,-0.05*H135))),2)</f>
        <v>-13972.12</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713559.92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-108168.41-52698.55-52698.55-52698.55-52698.55-67238.23-65811.55-66065.53</f>
        <v>-518077.91999999993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195482.00000000012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65160.67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9">
    <tabColor rgb="FFFFCCCC"/>
  </sheetPr>
  <dimension ref="A1:V221"/>
  <sheetViews>
    <sheetView topLeftCell="A126" workbookViewId="0">
      <selection activeCell="D62" sqref="D6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134</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142.62</v>
      </c>
      <c r="D14" s="141">
        <v>141.31</v>
      </c>
      <c r="E14" s="187">
        <f>IF(D$30=0,C14*2,C14+D14)</f>
        <v>283.93</v>
      </c>
      <c r="F14" s="639">
        <f>'1461'!F14:G14</f>
        <v>1.1220000000000001</v>
      </c>
      <c r="G14" s="639"/>
      <c r="H14" s="145">
        <f>ROUND(E14*F14,4)</f>
        <v>318.56950000000001</v>
      </c>
      <c r="I14" s="111">
        <f>ROUND(ROUND(ROUND(H14*$C$8,4)*($H$8),2)*(MAX($H$9,1)),2)</f>
        <v>1709732.58</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10.5</v>
      </c>
      <c r="D15" s="143">
        <v>9.51</v>
      </c>
      <c r="E15" s="116">
        <f t="shared" ref="E15:E29" si="1">IF(D$30=0,C15*2,C15+D15)</f>
        <v>20.009999999999998</v>
      </c>
      <c r="F15" s="635">
        <f>'1461'!F15:G15</f>
        <v>1.1220000000000001</v>
      </c>
      <c r="G15" s="635"/>
      <c r="H15" s="80">
        <f t="shared" ref="H15:H29" si="2">ROUND(E15*F15,4)</f>
        <v>22.4512</v>
      </c>
      <c r="I15" s="101">
        <f t="shared" ref="I15:I29" si="3">ROUND(ROUND(ROUND(H15*$C$8,4)*($H$8),2)*(MAX($H$9,1)),2)</f>
        <v>120493.48</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178.85</v>
      </c>
      <c r="D16" s="143">
        <v>180.65</v>
      </c>
      <c r="E16" s="116">
        <f t="shared" si="1"/>
        <v>359.5</v>
      </c>
      <c r="F16" s="635">
        <f>'1461'!F16:G16</f>
        <v>1</v>
      </c>
      <c r="G16" s="635"/>
      <c r="H16" s="80">
        <f t="shared" si="2"/>
        <v>359.5</v>
      </c>
      <c r="I16" s="101">
        <f t="shared" si="3"/>
        <v>1929402.73</v>
      </c>
      <c r="N16" s="573" t="s">
        <v>22</v>
      </c>
      <c r="O16" s="573"/>
      <c r="P16" s="614">
        <f t="shared" si="0"/>
        <v>0</v>
      </c>
      <c r="Q16" s="614"/>
      <c r="R16" s="619">
        <v>1</v>
      </c>
      <c r="S16" s="619"/>
      <c r="T16" s="95">
        <f t="shared" si="4"/>
        <v>0</v>
      </c>
      <c r="U16" s="474">
        <f t="shared" si="5"/>
        <v>0</v>
      </c>
    </row>
    <row r="17" spans="1:21" x14ac:dyDescent="0.25">
      <c r="A17" s="550" t="s">
        <v>23</v>
      </c>
      <c r="B17" s="550"/>
      <c r="C17" s="143">
        <v>20.5</v>
      </c>
      <c r="D17" s="143">
        <v>20.23</v>
      </c>
      <c r="E17" s="116">
        <f t="shared" si="1"/>
        <v>40.730000000000004</v>
      </c>
      <c r="F17" s="635">
        <f>'1461'!F17:G17</f>
        <v>1</v>
      </c>
      <c r="G17" s="635"/>
      <c r="H17" s="80">
        <f t="shared" si="2"/>
        <v>40.729999999999997</v>
      </c>
      <c r="I17" s="101">
        <f t="shared" si="3"/>
        <v>218594.08</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0</v>
      </c>
      <c r="D18" s="143">
        <v>0</v>
      </c>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0</v>
      </c>
      <c r="D19" s="143">
        <v>0</v>
      </c>
      <c r="E19" s="116">
        <f t="shared" si="1"/>
        <v>0</v>
      </c>
      <c r="F19" s="635">
        <f>'1461'!F19:G19</f>
        <v>0.98799999999999999</v>
      </c>
      <c r="G19" s="635"/>
      <c r="H19" s="80">
        <f t="shared" si="2"/>
        <v>0</v>
      </c>
      <c r="I19" s="101">
        <f t="shared" si="3"/>
        <v>0</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22.88</v>
      </c>
      <c r="D26" s="143">
        <v>19.68</v>
      </c>
      <c r="E26" s="116">
        <f t="shared" si="1"/>
        <v>42.56</v>
      </c>
      <c r="F26" s="635">
        <f>'1461'!F26:G26</f>
        <v>1.208</v>
      </c>
      <c r="G26" s="635"/>
      <c r="H26" s="80">
        <f t="shared" si="2"/>
        <v>51.412500000000001</v>
      </c>
      <c r="I26" s="101">
        <f t="shared" si="3"/>
        <v>275926.06</v>
      </c>
      <c r="N26" s="573" t="s">
        <v>85</v>
      </c>
      <c r="O26" s="573"/>
      <c r="P26" s="614">
        <f t="shared" si="0"/>
        <v>0</v>
      </c>
      <c r="Q26" s="614"/>
      <c r="R26" s="619">
        <v>1</v>
      </c>
      <c r="S26" s="619"/>
      <c r="T26" s="95">
        <f t="shared" si="4"/>
        <v>0</v>
      </c>
      <c r="U26" s="474">
        <f t="shared" si="5"/>
        <v>0</v>
      </c>
    </row>
    <row r="27" spans="1:21" x14ac:dyDescent="0.25">
      <c r="A27" s="550" t="s">
        <v>86</v>
      </c>
      <c r="B27" s="550"/>
      <c r="C27" s="143">
        <v>18.82</v>
      </c>
      <c r="D27" s="143">
        <v>15.22</v>
      </c>
      <c r="E27" s="116">
        <f t="shared" si="1"/>
        <v>34.04</v>
      </c>
      <c r="F27" s="635">
        <f>'1461'!F27:G27</f>
        <v>1.208</v>
      </c>
      <c r="G27" s="635"/>
      <c r="H27" s="80">
        <f t="shared" si="2"/>
        <v>41.1203</v>
      </c>
      <c r="I27" s="101">
        <f t="shared" si="3"/>
        <v>220688.79</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394.17</v>
      </c>
      <c r="D30" s="94">
        <f>SUM(D14:D29)</f>
        <v>386.60000000000008</v>
      </c>
      <c r="E30" s="94">
        <f>SUM(E14:E29)</f>
        <v>780.77</v>
      </c>
      <c r="F30" s="554"/>
      <c r="G30" s="554"/>
      <c r="H30" s="99">
        <f>SUM(H14:H29)</f>
        <v>833.78350000000012</v>
      </c>
      <c r="I30" s="94">
        <f>SUM(I14:I29)</f>
        <v>4474837.72</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833.78350000000012</v>
      </c>
      <c r="F46" s="34"/>
      <c r="G46" s="106"/>
      <c r="H46" s="107" t="s">
        <v>98</v>
      </c>
      <c r="I46" s="94">
        <f>SUM(I44,I30)</f>
        <v>4474837.72</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4474837.72</v>
      </c>
      <c r="G51" s="109" t="s">
        <v>6</v>
      </c>
      <c r="H51" s="402">
        <v>4.5199999999999997E-2</v>
      </c>
      <c r="I51" s="101">
        <f>ROUND(F51*H51,2)</f>
        <v>202262.66</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4474837.72</v>
      </c>
      <c r="G52" s="109" t="s">
        <v>6</v>
      </c>
      <c r="H52" s="402">
        <v>1.41E-2</v>
      </c>
      <c r="I52" s="101">
        <f>ROUND(F52*H52,2)</f>
        <v>63095.21</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265357.87</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7.5</v>
      </c>
      <c r="D57" s="143">
        <v>6.8</v>
      </c>
      <c r="E57" s="116">
        <f t="shared" ref="E57:E65" si="10">IF(D$66=0,C57*2,C57+D57)</f>
        <v>14.3</v>
      </c>
      <c r="F57" s="444" t="s">
        <v>434</v>
      </c>
      <c r="G57" s="444">
        <v>251</v>
      </c>
      <c r="H57" s="458">
        <f>'1461'!H57</f>
        <v>1047</v>
      </c>
      <c r="I57" s="101">
        <f>ROUND(E57*H57,2)</f>
        <v>14972.1</v>
      </c>
      <c r="N57" s="590" t="s">
        <v>442</v>
      </c>
      <c r="O57" s="590"/>
      <c r="P57" s="593"/>
      <c r="Q57" s="593"/>
      <c r="R57" s="450" t="s">
        <v>434</v>
      </c>
      <c r="S57" s="450">
        <v>251</v>
      </c>
      <c r="T57" s="461">
        <f>H57</f>
        <v>1047</v>
      </c>
      <c r="U57" s="475">
        <f>ROUND(P57*T57,2)</f>
        <v>0</v>
      </c>
      <c r="V57" s="425"/>
    </row>
    <row r="58" spans="1:22" x14ac:dyDescent="0.25">
      <c r="A58" s="561"/>
      <c r="B58" s="561"/>
      <c r="C58" s="143">
        <v>2.5</v>
      </c>
      <c r="D58" s="143">
        <v>2.2599999999999998</v>
      </c>
      <c r="E58" s="116">
        <f t="shared" si="10"/>
        <v>4.76</v>
      </c>
      <c r="F58" s="444" t="s">
        <v>434</v>
      </c>
      <c r="G58" s="444">
        <v>252</v>
      </c>
      <c r="H58" s="458">
        <f>'1461'!H58</f>
        <v>3380</v>
      </c>
      <c r="I58" s="101">
        <f t="shared" ref="I58:I65" si="11">ROUND(E58*H58,2)</f>
        <v>16088.8</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0.5</v>
      </c>
      <c r="D59" s="143">
        <v>0.45</v>
      </c>
      <c r="E59" s="116">
        <f t="shared" si="10"/>
        <v>0.95</v>
      </c>
      <c r="F59" s="444" t="s">
        <v>434</v>
      </c>
      <c r="G59" s="444">
        <v>253</v>
      </c>
      <c r="H59" s="458">
        <f>'1461'!H59</f>
        <v>6896</v>
      </c>
      <c r="I59" s="101">
        <f t="shared" si="11"/>
        <v>6551.2</v>
      </c>
      <c r="N59" s="591"/>
      <c r="O59" s="591"/>
      <c r="P59" s="594"/>
      <c r="Q59" s="594"/>
      <c r="R59" s="450" t="s">
        <v>434</v>
      </c>
      <c r="S59" s="450">
        <v>253</v>
      </c>
      <c r="T59" s="461">
        <f t="shared" si="12"/>
        <v>6896</v>
      </c>
      <c r="U59" s="475">
        <f t="shared" si="13"/>
        <v>0</v>
      </c>
      <c r="V59" s="425"/>
    </row>
    <row r="60" spans="1:22" x14ac:dyDescent="0.25">
      <c r="A60" s="561"/>
      <c r="B60" s="561"/>
      <c r="C60" s="143">
        <v>20.5</v>
      </c>
      <c r="D60" s="143">
        <v>20.23</v>
      </c>
      <c r="E60" s="116">
        <f t="shared" si="10"/>
        <v>40.730000000000004</v>
      </c>
      <c r="F60" s="445" t="s">
        <v>13</v>
      </c>
      <c r="G60" s="444">
        <v>251</v>
      </c>
      <c r="H60" s="458">
        <f>'1461'!H60</f>
        <v>1173</v>
      </c>
      <c r="I60" s="101">
        <f t="shared" si="11"/>
        <v>47776.29</v>
      </c>
      <c r="N60" s="591"/>
      <c r="O60" s="591"/>
      <c r="P60" s="594"/>
      <c r="Q60" s="594"/>
      <c r="R60" s="40" t="s">
        <v>13</v>
      </c>
      <c r="S60" s="450">
        <v>251</v>
      </c>
      <c r="T60" s="461">
        <f t="shared" si="12"/>
        <v>1173</v>
      </c>
      <c r="U60" s="475">
        <f t="shared" si="13"/>
        <v>0</v>
      </c>
      <c r="V60" s="425"/>
    </row>
    <row r="61" spans="1:22" x14ac:dyDescent="0.25">
      <c r="A61" s="561"/>
      <c r="B61" s="561"/>
      <c r="C61" s="143">
        <v>0</v>
      </c>
      <c r="D61" s="143">
        <v>0</v>
      </c>
      <c r="E61" s="116">
        <f t="shared" si="10"/>
        <v>0</v>
      </c>
      <c r="F61" s="445" t="s">
        <v>13</v>
      </c>
      <c r="G61" s="444">
        <v>252</v>
      </c>
      <c r="H61" s="458">
        <f>'1461'!H61</f>
        <v>3506</v>
      </c>
      <c r="I61" s="101">
        <f t="shared" si="11"/>
        <v>0</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0</v>
      </c>
      <c r="D63" s="143">
        <v>0</v>
      </c>
      <c r="E63" s="116">
        <f t="shared" si="10"/>
        <v>0</v>
      </c>
      <c r="F63" s="445" t="s">
        <v>14</v>
      </c>
      <c r="G63" s="444">
        <v>251</v>
      </c>
      <c r="H63" s="458">
        <f>'1461'!H63</f>
        <v>835</v>
      </c>
      <c r="I63" s="101">
        <f t="shared" si="11"/>
        <v>0</v>
      </c>
      <c r="N63" s="591"/>
      <c r="O63" s="591"/>
      <c r="P63" s="594"/>
      <c r="Q63" s="594"/>
      <c r="R63" s="40" t="s">
        <v>14</v>
      </c>
      <c r="S63" s="450">
        <v>251</v>
      </c>
      <c r="T63" s="461">
        <f t="shared" si="12"/>
        <v>835</v>
      </c>
      <c r="U63" s="475">
        <f t="shared" si="13"/>
        <v>0</v>
      </c>
      <c r="V63" s="425"/>
    </row>
    <row r="64" spans="1:22" x14ac:dyDescent="0.25">
      <c r="A64" s="561"/>
      <c r="B64" s="561"/>
      <c r="C64" s="143">
        <v>0</v>
      </c>
      <c r="D64" s="143">
        <v>0</v>
      </c>
      <c r="E64" s="116">
        <f t="shared" si="10"/>
        <v>0</v>
      </c>
      <c r="F64" s="445" t="s">
        <v>14</v>
      </c>
      <c r="G64" s="444">
        <v>252</v>
      </c>
      <c r="H64" s="458">
        <f>'1461'!H64</f>
        <v>3168</v>
      </c>
      <c r="I64" s="101">
        <f t="shared" si="11"/>
        <v>0</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31</v>
      </c>
      <c r="D66" s="97">
        <f>SUM(D57:D65)</f>
        <v>29.74</v>
      </c>
      <c r="E66" s="97">
        <f>SUM(E57:E65)</f>
        <v>60.740000000000009</v>
      </c>
      <c r="F66" s="562" t="s">
        <v>443</v>
      </c>
      <c r="G66" s="562"/>
      <c r="H66" s="562"/>
      <c r="I66" s="97">
        <f>SUM(I57:I65)</f>
        <v>85388.39</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780.77</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3.869E-3</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833.78350000000012</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3.6719999999999999E-3</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780.77</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4.1879999999999999E-3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780.77</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3.8760000000000001E-3</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780.77</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4.1949999999999999E-3</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3.8760000000000001E-3</v>
      </c>
      <c r="I85" s="101">
        <f>ROUND(F85*H85,2)</f>
        <v>171742.8</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3.869E-3</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4.1949999999999999E-3</v>
      </c>
      <c r="I90" s="101">
        <f>ROUND(F90*H90,2)</f>
        <v>68276.479999999996</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4.1879999999999999E-3</v>
      </c>
      <c r="I92" s="101">
        <f t="shared" ref="I92:I96" si="14">ROUND(F92*H92,2)</f>
        <v>42416.23</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3.6719999999999999E-3</v>
      </c>
      <c r="I94" s="101">
        <f t="shared" si="14"/>
        <v>877599.46</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3.6719999999999999E-3</v>
      </c>
      <c r="I96" s="101">
        <f t="shared" si="14"/>
        <v>0</v>
      </c>
      <c r="N96" s="572" t="s">
        <v>418</v>
      </c>
      <c r="O96" s="573"/>
      <c r="P96" s="573"/>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475</v>
      </c>
      <c r="B98" s="512"/>
      <c r="C98" s="512"/>
      <c r="D98" s="512"/>
      <c r="E98" s="510" t="s">
        <v>3</v>
      </c>
      <c r="F98" s="291">
        <v>0</v>
      </c>
      <c r="G98" s="511" t="s">
        <v>6</v>
      </c>
      <c r="H98" s="423">
        <f>H70</f>
        <v>3.869E-3</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392.43320000000006</v>
      </c>
      <c r="D104" s="568"/>
      <c r="E104" s="46">
        <f>H8</f>
        <v>1.0442</v>
      </c>
      <c r="F104" s="304">
        <f>'1461'!F104</f>
        <v>947.59</v>
      </c>
      <c r="G104" s="39" t="s">
        <v>12</v>
      </c>
      <c r="H104" s="101">
        <f>ROUND(C104*E104*F104,2)</f>
        <v>388302.24</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441.3503</v>
      </c>
      <c r="D105" s="568"/>
      <c r="E105" s="46">
        <f>H8</f>
        <v>1.0442</v>
      </c>
      <c r="F105" s="304">
        <f>'1461'!F105</f>
        <v>904.74</v>
      </c>
      <c r="G105" s="39" t="s">
        <v>12</v>
      </c>
      <c r="H105" s="101">
        <f>ROUND(C105*E105*F105,2)</f>
        <v>416956.65</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0</v>
      </c>
      <c r="D106" s="568"/>
      <c r="E106" s="46">
        <f>H8</f>
        <v>1.0442</v>
      </c>
      <c r="F106" s="304">
        <f>'1461'!F106</f>
        <v>906.93</v>
      </c>
      <c r="G106" s="39" t="s">
        <v>12</v>
      </c>
      <c r="H106" s="94">
        <f>ROUND(C106*E106*F106,2)</f>
        <v>0</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833.7835</v>
      </c>
      <c r="D107" s="558"/>
      <c r="E107" s="123"/>
      <c r="F107" s="123"/>
      <c r="G107" s="123"/>
      <c r="H107" s="124" t="s">
        <v>100</v>
      </c>
      <c r="I107" s="101">
        <f>IF(A1=75,0,H106+H105+H104)</f>
        <v>805258.89</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3</v>
      </c>
      <c r="D113" s="143">
        <v>0</v>
      </c>
      <c r="E113" s="116">
        <f>C113</f>
        <v>3</v>
      </c>
      <c r="F113" s="126" t="s">
        <v>30</v>
      </c>
      <c r="G113" s="305">
        <f>'1461'!G113</f>
        <v>548</v>
      </c>
      <c r="I113" s="101">
        <f>ROUND(G113*E113,2)</f>
        <v>1644</v>
      </c>
      <c r="N113" s="602" t="s">
        <v>52</v>
      </c>
      <c r="O113" s="602"/>
      <c r="P113" s="582">
        <f>IF(H133=1,E113,0)</f>
        <v>0</v>
      </c>
      <c r="Q113" s="582"/>
      <c r="R113" s="582"/>
      <c r="S113" s="83" t="s">
        <v>30</v>
      </c>
      <c r="T113" s="58">
        <f>G113</f>
        <v>548</v>
      </c>
      <c r="U113" s="474">
        <f>ROUND(T113*P113,2)</f>
        <v>0</v>
      </c>
    </row>
    <row r="114" spans="1:21" x14ac:dyDescent="0.25">
      <c r="A114" s="529" t="s">
        <v>376</v>
      </c>
      <c r="B114" s="530"/>
      <c r="C114" s="143">
        <v>1</v>
      </c>
      <c r="D114" s="143">
        <v>0</v>
      </c>
      <c r="E114" s="116">
        <f>C114</f>
        <v>1</v>
      </c>
      <c r="F114" s="126" t="s">
        <v>30</v>
      </c>
      <c r="G114" s="305">
        <f>'1461'!G114</f>
        <v>1762</v>
      </c>
      <c r="I114" s="101">
        <f>ROUND(G114*E114,2)</f>
        <v>1762</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6528925.9699999997</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6263568.0999999996</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645" t="s">
        <v>480</v>
      </c>
      <c r="O132" s="646"/>
      <c r="P132" s="646"/>
      <c r="Q132" s="646"/>
      <c r="R132" s="646"/>
      <c r="S132" s="646"/>
      <c r="T132" s="646"/>
      <c r="U132" s="138"/>
    </row>
    <row r="133" spans="1:21" x14ac:dyDescent="0.25">
      <c r="A133" s="550" t="s">
        <v>70</v>
      </c>
      <c r="B133" s="550"/>
      <c r="C133" s="550"/>
      <c r="D133" s="550"/>
      <c r="E133" s="550"/>
      <c r="F133" s="550"/>
      <c r="G133" s="550"/>
      <c r="H133" s="70" t="str">
        <f>IF(E30=0,"",IF((E15+E17+SUM(E19:E25))/E30&gt;0.75,1,""))</f>
        <v/>
      </c>
      <c r="I133" s="116">
        <f>U130</f>
        <v>0</v>
      </c>
      <c r="N133" s="646" t="s">
        <v>70</v>
      </c>
      <c r="O133" s="646"/>
      <c r="P133" s="646"/>
      <c r="Q133" s="646"/>
      <c r="R133" s="646"/>
      <c r="S133" s="646"/>
      <c r="T133" s="64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6263568.0999999996</v>
      </c>
      <c r="I135" s="94">
        <f>ROUND(IF(E30=0,0,IF(E30&gt;250,-(((250/E30)*H135)*IF(G135="H",0.02,0.05)),IF(G135="H",-0.02*H135,-0.05*H135))),2)</f>
        <v>-100278.7</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6428647.2699999996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-1121996.92-547614.96-547614.96-547614.96-547614.96-529494.14-530248.44-532384.85</f>
        <v>-4904584.1899999995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1524063.08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508021.03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212899.71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FFCCCC"/>
  </sheetPr>
  <dimension ref="A1:V246"/>
  <sheetViews>
    <sheetView topLeftCell="A114" workbookViewId="0">
      <selection activeCell="C106" sqref="C106:D106"/>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253</v>
      </c>
      <c r="B2" s="2"/>
      <c r="C2" s="2"/>
      <c r="D2" s="2"/>
      <c r="E2" s="2"/>
      <c r="F2" s="2"/>
      <c r="G2" s="2"/>
      <c r="H2" s="2"/>
      <c r="I2" s="2"/>
      <c r="N2" s="632" t="s">
        <v>18</v>
      </c>
      <c r="O2" s="632"/>
      <c r="P2" s="632"/>
      <c r="Q2" s="632"/>
      <c r="R2" s="632"/>
      <c r="S2" s="632"/>
      <c r="T2" s="632"/>
      <c r="U2" s="632"/>
    </row>
    <row r="3" spans="1:21" x14ac:dyDescent="0.25">
      <c r="A3" s="254" t="s">
        <v>484</v>
      </c>
      <c r="N3" s="599" t="str">
        <f>A3</f>
        <v>Based on the FLDOE 2023-24 FEFP Third Calculation</v>
      </c>
      <c r="O3" s="599"/>
      <c r="P3" s="599"/>
      <c r="Q3" s="599"/>
      <c r="R3" s="599"/>
      <c r="S3" s="599"/>
      <c r="T3" s="599"/>
      <c r="U3" s="599"/>
    </row>
    <row r="4" spans="1:21" x14ac:dyDescent="0.25">
      <c r="A4" s="540" t="s">
        <v>0</v>
      </c>
      <c r="B4" s="540"/>
      <c r="C4" s="541" t="s">
        <v>9</v>
      </c>
      <c r="D4" s="541"/>
      <c r="E4" s="541"/>
      <c r="F4" s="316" t="s">
        <v>485</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v>5139.7299999999996</v>
      </c>
      <c r="D8" s="86"/>
      <c r="E8" s="87"/>
      <c r="F8" s="84"/>
      <c r="G8" s="85" t="s">
        <v>388</v>
      </c>
      <c r="H8" s="288">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v>1</v>
      </c>
      <c r="I9" s="75"/>
      <c r="N9" s="12"/>
      <c r="O9" s="12"/>
      <c r="P9" s="13"/>
      <c r="Q9" s="13"/>
      <c r="R9" s="385" t="s">
        <v>387</v>
      </c>
      <c r="S9" s="385"/>
      <c r="T9" s="622">
        <f>H9</f>
        <v>1</v>
      </c>
      <c r="U9" s="622"/>
    </row>
    <row r="10" spans="1:21" x14ac:dyDescent="0.25">
      <c r="A10" s="7"/>
      <c r="B10" s="7" t="s">
        <v>303</v>
      </c>
      <c r="C10" s="8" t="s">
        <v>303</v>
      </c>
      <c r="D10" s="8" t="s">
        <v>303</v>
      </c>
      <c r="E10" s="8"/>
      <c r="F10" s="9"/>
      <c r="G10" s="9"/>
      <c r="H10" s="10"/>
      <c r="I10" s="326" t="s">
        <v>385</v>
      </c>
      <c r="N10" s="12"/>
      <c r="O10" s="12"/>
      <c r="P10" s="13"/>
      <c r="Q10" s="13"/>
      <c r="R10" s="14"/>
      <c r="S10" s="14"/>
      <c r="T10" s="15"/>
      <c r="U10" s="367" t="str">
        <f>I10</f>
        <v>2023-24</v>
      </c>
    </row>
    <row r="11" spans="1:21" x14ac:dyDescent="0.25">
      <c r="A11" s="7"/>
      <c r="B11" s="7"/>
      <c r="C11" s="88" t="s">
        <v>473</v>
      </c>
      <c r="D11" s="334" t="s">
        <v>474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36" t="s">
        <v>1</v>
      </c>
      <c r="B12" s="36"/>
      <c r="C12" s="325" t="s">
        <v>2</v>
      </c>
      <c r="D12" s="325" t="s">
        <v>2</v>
      </c>
      <c r="E12" s="90"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0</v>
      </c>
      <c r="D14" s="141">
        <v>0</v>
      </c>
      <c r="E14" s="187">
        <f>IF(D$30=0,C14*2,C14+D14)</f>
        <v>0</v>
      </c>
      <c r="F14" s="639">
        <v>1.1220000000000001</v>
      </c>
      <c r="G14" s="639"/>
      <c r="H14" s="145">
        <f>ROUND(E14*F14,4)</f>
        <v>0</v>
      </c>
      <c r="I14" s="111">
        <f>ROUND(ROUND(ROUND(H14*$C$8,4)*($H$8),2)*(MAX($H$9,1)),2)</f>
        <v>0</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0</v>
      </c>
      <c r="D15" s="143">
        <v>0</v>
      </c>
      <c r="E15" s="116">
        <f t="shared" ref="E15:E29" si="1">IF(D$30=0,C15*2,C15+D15)</f>
        <v>0</v>
      </c>
      <c r="F15" s="635">
        <v>1.1220000000000001</v>
      </c>
      <c r="G15" s="635"/>
      <c r="H15" s="80">
        <f t="shared" ref="H15:H29" si="2">ROUND(E15*F15,4)</f>
        <v>0</v>
      </c>
      <c r="I15" s="101">
        <f t="shared" ref="I15:I29" si="3">ROUND(ROUND(ROUND(H15*$C$8,4)*($H$8),2)*(MAX($H$9,1)),2)</f>
        <v>0</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0</v>
      </c>
      <c r="D16" s="143">
        <v>0</v>
      </c>
      <c r="E16" s="116">
        <f t="shared" si="1"/>
        <v>0</v>
      </c>
      <c r="F16" s="635">
        <v>1</v>
      </c>
      <c r="G16" s="635"/>
      <c r="H16" s="80">
        <f t="shared" si="2"/>
        <v>0</v>
      </c>
      <c r="I16" s="101">
        <f t="shared" si="3"/>
        <v>0</v>
      </c>
      <c r="N16" s="573" t="s">
        <v>22</v>
      </c>
      <c r="O16" s="573"/>
      <c r="P16" s="614">
        <f t="shared" si="0"/>
        <v>0</v>
      </c>
      <c r="Q16" s="614"/>
      <c r="R16" s="619">
        <v>1</v>
      </c>
      <c r="S16" s="619"/>
      <c r="T16" s="95">
        <f t="shared" si="4"/>
        <v>0</v>
      </c>
      <c r="U16" s="474">
        <f t="shared" si="5"/>
        <v>0</v>
      </c>
    </row>
    <row r="17" spans="1:21" x14ac:dyDescent="0.25">
      <c r="A17" s="550" t="s">
        <v>23</v>
      </c>
      <c r="B17" s="550"/>
      <c r="C17" s="143">
        <v>0</v>
      </c>
      <c r="D17" s="143">
        <v>0</v>
      </c>
      <c r="E17" s="116">
        <f t="shared" si="1"/>
        <v>0</v>
      </c>
      <c r="F17" s="635">
        <v>1</v>
      </c>
      <c r="G17" s="635"/>
      <c r="H17" s="80">
        <f t="shared" si="2"/>
        <v>0</v>
      </c>
      <c r="I17" s="101">
        <f t="shared" si="3"/>
        <v>0</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271.22000000000003</v>
      </c>
      <c r="D18" s="143">
        <v>263.02999999999997</v>
      </c>
      <c r="E18" s="116">
        <f>IF(D$30=0,C18*2,C18+D18)</f>
        <v>534.25</v>
      </c>
      <c r="F18" s="635">
        <v>0.98799999999999999</v>
      </c>
      <c r="G18" s="635"/>
      <c r="H18" s="80">
        <f t="shared" si="2"/>
        <v>527.83900000000006</v>
      </c>
      <c r="I18" s="101">
        <f t="shared" si="3"/>
        <v>2832862.33</v>
      </c>
      <c r="N18" s="573" t="s">
        <v>24</v>
      </c>
      <c r="O18" s="573"/>
      <c r="P18" s="614">
        <f t="shared" si="0"/>
        <v>0</v>
      </c>
      <c r="Q18" s="614"/>
      <c r="R18" s="619">
        <v>1</v>
      </c>
      <c r="S18" s="619"/>
      <c r="T18" s="95">
        <f t="shared" si="4"/>
        <v>0</v>
      </c>
      <c r="U18" s="474">
        <f t="shared" si="5"/>
        <v>0</v>
      </c>
    </row>
    <row r="19" spans="1:21" x14ac:dyDescent="0.25">
      <c r="A19" s="550" t="s">
        <v>25</v>
      </c>
      <c r="B19" s="550"/>
      <c r="C19" s="143">
        <v>37.85</v>
      </c>
      <c r="D19" s="143">
        <v>36.86</v>
      </c>
      <c r="E19" s="116">
        <f t="shared" si="1"/>
        <v>74.710000000000008</v>
      </c>
      <c r="F19" s="635">
        <v>0.98799999999999999</v>
      </c>
      <c r="G19" s="635"/>
      <c r="H19" s="80">
        <f t="shared" si="2"/>
        <v>73.813500000000005</v>
      </c>
      <c r="I19" s="101">
        <f t="shared" si="3"/>
        <v>396150.12</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c r="D20" s="143">
        <v>0</v>
      </c>
      <c r="E20" s="116">
        <f t="shared" si="1"/>
        <v>0</v>
      </c>
      <c r="F20" s="635">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c r="D21" s="143">
        <v>0</v>
      </c>
      <c r="E21" s="116">
        <f t="shared" si="1"/>
        <v>0</v>
      </c>
      <c r="F21" s="635">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c r="D22" s="143">
        <v>0</v>
      </c>
      <c r="E22" s="116">
        <f t="shared" si="1"/>
        <v>0</v>
      </c>
      <c r="F22" s="635">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c r="D23" s="143">
        <v>0</v>
      </c>
      <c r="E23" s="116">
        <f t="shared" si="1"/>
        <v>0</v>
      </c>
      <c r="F23" s="635">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c r="D24" s="143">
        <v>0</v>
      </c>
      <c r="E24" s="116">
        <f t="shared" si="1"/>
        <v>0</v>
      </c>
      <c r="F24" s="635">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c r="D25" s="143">
        <v>0</v>
      </c>
      <c r="E25" s="116">
        <f t="shared" si="1"/>
        <v>0</v>
      </c>
      <c r="F25" s="635">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0</v>
      </c>
      <c r="D26" s="143">
        <v>0</v>
      </c>
      <c r="E26" s="116">
        <f t="shared" si="1"/>
        <v>0</v>
      </c>
      <c r="F26" s="635">
        <v>1.208</v>
      </c>
      <c r="G26" s="635"/>
      <c r="H26" s="80">
        <f t="shared" si="2"/>
        <v>0</v>
      </c>
      <c r="I26" s="101">
        <f t="shared" si="3"/>
        <v>0</v>
      </c>
      <c r="L26" s="251"/>
      <c r="N26" s="573" t="s">
        <v>85</v>
      </c>
      <c r="O26" s="573"/>
      <c r="P26" s="614">
        <f t="shared" si="0"/>
        <v>0</v>
      </c>
      <c r="Q26" s="614"/>
      <c r="R26" s="619">
        <v>1</v>
      </c>
      <c r="S26" s="619"/>
      <c r="T26" s="95">
        <f t="shared" si="4"/>
        <v>0</v>
      </c>
      <c r="U26" s="474">
        <f t="shared" si="5"/>
        <v>0</v>
      </c>
    </row>
    <row r="27" spans="1:21" x14ac:dyDescent="0.25">
      <c r="A27" s="550" t="s">
        <v>86</v>
      </c>
      <c r="B27" s="550"/>
      <c r="C27" s="143">
        <v>0</v>
      </c>
      <c r="D27" s="143">
        <v>0</v>
      </c>
      <c r="E27" s="116">
        <f t="shared" si="1"/>
        <v>0</v>
      </c>
      <c r="F27" s="635">
        <v>1.208</v>
      </c>
      <c r="G27" s="635"/>
      <c r="H27" s="80">
        <f t="shared" si="2"/>
        <v>0</v>
      </c>
      <c r="I27" s="101">
        <f t="shared" si="3"/>
        <v>0</v>
      </c>
      <c r="L27" s="251"/>
      <c r="N27" s="573" t="s">
        <v>86</v>
      </c>
      <c r="O27" s="573"/>
      <c r="P27" s="614">
        <f t="shared" si="0"/>
        <v>0</v>
      </c>
      <c r="Q27" s="614"/>
      <c r="R27" s="619">
        <v>1</v>
      </c>
      <c r="S27" s="619"/>
      <c r="T27" s="95">
        <f t="shared" si="4"/>
        <v>0</v>
      </c>
      <c r="U27" s="474">
        <f t="shared" si="5"/>
        <v>0</v>
      </c>
    </row>
    <row r="28" spans="1:21" x14ac:dyDescent="0.25">
      <c r="A28" s="550" t="s">
        <v>87</v>
      </c>
      <c r="B28" s="550"/>
      <c r="C28" s="143">
        <v>2.9</v>
      </c>
      <c r="D28" s="143">
        <v>2.4700000000000002</v>
      </c>
      <c r="E28" s="116">
        <f t="shared" si="1"/>
        <v>5.37</v>
      </c>
      <c r="F28" s="635">
        <v>1.208</v>
      </c>
      <c r="G28" s="635"/>
      <c r="H28" s="80">
        <f t="shared" si="2"/>
        <v>6.4870000000000001</v>
      </c>
      <c r="I28" s="101">
        <f t="shared" si="3"/>
        <v>34815.120000000003</v>
      </c>
      <c r="N28" s="573" t="s">
        <v>87</v>
      </c>
      <c r="O28" s="573"/>
      <c r="P28" s="614">
        <f t="shared" si="0"/>
        <v>0</v>
      </c>
      <c r="Q28" s="614"/>
      <c r="R28" s="619">
        <v>1</v>
      </c>
      <c r="S28" s="619"/>
      <c r="T28" s="95">
        <f t="shared" si="4"/>
        <v>0</v>
      </c>
      <c r="U28" s="474">
        <f t="shared" si="5"/>
        <v>0</v>
      </c>
    </row>
    <row r="29" spans="1:21" x14ac:dyDescent="0.25">
      <c r="A29" s="550" t="s">
        <v>88</v>
      </c>
      <c r="B29" s="550"/>
      <c r="C29" s="110">
        <v>85.51</v>
      </c>
      <c r="D29" s="110">
        <v>82.93</v>
      </c>
      <c r="E29" s="154">
        <f t="shared" si="1"/>
        <v>168.44</v>
      </c>
      <c r="F29" s="635">
        <v>1.0720000000000001</v>
      </c>
      <c r="G29" s="635"/>
      <c r="H29" s="93">
        <f t="shared" si="2"/>
        <v>180.5677</v>
      </c>
      <c r="I29" s="94">
        <f t="shared" si="3"/>
        <v>969089.88</v>
      </c>
      <c r="N29" s="588" t="s">
        <v>88</v>
      </c>
      <c r="O29" s="588"/>
      <c r="P29" s="614">
        <f t="shared" si="0"/>
        <v>0</v>
      </c>
      <c r="Q29" s="614"/>
      <c r="R29" s="615">
        <v>1</v>
      </c>
      <c r="S29" s="615"/>
      <c r="T29" s="95">
        <f t="shared" si="4"/>
        <v>0</v>
      </c>
      <c r="U29" s="474">
        <f t="shared" si="5"/>
        <v>0</v>
      </c>
    </row>
    <row r="30" spans="1:21" x14ac:dyDescent="0.25">
      <c r="A30" s="562" t="s">
        <v>5</v>
      </c>
      <c r="B30" s="562"/>
      <c r="C30" s="94">
        <f>SUM(C14:C29)</f>
        <v>397.48</v>
      </c>
      <c r="D30" s="94">
        <f>SUM(D14:D29)</f>
        <v>385.29</v>
      </c>
      <c r="E30" s="94">
        <f>SUM(E14:E29)</f>
        <v>782.77</v>
      </c>
      <c r="F30" s="554"/>
      <c r="G30" s="554"/>
      <c r="H30" s="99">
        <f>SUM(H14:H29)</f>
        <v>788.70720000000006</v>
      </c>
      <c r="I30" s="94">
        <f>SUM(I14:I29)</f>
        <v>4232917.45</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283" t="s">
        <v>252</v>
      </c>
      <c r="B32" s="26"/>
      <c r="C32" s="101"/>
      <c r="D32" s="101"/>
      <c r="E32" s="101"/>
      <c r="F32" s="27"/>
      <c r="G32" s="27"/>
      <c r="H32" s="80"/>
      <c r="I32" s="101"/>
      <c r="N32" s="28"/>
      <c r="O32" s="28"/>
      <c r="P32" s="29"/>
      <c r="Q32" s="29"/>
      <c r="R32" s="30"/>
      <c r="S32" s="30"/>
      <c r="T32" s="102"/>
      <c r="U32" s="103"/>
    </row>
    <row r="33" spans="1:21" hidden="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0" t="s">
        <v>233</v>
      </c>
      <c r="G34" s="640"/>
      <c r="H34" s="640"/>
      <c r="I34" s="101"/>
      <c r="N34" s="28"/>
      <c r="O34" s="28"/>
      <c r="P34" s="29"/>
      <c r="Q34" s="29"/>
      <c r="R34" s="30"/>
      <c r="S34" s="30"/>
      <c r="T34" s="102"/>
      <c r="U34" s="103"/>
    </row>
    <row r="35" spans="1:21" ht="15.75" hidden="1" customHeight="1" x14ac:dyDescent="0.25">
      <c r="A35" s="3"/>
      <c r="B35" s="69"/>
      <c r="C35" s="69"/>
      <c r="D35" s="69"/>
      <c r="E35" s="69"/>
      <c r="F35" s="640"/>
      <c r="G35" s="640"/>
      <c r="H35" s="640"/>
      <c r="I35" s="24" t="str">
        <f>I10</f>
        <v>2023-24</v>
      </c>
      <c r="N35" s="599" t="s">
        <v>26</v>
      </c>
      <c r="O35" s="599"/>
      <c r="P35" s="599"/>
      <c r="Q35" s="599"/>
      <c r="R35" s="599"/>
      <c r="S35" s="599"/>
      <c r="T35" s="599"/>
      <c r="U35" s="25" t="str">
        <f>I35</f>
        <v>2023-24</v>
      </c>
    </row>
    <row r="36" spans="1:21" hidden="1" x14ac:dyDescent="0.25">
      <c r="A36" s="26"/>
      <c r="B36" s="26"/>
      <c r="C36" s="88" t="s">
        <v>309</v>
      </c>
      <c r="D36" s="88"/>
      <c r="E36" s="89" t="s">
        <v>8</v>
      </c>
      <c r="F36" s="640"/>
      <c r="G36" s="640"/>
      <c r="H36" s="640"/>
      <c r="I36" s="24" t="s">
        <v>27</v>
      </c>
      <c r="N36" s="28"/>
      <c r="O36" s="28"/>
      <c r="P36" s="29"/>
      <c r="Q36" s="29"/>
      <c r="R36" s="30"/>
      <c r="S36" s="30"/>
      <c r="T36" s="102"/>
      <c r="U36" s="25" t="s">
        <v>27</v>
      </c>
    </row>
    <row r="37" spans="1:21" ht="26.25" hidden="1" x14ac:dyDescent="0.25">
      <c r="A37" s="544" t="s">
        <v>50</v>
      </c>
      <c r="B37" s="544"/>
      <c r="C37" s="325" t="s">
        <v>2</v>
      </c>
      <c r="D37" s="325"/>
      <c r="E37" s="90" t="s">
        <v>2</v>
      </c>
      <c r="F37" s="641"/>
      <c r="G37" s="641"/>
      <c r="H37" s="641"/>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788.70720000000006</v>
      </c>
      <c r="F46" s="34"/>
      <c r="G46" s="106"/>
      <c r="H46" s="107" t="s">
        <v>98</v>
      </c>
      <c r="I46" s="94">
        <f>SUM(I44,I30)</f>
        <v>4232917.45</v>
      </c>
      <c r="N46" s="575" t="s">
        <v>44</v>
      </c>
      <c r="O46" s="575"/>
      <c r="P46" s="575"/>
      <c r="Q46" s="575"/>
      <c r="R46" s="35">
        <f>R44+T30</f>
        <v>0</v>
      </c>
      <c r="S46" s="589" t="s">
        <v>42</v>
      </c>
      <c r="T46" s="589"/>
      <c r="U46" s="108">
        <f>SUM(U44,U30)</f>
        <v>0</v>
      </c>
    </row>
    <row r="47" spans="1:2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3" t="s">
        <v>393</v>
      </c>
      <c r="F50" s="393"/>
      <c r="G50" s="394"/>
      <c r="H50" s="394"/>
      <c r="I50" s="395"/>
      <c r="N50" s="413" t="s">
        <v>393</v>
      </c>
      <c r="O50" s="396"/>
      <c r="P50" s="396"/>
      <c r="Q50" s="396"/>
      <c r="R50" s="397"/>
      <c r="S50" s="398"/>
      <c r="T50" s="398"/>
      <c r="U50" s="405"/>
    </row>
    <row r="51" spans="1:22" x14ac:dyDescent="0.25">
      <c r="A51" s="390"/>
      <c r="B51" s="3" t="s">
        <v>394</v>
      </c>
      <c r="C51" s="26"/>
      <c r="D51" s="26"/>
      <c r="E51" s="43" t="s">
        <v>395</v>
      </c>
      <c r="F51" s="401">
        <f>I46</f>
        <v>4232917.45</v>
      </c>
      <c r="G51" s="109" t="s">
        <v>6</v>
      </c>
      <c r="H51" s="402">
        <v>4.5199999999999997E-2</v>
      </c>
      <c r="I51" s="101">
        <f>ROUND(F51*H51,2)</f>
        <v>191327.87</v>
      </c>
      <c r="N51" s="407"/>
      <c r="O51" s="51"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4232917.45</v>
      </c>
      <c r="G52" s="109" t="s">
        <v>6</v>
      </c>
      <c r="H52" s="402">
        <v>1.41E-2</v>
      </c>
      <c r="I52" s="101">
        <f>ROUND(F52*H52,2)</f>
        <v>59684.14</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251012.01</v>
      </c>
      <c r="N53" s="28"/>
      <c r="O53" s="384" t="s">
        <v>397</v>
      </c>
      <c r="P53" s="28"/>
      <c r="Q53" s="44"/>
      <c r="R53" s="409"/>
      <c r="S53" s="410"/>
      <c r="T53" s="411"/>
      <c r="U53" s="403">
        <f>SUM(U51:U52)</f>
        <v>0</v>
      </c>
    </row>
    <row r="54" spans="1:22" x14ac:dyDescent="0.25">
      <c r="A54" s="242"/>
      <c r="C54" s="445" t="s">
        <v>441</v>
      </c>
      <c r="D54" s="445" t="s">
        <v>441</v>
      </c>
      <c r="G54" s="42"/>
      <c r="H54" s="114"/>
      <c r="I54" s="114"/>
      <c r="N54" s="462"/>
      <c r="O54" s="51"/>
      <c r="P54" s="40" t="s">
        <v>441</v>
      </c>
      <c r="Q54" s="40" t="s">
        <v>441</v>
      </c>
      <c r="R54" s="51"/>
      <c r="S54" s="51"/>
      <c r="T54" s="463"/>
      <c r="U54" s="464"/>
      <c r="V54" s="114"/>
    </row>
    <row r="55" spans="1:22" x14ac:dyDescent="0.25">
      <c r="A55" s="446"/>
      <c r="B55" s="446"/>
      <c r="C55" s="88" t="s">
        <v>473</v>
      </c>
      <c r="D55" s="334" t="s">
        <v>474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
        <v>2</v>
      </c>
      <c r="D56" s="325" t="s">
        <v>2</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0</v>
      </c>
      <c r="D57" s="143">
        <v>0</v>
      </c>
      <c r="E57" s="116">
        <f t="shared" ref="E57:E62" si="10">IF(D$72=0,C57*2,C57+D57)</f>
        <v>0</v>
      </c>
      <c r="F57" s="444" t="s">
        <v>434</v>
      </c>
      <c r="G57" s="444">
        <v>251</v>
      </c>
      <c r="H57" s="458">
        <v>1047</v>
      </c>
      <c r="I57" s="101">
        <f>ROUND(E57*H57,2)</f>
        <v>0</v>
      </c>
      <c r="N57" s="590" t="s">
        <v>442</v>
      </c>
      <c r="O57" s="590"/>
      <c r="P57" s="593"/>
      <c r="Q57" s="593"/>
      <c r="R57" s="450" t="s">
        <v>434</v>
      </c>
      <c r="S57" s="450">
        <v>251</v>
      </c>
      <c r="T57" s="461">
        <f>H57</f>
        <v>1047</v>
      </c>
      <c r="U57" s="475">
        <f>ROUND(P57*T57,2)</f>
        <v>0</v>
      </c>
      <c r="V57" s="425"/>
    </row>
    <row r="58" spans="1:22" x14ac:dyDescent="0.25">
      <c r="A58" s="561"/>
      <c r="B58" s="561"/>
      <c r="C58" s="143">
        <v>0</v>
      </c>
      <c r="D58" s="143">
        <v>0</v>
      </c>
      <c r="E58" s="116">
        <f t="shared" si="10"/>
        <v>0</v>
      </c>
      <c r="F58" s="444" t="s">
        <v>434</v>
      </c>
      <c r="G58" s="444">
        <v>252</v>
      </c>
      <c r="H58" s="458">
        <v>3380</v>
      </c>
      <c r="I58" s="101">
        <f t="shared" ref="I58:I65" si="11">ROUND(E58*H58,2)</f>
        <v>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0</v>
      </c>
      <c r="D60" s="143">
        <v>0</v>
      </c>
      <c r="E60" s="116">
        <f t="shared" si="10"/>
        <v>0</v>
      </c>
      <c r="F60" s="445" t="s">
        <v>13</v>
      </c>
      <c r="G60" s="444">
        <v>251</v>
      </c>
      <c r="H60" s="458">
        <v>1173</v>
      </c>
      <c r="I60" s="101">
        <f t="shared" si="11"/>
        <v>0</v>
      </c>
      <c r="N60" s="591"/>
      <c r="O60" s="591"/>
      <c r="P60" s="594"/>
      <c r="Q60" s="594"/>
      <c r="R60" s="40" t="s">
        <v>13</v>
      </c>
      <c r="S60" s="450">
        <v>251</v>
      </c>
      <c r="T60" s="461">
        <f t="shared" si="12"/>
        <v>1173</v>
      </c>
      <c r="U60" s="475">
        <f t="shared" si="13"/>
        <v>0</v>
      </c>
      <c r="V60" s="425"/>
    </row>
    <row r="61" spans="1:22" x14ac:dyDescent="0.25">
      <c r="A61" s="561"/>
      <c r="B61" s="561"/>
      <c r="C61" s="143">
        <v>0</v>
      </c>
      <c r="D61" s="143">
        <v>0</v>
      </c>
      <c r="E61" s="116">
        <f t="shared" si="10"/>
        <v>0</v>
      </c>
      <c r="F61" s="445" t="s">
        <v>13</v>
      </c>
      <c r="G61" s="444">
        <v>252</v>
      </c>
      <c r="H61" s="458">
        <v>3506</v>
      </c>
      <c r="I61" s="101">
        <f t="shared" si="11"/>
        <v>0</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34.94</v>
      </c>
      <c r="D63" s="143">
        <v>34.020000000000003</v>
      </c>
      <c r="E63" s="116">
        <f>IF(D$66=0,C63*2,C63+D63)</f>
        <v>68.960000000000008</v>
      </c>
      <c r="F63" s="445" t="s">
        <v>14</v>
      </c>
      <c r="G63" s="444">
        <v>251</v>
      </c>
      <c r="H63" s="458">
        <v>835</v>
      </c>
      <c r="I63" s="101">
        <f t="shared" si="11"/>
        <v>57581.599999999999</v>
      </c>
      <c r="N63" s="591"/>
      <c r="O63" s="591"/>
      <c r="P63" s="594"/>
      <c r="Q63" s="594"/>
      <c r="R63" s="40" t="s">
        <v>14</v>
      </c>
      <c r="S63" s="450">
        <v>251</v>
      </c>
      <c r="T63" s="461">
        <f t="shared" si="12"/>
        <v>835</v>
      </c>
      <c r="U63" s="475">
        <f t="shared" si="13"/>
        <v>0</v>
      </c>
      <c r="V63" s="425"/>
    </row>
    <row r="64" spans="1:22" x14ac:dyDescent="0.25">
      <c r="A64" s="561"/>
      <c r="B64" s="561"/>
      <c r="C64" s="143">
        <v>2.41</v>
      </c>
      <c r="D64" s="143">
        <v>2.35</v>
      </c>
      <c r="E64" s="116">
        <f>IF(D$66=0,C64*2,C64+D64)</f>
        <v>4.76</v>
      </c>
      <c r="F64" s="445" t="s">
        <v>14</v>
      </c>
      <c r="G64" s="444">
        <v>252</v>
      </c>
      <c r="H64" s="458">
        <v>3168</v>
      </c>
      <c r="I64" s="101">
        <f t="shared" si="11"/>
        <v>15079.68</v>
      </c>
      <c r="N64" s="591"/>
      <c r="O64" s="591"/>
      <c r="P64" s="594"/>
      <c r="Q64" s="594"/>
      <c r="R64" s="40" t="s">
        <v>14</v>
      </c>
      <c r="S64" s="450">
        <v>252</v>
      </c>
      <c r="T64" s="461">
        <f t="shared" si="12"/>
        <v>3168</v>
      </c>
      <c r="U64" s="475">
        <f t="shared" si="13"/>
        <v>0</v>
      </c>
      <c r="V64" s="425"/>
    </row>
    <row r="65" spans="1:22" ht="16.5" thickBot="1" x14ac:dyDescent="0.3">
      <c r="A65" s="561"/>
      <c r="B65" s="561"/>
      <c r="C65" s="143">
        <v>0.5</v>
      </c>
      <c r="D65" s="143">
        <v>0.49</v>
      </c>
      <c r="E65" s="116">
        <f>IF(D$66=0,C65*2,C65+D65)</f>
        <v>0.99</v>
      </c>
      <c r="F65" s="445" t="s">
        <v>14</v>
      </c>
      <c r="G65" s="444">
        <v>253</v>
      </c>
      <c r="H65" s="458">
        <v>6685</v>
      </c>
      <c r="I65" s="101">
        <f t="shared" si="11"/>
        <v>6618.15</v>
      </c>
      <c r="N65" s="591"/>
      <c r="O65" s="591"/>
      <c r="P65" s="595"/>
      <c r="Q65" s="595"/>
      <c r="R65" s="40" t="s">
        <v>14</v>
      </c>
      <c r="S65" s="450">
        <v>253</v>
      </c>
      <c r="T65" s="461">
        <f t="shared" si="12"/>
        <v>6685</v>
      </c>
      <c r="U65" s="476">
        <f t="shared" si="13"/>
        <v>0</v>
      </c>
      <c r="V65" s="425"/>
    </row>
    <row r="66" spans="1:22" ht="16.5" thickBot="1" x14ac:dyDescent="0.3">
      <c r="A66" s="242"/>
      <c r="C66" s="97">
        <f>SUM(C57:C65)</f>
        <v>37.849999999999994</v>
      </c>
      <c r="D66" s="97">
        <f>SUM(D57:D65)</f>
        <v>36.860000000000007</v>
      </c>
      <c r="E66" s="97">
        <f>SUM(E57:E65)</f>
        <v>74.710000000000008</v>
      </c>
      <c r="F66" s="562" t="s">
        <v>443</v>
      </c>
      <c r="G66" s="562"/>
      <c r="H66" s="562"/>
      <c r="I66" s="97">
        <f>SUM(I57:I65)</f>
        <v>79279.429999999993</v>
      </c>
      <c r="N66" s="462"/>
      <c r="O66" s="51"/>
      <c r="P66" s="574">
        <f>SUM(P57:P65)</f>
        <v>0</v>
      </c>
      <c r="Q66" s="574"/>
      <c r="R66" s="575" t="s">
        <v>443</v>
      </c>
      <c r="S66" s="575"/>
      <c r="T66" s="575"/>
      <c r="U66" s="477">
        <f>SUM(U57:U65)</f>
        <v>0</v>
      </c>
      <c r="V66" s="425"/>
    </row>
    <row r="67" spans="1:22" x14ac:dyDescent="0.25">
      <c r="A67" s="242"/>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782.77</v>
      </c>
      <c r="D69" s="537" t="s">
        <v>409</v>
      </c>
      <c r="E69" s="537"/>
      <c r="F69" s="537"/>
      <c r="G69" s="537"/>
      <c r="H69" s="289">
        <v>201799.89</v>
      </c>
      <c r="I69" s="113"/>
      <c r="N69" s="572" t="s">
        <v>402</v>
      </c>
      <c r="O69" s="573"/>
      <c r="P69" s="41">
        <f>P30</f>
        <v>0</v>
      </c>
      <c r="Q69" s="578" t="s">
        <v>404</v>
      </c>
      <c r="R69" s="579"/>
      <c r="S69" s="579"/>
      <c r="T69" s="576">
        <f>H69</f>
        <v>201799.89</v>
      </c>
      <c r="U69" s="576"/>
    </row>
    <row r="70" spans="1:22" x14ac:dyDescent="0.25">
      <c r="B70" s="69"/>
      <c r="G70" s="42" t="s">
        <v>12</v>
      </c>
      <c r="H70" s="114">
        <f>ROUND(C69/H69,6)</f>
        <v>3.8790000000000001E-3</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788.70720000000006</v>
      </c>
      <c r="D72" s="537" t="s">
        <v>410</v>
      </c>
      <c r="E72" s="537"/>
      <c r="F72" s="537"/>
      <c r="G72" s="537"/>
      <c r="H72" s="290">
        <v>227090.59</v>
      </c>
      <c r="I72" s="116"/>
      <c r="N72" s="572" t="s">
        <v>403</v>
      </c>
      <c r="O72" s="573"/>
      <c r="P72" s="41">
        <f>T30</f>
        <v>0</v>
      </c>
      <c r="Q72" s="578" t="s">
        <v>405</v>
      </c>
      <c r="R72" s="579"/>
      <c r="S72" s="579"/>
      <c r="T72" s="576">
        <f>H72</f>
        <v>227090.59</v>
      </c>
      <c r="U72" s="576"/>
    </row>
    <row r="73" spans="1:22" x14ac:dyDescent="0.25">
      <c r="G73" s="42" t="s">
        <v>12</v>
      </c>
      <c r="H73" s="114">
        <f>ROUND(C72/H72,6)</f>
        <v>3.473E-3</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782.77</v>
      </c>
      <c r="D75" s="529" t="s">
        <v>411</v>
      </c>
      <c r="E75" s="529"/>
      <c r="F75" s="529"/>
      <c r="G75" s="529"/>
      <c r="H75" s="289">
        <v>186438.39</v>
      </c>
      <c r="I75" s="113"/>
      <c r="N75" s="572" t="s">
        <v>401</v>
      </c>
      <c r="O75" s="573"/>
      <c r="P75" s="41">
        <f>P30</f>
        <v>0</v>
      </c>
      <c r="Q75" s="608" t="s">
        <v>406</v>
      </c>
      <c r="R75" s="609"/>
      <c r="S75" s="609"/>
      <c r="T75" s="576">
        <f>H75</f>
        <v>186438.39</v>
      </c>
      <c r="U75" s="576"/>
    </row>
    <row r="76" spans="1:22" x14ac:dyDescent="0.25">
      <c r="B76" s="69"/>
      <c r="G76" s="42" t="s">
        <v>12</v>
      </c>
      <c r="H76" s="114">
        <f>ROUND(C75/H75,6)</f>
        <v>4.1989999999999996E-3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782.77</v>
      </c>
      <c r="D78" s="557" t="s">
        <v>412</v>
      </c>
      <c r="E78" s="557"/>
      <c r="F78" s="557"/>
      <c r="G78" s="557"/>
      <c r="H78" s="289">
        <v>201460.8</v>
      </c>
      <c r="I78" s="113"/>
      <c r="N78" s="572" t="s">
        <v>401</v>
      </c>
      <c r="O78" s="573"/>
      <c r="P78" s="41">
        <f>P30</f>
        <v>0</v>
      </c>
      <c r="Q78" s="606" t="s">
        <v>407</v>
      </c>
      <c r="R78" s="607"/>
      <c r="S78" s="607"/>
      <c r="T78" s="576">
        <f>H78</f>
        <v>201460.8</v>
      </c>
      <c r="U78" s="576"/>
    </row>
    <row r="79" spans="1:22" x14ac:dyDescent="0.25">
      <c r="B79" s="69"/>
      <c r="G79" s="42" t="s">
        <v>12</v>
      </c>
      <c r="H79" s="114">
        <f>ROUND(C78/H78,6)</f>
        <v>3.885E-3</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782.77</v>
      </c>
      <c r="D81" s="529" t="s">
        <v>413</v>
      </c>
      <c r="E81" s="529"/>
      <c r="F81" s="529"/>
      <c r="G81" s="529"/>
      <c r="H81" s="289">
        <v>186099.3</v>
      </c>
      <c r="I81" s="113"/>
      <c r="N81" s="572" t="s">
        <v>414</v>
      </c>
      <c r="O81" s="573"/>
      <c r="P81" s="41">
        <f>P30</f>
        <v>0</v>
      </c>
      <c r="Q81" s="608" t="s">
        <v>415</v>
      </c>
      <c r="R81" s="609"/>
      <c r="S81" s="609"/>
      <c r="T81" s="576">
        <f>H81</f>
        <v>186099.3</v>
      </c>
      <c r="U81" s="576"/>
    </row>
    <row r="82" spans="1:21" x14ac:dyDescent="0.25">
      <c r="B82" s="69"/>
      <c r="G82" s="42" t="s">
        <v>12</v>
      </c>
      <c r="H82" s="114">
        <f>ROUND(C81/H81,6)</f>
        <v>4.2059999999999997E-3</v>
      </c>
      <c r="I82" s="115"/>
      <c r="N82" s="573"/>
      <c r="O82" s="573"/>
      <c r="P82" s="573"/>
      <c r="Q82" s="573"/>
      <c r="R82" s="573"/>
      <c r="S82" s="573"/>
      <c r="T82" s="577">
        <f>ROUND(P81/T81,6)</f>
        <v>0</v>
      </c>
      <c r="U82" s="577"/>
    </row>
    <row r="83" spans="1:21" x14ac:dyDescent="0.25">
      <c r="A83" s="242"/>
      <c r="G83" s="42"/>
      <c r="H83" s="114"/>
      <c r="I83" s="114"/>
      <c r="N83" s="447"/>
      <c r="O83" s="447"/>
      <c r="P83" s="447"/>
      <c r="Q83" s="447"/>
      <c r="R83" s="447"/>
      <c r="S83" s="447"/>
      <c r="T83" s="448"/>
      <c r="U83" s="448"/>
    </row>
    <row r="84" spans="1:21" x14ac:dyDescent="0.25">
      <c r="A84" s="242"/>
      <c r="G84" s="42"/>
      <c r="H84" s="114"/>
      <c r="I84" s="114"/>
      <c r="N84" s="447"/>
      <c r="O84" s="447"/>
      <c r="P84" s="447"/>
      <c r="Q84" s="447"/>
      <c r="R84" s="447"/>
      <c r="S84" s="447"/>
      <c r="T84" s="448"/>
      <c r="U84" s="448"/>
    </row>
    <row r="85" spans="1:21" x14ac:dyDescent="0.25">
      <c r="A85" s="443" t="s">
        <v>450</v>
      </c>
      <c r="D85" s="69"/>
      <c r="E85" s="43" t="s">
        <v>293</v>
      </c>
      <c r="F85" s="291">
        <v>44309288</v>
      </c>
      <c r="G85" s="37" t="s">
        <v>6</v>
      </c>
      <c r="H85" s="423">
        <f>H79</f>
        <v>3.885E-3</v>
      </c>
      <c r="I85" s="101">
        <f>ROUND(F85*H85,2)</f>
        <v>172141.58</v>
      </c>
      <c r="N85" s="454" t="s">
        <v>450</v>
      </c>
      <c r="O85" s="51"/>
      <c r="P85" s="51"/>
      <c r="Q85" s="44"/>
      <c r="R85" s="420">
        <f>F85</f>
        <v>44309288</v>
      </c>
      <c r="S85" s="38" t="s">
        <v>6</v>
      </c>
      <c r="T85" s="422">
        <f>T79</f>
        <v>0</v>
      </c>
      <c r="U85" s="474">
        <f>ROUND(R85*T85,2)</f>
        <v>0</v>
      </c>
    </row>
    <row r="86" spans="1:21" x14ac:dyDescent="0.25">
      <c r="A86" s="400"/>
      <c r="D86" s="69"/>
      <c r="E86" s="43"/>
      <c r="F86" s="277"/>
      <c r="G86" s="37"/>
      <c r="H86" s="423"/>
      <c r="I86" s="101"/>
      <c r="N86" s="51"/>
      <c r="O86" s="51"/>
      <c r="P86" s="51"/>
      <c r="Q86" s="44"/>
      <c r="R86" s="421"/>
      <c r="S86" s="38"/>
      <c r="T86" s="422"/>
      <c r="U86" s="478"/>
    </row>
    <row r="87" spans="1:21" x14ac:dyDescent="0.25">
      <c r="A87" s="559" t="s">
        <v>71</v>
      </c>
      <c r="B87" s="550"/>
      <c r="C87" s="550"/>
      <c r="D87" s="69"/>
      <c r="E87" s="43"/>
      <c r="F87" s="277"/>
      <c r="G87" s="37"/>
      <c r="H87" s="423"/>
      <c r="I87" s="101"/>
      <c r="N87" s="572" t="s">
        <v>458</v>
      </c>
      <c r="O87" s="573"/>
      <c r="P87" s="573"/>
      <c r="Q87" s="51"/>
      <c r="R87" s="421"/>
      <c r="S87" s="51"/>
      <c r="T87" s="38"/>
      <c r="U87" s="479"/>
    </row>
    <row r="88" spans="1:21" x14ac:dyDescent="0.25">
      <c r="A88" s="559" t="s">
        <v>99</v>
      </c>
      <c r="B88" s="550"/>
      <c r="C88" s="550"/>
      <c r="D88" s="69"/>
      <c r="E88" s="43" t="s">
        <v>3</v>
      </c>
      <c r="F88" s="291">
        <v>0</v>
      </c>
      <c r="G88" s="37" t="s">
        <v>6</v>
      </c>
      <c r="H88" s="423">
        <f>H70</f>
        <v>3.8790000000000001E-3</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277"/>
      <c r="G89" s="37"/>
      <c r="H89" s="423"/>
      <c r="I89" s="101"/>
      <c r="N89" s="435"/>
      <c r="O89" s="45"/>
      <c r="P89" s="45"/>
      <c r="Q89" s="44"/>
      <c r="R89" s="420"/>
      <c r="S89" s="38"/>
      <c r="T89" s="422"/>
      <c r="U89" s="474"/>
    </row>
    <row r="90" spans="1:21" x14ac:dyDescent="0.25">
      <c r="A90" s="452" t="s">
        <v>451</v>
      </c>
      <c r="D90" s="69"/>
      <c r="E90" s="43" t="s">
        <v>416</v>
      </c>
      <c r="F90" s="291">
        <v>16275680</v>
      </c>
      <c r="G90" s="37" t="s">
        <v>6</v>
      </c>
      <c r="H90" s="423">
        <f>H82</f>
        <v>4.2059999999999997E-3</v>
      </c>
      <c r="I90" s="101">
        <f>ROUND(F90*H90,2)</f>
        <v>68455.509999999995</v>
      </c>
      <c r="N90" s="454" t="s">
        <v>451</v>
      </c>
      <c r="O90" s="51"/>
      <c r="P90" s="51"/>
      <c r="Q90" s="44"/>
      <c r="R90" s="420">
        <f>F90</f>
        <v>16275680</v>
      </c>
      <c r="S90" s="38" t="s">
        <v>6</v>
      </c>
      <c r="T90" s="422">
        <f>T82</f>
        <v>0</v>
      </c>
      <c r="U90" s="474">
        <f>ROUND(R90*T90,2)</f>
        <v>0</v>
      </c>
    </row>
    <row r="91" spans="1:21" x14ac:dyDescent="0.25">
      <c r="A91" s="400"/>
      <c r="D91" s="69"/>
      <c r="E91" s="43"/>
      <c r="F91" s="277"/>
      <c r="G91" s="37"/>
      <c r="H91" s="423"/>
      <c r="I91" s="101"/>
      <c r="N91" s="408"/>
      <c r="O91" s="51"/>
      <c r="P91" s="51"/>
      <c r="Q91" s="44"/>
      <c r="R91" s="420"/>
      <c r="S91" s="38"/>
      <c r="T91" s="422"/>
      <c r="U91" s="474"/>
    </row>
    <row r="92" spans="1:21" x14ac:dyDescent="0.25">
      <c r="A92" s="452" t="s">
        <v>452</v>
      </c>
      <c r="D92" s="69"/>
      <c r="E92" s="43" t="s">
        <v>3</v>
      </c>
      <c r="F92" s="291">
        <v>10128039</v>
      </c>
      <c r="G92" s="37" t="s">
        <v>6</v>
      </c>
      <c r="H92" s="423">
        <f>H76</f>
        <v>4.1989999999999996E-3</v>
      </c>
      <c r="I92" s="101">
        <f t="shared" ref="I92:I98" si="14">ROUND(F92*H92,2)</f>
        <v>42527.64</v>
      </c>
      <c r="N92" s="454" t="s">
        <v>452</v>
      </c>
      <c r="O92" s="51"/>
      <c r="P92" s="51"/>
      <c r="Q92" s="44"/>
      <c r="R92" s="420">
        <f t="shared" ref="R92:R96" si="15">F92</f>
        <v>10128039</v>
      </c>
      <c r="S92" s="38" t="s">
        <v>6</v>
      </c>
      <c r="T92" s="422">
        <f>T76</f>
        <v>0</v>
      </c>
      <c r="U92" s="474">
        <f>ROUND(R92*T92,2)</f>
        <v>0</v>
      </c>
    </row>
    <row r="93" spans="1:21" x14ac:dyDescent="0.25">
      <c r="A93" s="81"/>
      <c r="D93" s="69"/>
      <c r="E93" s="43"/>
      <c r="F93" s="277"/>
      <c r="G93" s="37"/>
      <c r="H93" s="423"/>
      <c r="I93" s="101"/>
      <c r="N93" s="384"/>
      <c r="O93" s="51"/>
      <c r="P93" s="51"/>
      <c r="Q93" s="44"/>
      <c r="R93" s="421"/>
      <c r="S93" s="38"/>
      <c r="T93" s="422"/>
      <c r="U93" s="478"/>
    </row>
    <row r="94" spans="1:21" x14ac:dyDescent="0.25">
      <c r="A94" s="556" t="s">
        <v>417</v>
      </c>
      <c r="B94" s="550"/>
      <c r="C94" s="550"/>
      <c r="D94" s="69"/>
      <c r="E94" s="43" t="s">
        <v>4</v>
      </c>
      <c r="F94" s="291">
        <v>238997674</v>
      </c>
      <c r="G94" s="37" t="s">
        <v>6</v>
      </c>
      <c r="H94" s="423">
        <f>H73</f>
        <v>3.473E-3</v>
      </c>
      <c r="I94" s="101">
        <f t="shared" si="14"/>
        <v>830038.92</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277"/>
      <c r="G95" s="37"/>
      <c r="H95" s="423"/>
      <c r="I95" s="101"/>
      <c r="N95" s="45"/>
      <c r="O95" s="45"/>
      <c r="P95" s="45"/>
      <c r="Q95" s="44"/>
      <c r="R95" s="420"/>
      <c r="S95" s="38"/>
      <c r="T95" s="422"/>
      <c r="U95" s="474"/>
    </row>
    <row r="96" spans="1:21" x14ac:dyDescent="0.25">
      <c r="A96" s="556" t="s">
        <v>418</v>
      </c>
      <c r="B96" s="550"/>
      <c r="C96" s="550"/>
      <c r="D96" s="69"/>
      <c r="E96" s="43" t="s">
        <v>4</v>
      </c>
      <c r="F96" s="291">
        <v>0</v>
      </c>
      <c r="G96" s="37" t="s">
        <v>6</v>
      </c>
      <c r="H96" s="423">
        <f>H73</f>
        <v>3.473E-3</v>
      </c>
      <c r="I96" s="101">
        <f t="shared" si="14"/>
        <v>0</v>
      </c>
      <c r="N96" s="572" t="s">
        <v>418</v>
      </c>
      <c r="O96" s="572"/>
      <c r="P96" s="572"/>
      <c r="Q96" s="44"/>
      <c r="R96" s="420">
        <f t="shared" si="15"/>
        <v>0</v>
      </c>
      <c r="S96" s="38" t="s">
        <v>6</v>
      </c>
      <c r="T96" s="422">
        <f>T73</f>
        <v>0</v>
      </c>
      <c r="U96" s="474">
        <f>ROUND(R96*T96,2)</f>
        <v>0</v>
      </c>
    </row>
    <row r="97" spans="1:21" x14ac:dyDescent="0.25">
      <c r="A97" s="513"/>
      <c r="B97" s="512"/>
      <c r="C97" s="512"/>
      <c r="D97" s="512"/>
      <c r="E97" s="510"/>
      <c r="F97" s="277"/>
      <c r="G97" s="511"/>
      <c r="H97" s="423"/>
      <c r="I97" s="101"/>
      <c r="N97" s="516"/>
      <c r="O97" s="516"/>
      <c r="P97" s="516"/>
      <c r="Q97" s="44"/>
      <c r="R97" s="518"/>
      <c r="S97" s="517"/>
      <c r="T97" s="422"/>
      <c r="U97" s="478"/>
    </row>
    <row r="98" spans="1:21" x14ac:dyDescent="0.25">
      <c r="A98" s="513" t="s">
        <v>475</v>
      </c>
      <c r="B98" s="512"/>
      <c r="C98" s="512"/>
      <c r="D98" s="512"/>
      <c r="E98" s="510" t="s">
        <v>3</v>
      </c>
      <c r="F98" s="291">
        <v>0</v>
      </c>
      <c r="G98" s="511" t="s">
        <v>6</v>
      </c>
      <c r="H98" s="423">
        <f>H70</f>
        <v>3.8790000000000001E-3</v>
      </c>
      <c r="I98" s="101">
        <f t="shared" si="14"/>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81"/>
      <c r="B100" s="69"/>
      <c r="C100" s="69"/>
      <c r="D100" s="69"/>
      <c r="E100" s="43"/>
      <c r="F100" s="277"/>
      <c r="G100" s="37"/>
      <c r="H100" s="423"/>
      <c r="I100" s="101"/>
      <c r="N100" s="384"/>
      <c r="O100" s="384"/>
      <c r="P100" s="384"/>
      <c r="Q100" s="44"/>
      <c r="R100" s="421"/>
      <c r="S100" s="38"/>
      <c r="T100" s="422"/>
      <c r="U100" s="103"/>
    </row>
    <row r="101" spans="1:21" ht="15" customHeight="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119" t="s">
        <v>420</v>
      </c>
      <c r="F103" s="120" t="s">
        <v>106</v>
      </c>
      <c r="G103" s="121"/>
      <c r="H103" s="121"/>
      <c r="I103" s="121"/>
      <c r="N103" s="603" t="s">
        <v>35</v>
      </c>
      <c r="O103" s="603"/>
      <c r="P103" s="604" t="s">
        <v>422</v>
      </c>
      <c r="Q103" s="605"/>
      <c r="R103" s="576" t="s">
        <v>31</v>
      </c>
      <c r="S103" s="576"/>
      <c r="T103" s="576"/>
      <c r="U103" s="576"/>
    </row>
    <row r="104" spans="1:21" x14ac:dyDescent="0.25">
      <c r="A104" s="26"/>
      <c r="B104" s="52" t="s">
        <v>105</v>
      </c>
      <c r="C104" s="568">
        <f>H14+H15+H20+H23+H26</f>
        <v>0</v>
      </c>
      <c r="D104" s="568"/>
      <c r="E104" s="46">
        <f>H8</f>
        <v>1.0442</v>
      </c>
      <c r="F104" s="292">
        <v>947.59</v>
      </c>
      <c r="G104" s="39" t="s">
        <v>12</v>
      </c>
      <c r="H104" s="101">
        <f>ROUND(C104*E104*F104,2)</f>
        <v>0</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0</v>
      </c>
      <c r="D105" s="568"/>
      <c r="E105" s="46">
        <f>H8</f>
        <v>1.0442</v>
      </c>
      <c r="F105" s="292">
        <v>904.74</v>
      </c>
      <c r="G105" s="39" t="s">
        <v>12</v>
      </c>
      <c r="H105" s="101">
        <f>ROUND(C105*E105*F105,2)</f>
        <v>0</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788.70720000000006</v>
      </c>
      <c r="D106" s="568"/>
      <c r="E106" s="46">
        <f>H8</f>
        <v>1.0442</v>
      </c>
      <c r="F106" s="292">
        <v>906.93</v>
      </c>
      <c r="G106" s="39" t="s">
        <v>12</v>
      </c>
      <c r="H106" s="94">
        <f>ROUND(C106*E106*F106,2)</f>
        <v>746918.58</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788.70720000000006</v>
      </c>
      <c r="D107" s="558"/>
      <c r="E107" s="123"/>
      <c r="F107" s="123"/>
      <c r="G107" s="123"/>
      <c r="H107" s="124" t="s">
        <v>100</v>
      </c>
      <c r="I107" s="101">
        <f>IF(A1=75,0,H106+H105+H104)</f>
        <v>746918.58</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90" t="s">
        <v>2</v>
      </c>
      <c r="F112" s="43"/>
      <c r="G112" s="43"/>
      <c r="H112" s="43"/>
      <c r="I112" s="43"/>
      <c r="N112" s="45"/>
      <c r="O112" s="45"/>
      <c r="P112" s="45"/>
      <c r="Q112" s="125"/>
      <c r="R112" s="125"/>
      <c r="S112" s="125"/>
      <c r="T112" s="125"/>
      <c r="U112" s="103"/>
    </row>
    <row r="113" spans="1:21" x14ac:dyDescent="0.25">
      <c r="A113" s="529" t="s">
        <v>375</v>
      </c>
      <c r="B113" s="530"/>
      <c r="C113" s="143">
        <v>474</v>
      </c>
      <c r="D113" s="143">
        <v>0</v>
      </c>
      <c r="E113" s="116">
        <f>C113</f>
        <v>474</v>
      </c>
      <c r="F113" s="126" t="s">
        <v>30</v>
      </c>
      <c r="G113" s="293">
        <v>548</v>
      </c>
      <c r="I113" s="101">
        <f>ROUND(G113*E113,2)</f>
        <v>259752</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16">
        <f>(C114+D114)/2</f>
        <v>0</v>
      </c>
      <c r="F114" s="126" t="s">
        <v>30</v>
      </c>
      <c r="G114" s="293">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478</v>
      </c>
      <c r="B117" s="550"/>
      <c r="C117" s="550"/>
      <c r="D117" s="69"/>
      <c r="E117" s="39" t="s">
        <v>294</v>
      </c>
      <c r="F117" s="535"/>
      <c r="G117" s="535"/>
      <c r="H117" s="535"/>
      <c r="I117" s="535"/>
      <c r="N117" s="572" t="s">
        <v>479</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6432031.1099999994</v>
      </c>
      <c r="J128" s="251"/>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J129" s="251"/>
      <c r="N129" s="454"/>
      <c r="O129" s="453"/>
      <c r="P129" s="453"/>
      <c r="Q129" s="307"/>
      <c r="R129" s="307"/>
      <c r="S129" s="307"/>
      <c r="T129" s="307"/>
      <c r="U129" s="103"/>
    </row>
    <row r="130" spans="1:21" ht="16.5" thickBot="1" x14ac:dyDescent="0.3">
      <c r="A130" s="513" t="s">
        <v>429</v>
      </c>
      <c r="B130" s="26"/>
      <c r="C130" s="26"/>
      <c r="D130" s="26"/>
      <c r="E130" s="26"/>
      <c r="F130" s="26"/>
      <c r="G130" s="26"/>
      <c r="H130" s="26"/>
      <c r="I130" s="101">
        <f>I128-I53</f>
        <v>6181019.0999999996</v>
      </c>
      <c r="J130" s="251"/>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J131" s="25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J132" s="251"/>
      <c r="N132" s="572" t="s">
        <v>481</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6181019.0999999996</v>
      </c>
      <c r="I135" s="94">
        <f>ROUND(IF(E30=0,0,IF(E30&gt;250,-(((250/E30)*H135)*IF(G135="H",0.02,0.05)),IF(G135="H",-0.02*H135,-0.05*H135))),2)</f>
        <v>-39481.71</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6392549.3999999994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-1028026.72-503359.51-503359.51-503359.51-503359.51-570693.67-575325.16-575425.39</f>
        <v>-4762908.9799999995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3" t="s">
        <v>247</v>
      </c>
      <c r="B141" s="69"/>
      <c r="C141" s="69"/>
      <c r="D141" s="69"/>
      <c r="E141" s="69"/>
      <c r="F141" s="69"/>
      <c r="G141" s="69"/>
      <c r="H141" s="65"/>
      <c r="I141" s="101">
        <f>I137+I139</f>
        <v>1629640.42</v>
      </c>
      <c r="N141" s="73"/>
      <c r="O141" s="73"/>
      <c r="P141" s="73"/>
      <c r="Q141" s="73"/>
      <c r="R141" s="73"/>
      <c r="S141" s="73"/>
      <c r="T141" s="73"/>
      <c r="U141" s="73"/>
    </row>
    <row r="142" spans="1:21" x14ac:dyDescent="0.25">
      <c r="A142" s="3"/>
      <c r="B142" s="69"/>
      <c r="C142" s="69"/>
      <c r="D142" s="69"/>
      <c r="E142" s="69"/>
      <c r="F142" s="69"/>
      <c r="G142" s="69"/>
      <c r="H142" s="65"/>
      <c r="I142" s="101"/>
      <c r="N142" s="73"/>
      <c r="O142" s="73"/>
      <c r="P142" s="73"/>
      <c r="Q142" s="73"/>
      <c r="R142" s="73"/>
      <c r="S142" s="73"/>
      <c r="T142" s="73"/>
      <c r="U142" s="73"/>
    </row>
    <row r="143" spans="1:21" x14ac:dyDescent="0.25">
      <c r="A143" s="3" t="s">
        <v>248</v>
      </c>
      <c r="B143" s="69"/>
      <c r="C143" s="69"/>
      <c r="D143" s="69"/>
      <c r="E143" s="69"/>
      <c r="F143" s="69"/>
      <c r="G143" s="69"/>
      <c r="H143" s="65"/>
      <c r="I143" s="273">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543213.47</v>
      </c>
      <c r="K145" s="419"/>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84138.67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ht="12.75" customHeight="1" x14ac:dyDescent="0.25">
      <c r="A151" s="345" t="s">
        <v>7</v>
      </c>
      <c r="B151" s="345"/>
      <c r="C151" s="345"/>
      <c r="D151" s="345"/>
      <c r="E151" s="345"/>
      <c r="F151" s="345"/>
      <c r="G151" s="345"/>
      <c r="H151" s="345"/>
      <c r="I151" s="345"/>
      <c r="J151" s="134"/>
      <c r="N151" s="73"/>
      <c r="O151" s="73"/>
      <c r="P151" s="73"/>
      <c r="Q151" s="73"/>
      <c r="R151" s="73"/>
      <c r="S151" s="73"/>
      <c r="T151" s="73"/>
      <c r="U151" s="73"/>
    </row>
    <row r="152" spans="1:21" ht="12.75" customHeight="1" x14ac:dyDescent="0.25">
      <c r="A152" s="346" t="s">
        <v>260</v>
      </c>
      <c r="B152" s="347"/>
      <c r="C152" s="347"/>
      <c r="D152" s="347"/>
      <c r="E152" s="347"/>
      <c r="F152" s="347"/>
      <c r="G152" s="347"/>
      <c r="H152" s="347"/>
      <c r="I152" s="347"/>
      <c r="J152" s="77"/>
      <c r="K152" s="324"/>
      <c r="L152" s="76"/>
      <c r="M152" s="76"/>
      <c r="N152" s="73"/>
      <c r="O152" s="73"/>
      <c r="P152" s="73"/>
      <c r="Q152" s="73"/>
      <c r="R152" s="73"/>
      <c r="S152" s="73"/>
      <c r="T152" s="73"/>
      <c r="U152" s="73"/>
    </row>
    <row r="153" spans="1:21" ht="12.75" customHeight="1" x14ac:dyDescent="0.25">
      <c r="A153" s="352" t="s">
        <v>366</v>
      </c>
      <c r="B153" s="347"/>
      <c r="C153" s="347"/>
      <c r="D153" s="347"/>
      <c r="E153" s="347"/>
      <c r="F153" s="347"/>
      <c r="G153" s="347"/>
      <c r="H153" s="347"/>
      <c r="I153" s="347"/>
      <c r="J153" s="77"/>
      <c r="K153" s="324"/>
      <c r="L153" s="76"/>
      <c r="M153" s="76"/>
      <c r="N153" s="73"/>
      <c r="O153" s="73"/>
      <c r="P153" s="73"/>
      <c r="Q153" s="73"/>
      <c r="R153" s="73"/>
      <c r="S153" s="73"/>
      <c r="T153" s="73"/>
      <c r="U153" s="73"/>
    </row>
    <row r="154" spans="1:21" ht="12.75" customHeight="1" x14ac:dyDescent="0.25">
      <c r="A154" s="349" t="s">
        <v>367</v>
      </c>
      <c r="B154" s="348"/>
      <c r="C154" s="348"/>
      <c r="D154" s="348"/>
      <c r="E154" s="348"/>
      <c r="F154" s="348"/>
      <c r="G154" s="348"/>
      <c r="H154" s="348"/>
      <c r="I154" s="348"/>
      <c r="J154" s="76"/>
      <c r="K154" s="76"/>
      <c r="L154" s="76"/>
      <c r="M154" s="76"/>
      <c r="N154" s="73"/>
      <c r="O154" s="73"/>
      <c r="P154" s="73"/>
      <c r="Q154" s="73"/>
      <c r="R154" s="73"/>
      <c r="S154" s="73"/>
      <c r="T154" s="73"/>
      <c r="U154" s="73"/>
    </row>
    <row r="155" spans="1:21" s="76" customFormat="1" ht="12.75" customHeight="1" x14ac:dyDescent="0.2">
      <c r="A155" s="349" t="s">
        <v>368</v>
      </c>
      <c r="B155" s="348"/>
      <c r="C155" s="348"/>
      <c r="D155" s="348"/>
      <c r="E155" s="348"/>
      <c r="F155" s="348"/>
      <c r="G155" s="348"/>
      <c r="H155" s="348"/>
      <c r="I155" s="348"/>
      <c r="N155" s="597"/>
      <c r="O155" s="597"/>
      <c r="P155" s="597"/>
      <c r="Q155" s="597"/>
      <c r="R155" s="597"/>
      <c r="S155" s="597"/>
      <c r="T155" s="597"/>
      <c r="U155" s="597"/>
    </row>
    <row r="156" spans="1:21" s="76" customFormat="1" ht="12.75" customHeight="1" x14ac:dyDescent="0.2">
      <c r="A156" s="349" t="s">
        <v>369</v>
      </c>
      <c r="B156" s="348"/>
      <c r="C156" s="348"/>
      <c r="D156" s="348"/>
      <c r="E156" s="348"/>
      <c r="F156" s="348"/>
      <c r="G156" s="348"/>
      <c r="H156" s="348"/>
      <c r="I156" s="348"/>
      <c r="N156" s="73"/>
      <c r="O156" s="73"/>
      <c r="P156" s="73"/>
      <c r="Q156" s="73"/>
      <c r="R156" s="73"/>
      <c r="S156" s="73"/>
      <c r="T156" s="73"/>
      <c r="U156" s="73"/>
    </row>
    <row r="157" spans="1:21" s="76" customFormat="1" ht="12.75" customHeight="1" x14ac:dyDescent="0.2">
      <c r="A157" s="349" t="s">
        <v>370</v>
      </c>
      <c r="B157" s="348"/>
      <c r="C157" s="348"/>
      <c r="D157" s="348"/>
      <c r="E157" s="348"/>
      <c r="F157" s="348"/>
      <c r="G157" s="348"/>
      <c r="H157" s="348"/>
      <c r="I157" s="348"/>
      <c r="N157" s="78"/>
      <c r="O157" s="79"/>
      <c r="P157" s="79"/>
      <c r="Q157" s="79"/>
      <c r="R157" s="79"/>
      <c r="S157" s="79"/>
      <c r="T157" s="79"/>
      <c r="U157" s="79"/>
    </row>
    <row r="158" spans="1:21" s="76" customFormat="1" ht="12.75" customHeight="1" x14ac:dyDescent="0.2">
      <c r="A158" s="349" t="s">
        <v>371</v>
      </c>
      <c r="B158" s="348"/>
      <c r="C158" s="348"/>
      <c r="D158" s="348"/>
      <c r="E158" s="348"/>
      <c r="F158" s="348"/>
      <c r="G158" s="348"/>
      <c r="H158" s="348"/>
      <c r="I158" s="348"/>
      <c r="N158" s="78"/>
    </row>
    <row r="159" spans="1:21" s="76" customFormat="1" ht="12.75" customHeight="1" x14ac:dyDescent="0.2">
      <c r="A159" s="349" t="s">
        <v>373</v>
      </c>
      <c r="B159" s="348"/>
      <c r="C159" s="348"/>
      <c r="D159" s="348"/>
      <c r="E159" s="348"/>
      <c r="F159" s="348"/>
      <c r="G159" s="348"/>
      <c r="H159" s="348"/>
      <c r="I159" s="348"/>
      <c r="K159" s="348"/>
      <c r="N159" s="78"/>
    </row>
    <row r="160" spans="1:21" s="76" customFormat="1" ht="12.75" customHeight="1" x14ac:dyDescent="0.2">
      <c r="A160" s="354" t="s">
        <v>372</v>
      </c>
      <c r="B160" s="348"/>
      <c r="C160" s="348"/>
      <c r="D160" s="348"/>
      <c r="E160" s="348"/>
      <c r="F160" s="348"/>
      <c r="G160" s="348"/>
      <c r="H160" s="348"/>
      <c r="I160" s="348"/>
      <c r="N160" s="78"/>
    </row>
    <row r="161" spans="1:14" s="76" customFormat="1" ht="12.75" customHeight="1" x14ac:dyDescent="0.2">
      <c r="A161" s="349" t="s">
        <v>374</v>
      </c>
      <c r="B161" s="348"/>
      <c r="C161" s="348"/>
      <c r="D161" s="348"/>
      <c r="E161" s="348"/>
      <c r="F161" s="348"/>
      <c r="G161" s="348"/>
      <c r="H161" s="348"/>
      <c r="I161" s="348"/>
      <c r="N161" s="78"/>
    </row>
    <row r="162" spans="1:14" s="76" customFormat="1" ht="12.75" customHeight="1" x14ac:dyDescent="0.2">
      <c r="A162" s="353" t="s">
        <v>261</v>
      </c>
      <c r="B162" s="348"/>
      <c r="C162" s="348"/>
      <c r="D162" s="348"/>
      <c r="E162" s="348"/>
      <c r="F162" s="348"/>
      <c r="G162" s="348"/>
      <c r="H162" s="348"/>
      <c r="I162" s="348"/>
      <c r="N162" s="78"/>
    </row>
    <row r="163" spans="1:14" s="76" customFormat="1" ht="12.75" customHeight="1" x14ac:dyDescent="0.2">
      <c r="A163" s="349" t="s">
        <v>377</v>
      </c>
      <c r="B163" s="348"/>
      <c r="C163" s="348"/>
      <c r="D163" s="348"/>
      <c r="E163" s="348"/>
      <c r="F163" s="348"/>
      <c r="G163" s="348"/>
      <c r="H163" s="348"/>
      <c r="I163" s="348"/>
      <c r="N163" s="78"/>
    </row>
    <row r="164" spans="1:14" s="76" customFormat="1" ht="12.75" customHeight="1" x14ac:dyDescent="0.2">
      <c r="A164" s="349" t="s">
        <v>288</v>
      </c>
      <c r="B164" s="348"/>
      <c r="C164" s="348"/>
      <c r="D164" s="348"/>
      <c r="E164" s="348"/>
      <c r="F164" s="348"/>
      <c r="G164" s="348"/>
      <c r="H164" s="348"/>
      <c r="I164" s="348"/>
      <c r="N164" s="78"/>
    </row>
    <row r="165" spans="1:14" s="76" customFormat="1" ht="12.75" customHeight="1" x14ac:dyDescent="0.2">
      <c r="A165" s="349" t="s">
        <v>379</v>
      </c>
      <c r="B165" s="348"/>
      <c r="C165" s="348"/>
      <c r="D165" s="348"/>
      <c r="E165" s="348"/>
      <c r="F165" s="348"/>
      <c r="G165" s="348"/>
      <c r="H165" s="348"/>
      <c r="I165" s="348"/>
      <c r="N165" s="78"/>
    </row>
    <row r="166" spans="1:14" s="76" customFormat="1" ht="12.75" customHeight="1" x14ac:dyDescent="0.2">
      <c r="A166" s="354" t="s">
        <v>378</v>
      </c>
      <c r="B166" s="348"/>
      <c r="C166" s="348"/>
      <c r="D166" s="348"/>
      <c r="E166" s="348"/>
      <c r="F166" s="348"/>
      <c r="G166" s="348"/>
      <c r="H166" s="348"/>
      <c r="I166" s="348"/>
      <c r="N166" s="78"/>
    </row>
    <row r="167" spans="1:14" s="76" customFormat="1" ht="12.75" customHeight="1" x14ac:dyDescent="0.2">
      <c r="A167" s="349" t="s">
        <v>380</v>
      </c>
      <c r="B167" s="348"/>
      <c r="C167" s="348"/>
      <c r="D167" s="348"/>
      <c r="E167" s="348"/>
      <c r="F167" s="348"/>
      <c r="G167" s="348"/>
      <c r="H167" s="348"/>
      <c r="I167" s="348"/>
      <c r="N167" s="78"/>
    </row>
    <row r="168" spans="1:14" s="76" customFormat="1" ht="12.75" customHeight="1" x14ac:dyDescent="0.2">
      <c r="A168" s="354" t="s">
        <v>262</v>
      </c>
      <c r="B168" s="348"/>
      <c r="C168" s="348"/>
      <c r="D168" s="348"/>
      <c r="E168" s="348"/>
      <c r="F168" s="348"/>
      <c r="G168" s="348"/>
      <c r="H168" s="348"/>
      <c r="I168" s="348"/>
      <c r="N168" s="78"/>
    </row>
    <row r="169" spans="1:14" s="76" customFormat="1" ht="12.75" customHeight="1" x14ac:dyDescent="0.2">
      <c r="A169" s="349" t="s">
        <v>382</v>
      </c>
      <c r="B169" s="348"/>
      <c r="C169" s="348"/>
      <c r="D169" s="348"/>
      <c r="E169" s="348"/>
      <c r="F169" s="348"/>
      <c r="G169" s="348"/>
      <c r="H169" s="348"/>
      <c r="I169" s="348"/>
      <c r="N169" s="78"/>
    </row>
    <row r="170" spans="1:14" s="76" customFormat="1" ht="12.75" customHeight="1" x14ac:dyDescent="0.2">
      <c r="A170" s="354" t="s">
        <v>381</v>
      </c>
      <c r="B170" s="348"/>
      <c r="C170" s="348"/>
      <c r="D170" s="348"/>
      <c r="E170" s="348"/>
      <c r="F170" s="348"/>
      <c r="G170" s="348"/>
      <c r="H170" s="348"/>
      <c r="I170" s="348"/>
      <c r="N170" s="78"/>
    </row>
    <row r="171" spans="1:14" s="76" customFormat="1" ht="12.75" customHeight="1" x14ac:dyDescent="0.2">
      <c r="A171" s="349"/>
      <c r="B171" s="348"/>
      <c r="C171" s="348"/>
      <c r="D171" s="348"/>
      <c r="E171" s="348"/>
      <c r="F171" s="348"/>
      <c r="G171" s="348"/>
      <c r="H171" s="348"/>
      <c r="I171" s="348"/>
      <c r="N171" s="78"/>
    </row>
    <row r="172" spans="1:14" s="76" customFormat="1" ht="12.75" customHeight="1" x14ac:dyDescent="0.2">
      <c r="A172" s="357" t="s">
        <v>67</v>
      </c>
      <c r="B172" s="348"/>
      <c r="C172" s="348"/>
      <c r="D172" s="348"/>
      <c r="E172" s="348"/>
      <c r="F172" s="348"/>
      <c r="G172" s="348"/>
      <c r="H172" s="348"/>
      <c r="I172" s="348"/>
      <c r="N172" s="78"/>
    </row>
    <row r="173" spans="1:14" s="76" customFormat="1" ht="12.75" customHeight="1" x14ac:dyDescent="0.2">
      <c r="A173" s="350" t="s">
        <v>263</v>
      </c>
      <c r="B173" s="351"/>
      <c r="C173" s="351"/>
      <c r="D173" s="351"/>
      <c r="E173" s="351"/>
      <c r="F173" s="351"/>
      <c r="G173" s="351"/>
      <c r="H173" s="351"/>
      <c r="I173" s="351"/>
      <c r="N173" s="78"/>
    </row>
    <row r="174" spans="1:14" s="76" customFormat="1" ht="12.75" customHeight="1" x14ac:dyDescent="0.2">
      <c r="A174" s="355" t="s">
        <v>295</v>
      </c>
      <c r="B174" s="358"/>
      <c r="C174" s="358"/>
      <c r="D174" s="358"/>
      <c r="E174" s="358"/>
      <c r="F174" s="358"/>
      <c r="G174" s="358"/>
      <c r="H174" s="358"/>
      <c r="I174" s="358"/>
      <c r="N174" s="78"/>
    </row>
    <row r="175" spans="1:14" s="76" customFormat="1" ht="12.75" customHeight="1" x14ac:dyDescent="0.2">
      <c r="A175" s="355" t="s">
        <v>383</v>
      </c>
      <c r="B175" s="358"/>
      <c r="C175" s="358"/>
      <c r="D175" s="358"/>
      <c r="E175" s="358"/>
      <c r="F175" s="358"/>
      <c r="G175" s="358"/>
      <c r="H175" s="358"/>
      <c r="I175" s="358"/>
      <c r="N175" s="78"/>
    </row>
    <row r="176" spans="1:14" s="76" customFormat="1" ht="12.75" customHeight="1" x14ac:dyDescent="0.2">
      <c r="A176" s="355" t="s">
        <v>384</v>
      </c>
      <c r="B176" s="358"/>
      <c r="C176" s="358"/>
      <c r="D176" s="358"/>
      <c r="E176" s="358"/>
      <c r="F176" s="358"/>
      <c r="G176" s="358"/>
      <c r="H176" s="358"/>
      <c r="I176" s="358"/>
      <c r="N176" s="78"/>
    </row>
    <row r="177" spans="1:21" s="76" customFormat="1" ht="12.75" customHeight="1" x14ac:dyDescent="0.2">
      <c r="A177" s="350"/>
      <c r="B177" s="358"/>
      <c r="C177" s="358"/>
      <c r="D177" s="358"/>
      <c r="E177" s="358"/>
      <c r="F177" s="358"/>
      <c r="G177" s="358"/>
      <c r="H177" s="358"/>
      <c r="I177" s="358"/>
      <c r="N177" s="78"/>
    </row>
    <row r="178" spans="1:21" s="76" customFormat="1" ht="12.75" customHeight="1" x14ac:dyDescent="0.25">
      <c r="A178" s="350" t="s">
        <v>296</v>
      </c>
      <c r="B178" s="351"/>
      <c r="C178" s="351"/>
      <c r="D178" s="351"/>
      <c r="E178" s="351"/>
      <c r="F178" s="351"/>
      <c r="G178" s="351"/>
      <c r="H178" s="351"/>
      <c r="I178" s="351"/>
      <c r="J178" s="3"/>
      <c r="K178" s="3"/>
      <c r="L178" s="3"/>
      <c r="M178" s="3"/>
      <c r="N178" s="78"/>
    </row>
    <row r="179" spans="1:21" s="76" customFormat="1" ht="12.75" customHeight="1" x14ac:dyDescent="0.25">
      <c r="A179" s="355" t="s">
        <v>295</v>
      </c>
      <c r="B179" s="351"/>
      <c r="C179" s="351"/>
      <c r="D179" s="351"/>
      <c r="E179" s="351"/>
      <c r="F179" s="351"/>
      <c r="G179" s="351"/>
      <c r="H179" s="351"/>
      <c r="I179" s="351"/>
      <c r="J179" s="3"/>
      <c r="K179" s="3"/>
      <c r="L179" s="3"/>
      <c r="M179" s="3"/>
      <c r="N179" s="78"/>
    </row>
    <row r="180" spans="1:21" s="76" customFormat="1" ht="12.75" customHeight="1" x14ac:dyDescent="0.25">
      <c r="A180" s="355" t="s">
        <v>297</v>
      </c>
      <c r="B180" s="351"/>
      <c r="C180" s="351"/>
      <c r="D180" s="351"/>
      <c r="E180" s="351"/>
      <c r="F180" s="351"/>
      <c r="G180" s="351"/>
      <c r="H180" s="351"/>
      <c r="I180" s="351"/>
      <c r="J180" s="3"/>
      <c r="K180" s="3"/>
      <c r="L180" s="3"/>
      <c r="M180" s="3"/>
      <c r="N180" s="78"/>
    </row>
    <row r="181" spans="1:21" s="76" customFormat="1" ht="12.75" customHeight="1" x14ac:dyDescent="0.25">
      <c r="A181" s="351"/>
      <c r="B181" s="351"/>
      <c r="C181" s="351"/>
      <c r="D181" s="351"/>
      <c r="E181" s="351"/>
      <c r="F181" s="351"/>
      <c r="G181" s="351"/>
      <c r="H181" s="351"/>
      <c r="I181" s="351"/>
      <c r="J181" s="3"/>
      <c r="K181" s="3"/>
      <c r="L181" s="3"/>
      <c r="M181" s="3"/>
      <c r="N181" s="78"/>
    </row>
    <row r="182" spans="1:21" s="76" customFormat="1" ht="12.75" customHeight="1" x14ac:dyDescent="0.2">
      <c r="A182" s="357" t="s">
        <v>68</v>
      </c>
      <c r="B182" s="357"/>
      <c r="C182" s="357"/>
      <c r="D182" s="357"/>
      <c r="E182" s="357"/>
      <c r="F182" s="357"/>
      <c r="G182" s="357"/>
      <c r="H182" s="357"/>
      <c r="I182" s="357"/>
      <c r="N182" s="78"/>
    </row>
    <row r="183" spans="1:21" ht="12.75" customHeight="1" x14ac:dyDescent="0.25">
      <c r="A183" s="350" t="s">
        <v>264</v>
      </c>
      <c r="B183" s="351"/>
      <c r="C183" s="351"/>
      <c r="D183" s="351"/>
      <c r="E183" s="351"/>
      <c r="F183" s="351"/>
      <c r="G183" s="351"/>
      <c r="H183" s="351"/>
      <c r="I183" s="351"/>
      <c r="J183" s="76"/>
      <c r="K183" s="76"/>
      <c r="L183" s="76"/>
      <c r="M183" s="76"/>
      <c r="N183" s="78"/>
      <c r="O183" s="76"/>
      <c r="P183" s="76"/>
      <c r="Q183" s="76"/>
      <c r="R183" s="76"/>
      <c r="S183" s="76"/>
      <c r="T183" s="76"/>
      <c r="U183" s="76"/>
    </row>
    <row r="184" spans="1:21" ht="12.75" customHeight="1" x14ac:dyDescent="0.25">
      <c r="A184" s="355" t="s">
        <v>265</v>
      </c>
      <c r="B184" s="358"/>
      <c r="C184" s="358"/>
      <c r="D184" s="358"/>
      <c r="E184" s="358"/>
      <c r="F184" s="358"/>
      <c r="G184" s="358"/>
      <c r="H184" s="358"/>
      <c r="I184" s="358"/>
      <c r="J184" s="76"/>
      <c r="K184" s="76"/>
      <c r="L184" s="76"/>
      <c r="M184" s="76"/>
      <c r="N184" s="78"/>
      <c r="O184" s="76"/>
      <c r="P184" s="76"/>
      <c r="Q184" s="76"/>
      <c r="R184" s="76"/>
      <c r="S184" s="76"/>
      <c r="T184" s="76"/>
      <c r="U184" s="76"/>
    </row>
    <row r="185" spans="1:21" s="76" customFormat="1" ht="12.75" customHeight="1" x14ac:dyDescent="0.25">
      <c r="A185" s="351" t="s">
        <v>11</v>
      </c>
      <c r="B185" s="351"/>
      <c r="C185" s="351"/>
      <c r="D185" s="351"/>
      <c r="E185" s="351"/>
      <c r="F185" s="351"/>
      <c r="G185" s="351"/>
      <c r="H185" s="351"/>
      <c r="I185" s="351"/>
      <c r="N185" s="74"/>
      <c r="O185" s="3"/>
      <c r="P185" s="3"/>
      <c r="Q185" s="3"/>
      <c r="R185" s="3"/>
      <c r="S185" s="3"/>
      <c r="T185" s="3"/>
      <c r="U185" s="3"/>
    </row>
    <row r="186" spans="1:21" s="76" customFormat="1" ht="15.75" customHeight="1" x14ac:dyDescent="0.25">
      <c r="A186" s="294"/>
      <c r="B186" s="294"/>
      <c r="C186" s="294"/>
      <c r="D186" s="294"/>
      <c r="E186" s="294"/>
      <c r="F186" s="294"/>
      <c r="G186" s="294"/>
      <c r="H186" s="294"/>
      <c r="I186" s="294"/>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A128:H128"/>
    <mergeCell ref="A133:G133"/>
    <mergeCell ref="A132:G132"/>
    <mergeCell ref="F126:H126"/>
    <mergeCell ref="A40:B40"/>
    <mergeCell ref="A41:B41"/>
    <mergeCell ref="A124:B124"/>
    <mergeCell ref="A123:B123"/>
    <mergeCell ref="A122:B122"/>
    <mergeCell ref="A108:I108"/>
    <mergeCell ref="F121:G121"/>
    <mergeCell ref="A88:C88"/>
    <mergeCell ref="C107:D107"/>
    <mergeCell ref="A120:B120"/>
    <mergeCell ref="F110:I110"/>
    <mergeCell ref="F120:G120"/>
    <mergeCell ref="A126:C126"/>
    <mergeCell ref="A42:B42"/>
    <mergeCell ref="A94:C94"/>
    <mergeCell ref="C104:D104"/>
    <mergeCell ref="A78:B78"/>
    <mergeCell ref="D78:G78"/>
    <mergeCell ref="A81:B81"/>
    <mergeCell ref="D81:G81"/>
    <mergeCell ref="F29:G29"/>
    <mergeCell ref="A25:B25"/>
    <mergeCell ref="A26:B26"/>
    <mergeCell ref="A38:B38"/>
    <mergeCell ref="F123:G123"/>
    <mergeCell ref="C106:D106"/>
    <mergeCell ref="A72:B72"/>
    <mergeCell ref="C105:D105"/>
    <mergeCell ref="F34:H37"/>
    <mergeCell ref="A37:B37"/>
    <mergeCell ref="F122:G122"/>
    <mergeCell ref="A87:C87"/>
    <mergeCell ref="A121:B121"/>
    <mergeCell ref="A117:C117"/>
    <mergeCell ref="F117:I117"/>
    <mergeCell ref="A113:B113"/>
    <mergeCell ref="A114:B114"/>
    <mergeCell ref="F30:G30"/>
    <mergeCell ref="A69:B69"/>
    <mergeCell ref="A96:C96"/>
    <mergeCell ref="A75:B75"/>
    <mergeCell ref="D75:G75"/>
    <mergeCell ref="A57:B65"/>
    <mergeCell ref="F66:H66"/>
    <mergeCell ref="A4:B4"/>
    <mergeCell ref="C4:E4"/>
    <mergeCell ref="F11:G11"/>
    <mergeCell ref="A15:B15"/>
    <mergeCell ref="F15:G15"/>
    <mergeCell ref="F12:G12"/>
    <mergeCell ref="F13:G13"/>
    <mergeCell ref="A13:B13"/>
    <mergeCell ref="A29:B29"/>
    <mergeCell ref="A27:B27"/>
    <mergeCell ref="A28:B28"/>
    <mergeCell ref="F14:G14"/>
    <mergeCell ref="A20:B20"/>
    <mergeCell ref="A19:B19"/>
    <mergeCell ref="A14:B14"/>
    <mergeCell ref="A16:B16"/>
    <mergeCell ref="F19:G19"/>
    <mergeCell ref="A18:B18"/>
    <mergeCell ref="F25:G25"/>
    <mergeCell ref="F26:G26"/>
    <mergeCell ref="A23:B23"/>
    <mergeCell ref="F24:G24"/>
    <mergeCell ref="F27:G27"/>
    <mergeCell ref="F28:G28"/>
    <mergeCell ref="O1:U1"/>
    <mergeCell ref="N2:U2"/>
    <mergeCell ref="N3:U3"/>
    <mergeCell ref="N4:O4"/>
    <mergeCell ref="P4:Q4"/>
    <mergeCell ref="A43:B43"/>
    <mergeCell ref="N7:U7"/>
    <mergeCell ref="A39:B39"/>
    <mergeCell ref="A30:B30"/>
    <mergeCell ref="A24:B24"/>
    <mergeCell ref="A22:B22"/>
    <mergeCell ref="F22:G22"/>
    <mergeCell ref="F23:G23"/>
    <mergeCell ref="A17:B17"/>
    <mergeCell ref="F16:G16"/>
    <mergeCell ref="F18:G18"/>
    <mergeCell ref="F17:G17"/>
    <mergeCell ref="F20:G20"/>
    <mergeCell ref="F21:G21"/>
    <mergeCell ref="A21:B21"/>
    <mergeCell ref="B1:I1"/>
    <mergeCell ref="A7:I7"/>
    <mergeCell ref="N8:O8"/>
    <mergeCell ref="P8:Q8"/>
    <mergeCell ref="N16:O16"/>
    <mergeCell ref="P16:Q16"/>
    <mergeCell ref="R16:S16"/>
    <mergeCell ref="N13:O13"/>
    <mergeCell ref="P13:Q13"/>
    <mergeCell ref="R13:S13"/>
    <mergeCell ref="N14:O14"/>
    <mergeCell ref="P14:Q14"/>
    <mergeCell ref="R14:S14"/>
    <mergeCell ref="R8:S8"/>
    <mergeCell ref="T8:U8"/>
    <mergeCell ref="R11:S11"/>
    <mergeCell ref="N12:O12"/>
    <mergeCell ref="P12:Q12"/>
    <mergeCell ref="R12:S12"/>
    <mergeCell ref="N15:O15"/>
    <mergeCell ref="P15:Q15"/>
    <mergeCell ref="R15:S15"/>
    <mergeCell ref="T9:U9"/>
    <mergeCell ref="R20:S20"/>
    <mergeCell ref="N17:O17"/>
    <mergeCell ref="P17:Q17"/>
    <mergeCell ref="R17:S17"/>
    <mergeCell ref="N18:O18"/>
    <mergeCell ref="P18:Q18"/>
    <mergeCell ref="R18:S18"/>
    <mergeCell ref="N20:O20"/>
    <mergeCell ref="P20:Q20"/>
    <mergeCell ref="N19:O19"/>
    <mergeCell ref="P19:Q19"/>
    <mergeCell ref="R19:S19"/>
    <mergeCell ref="N24:O24"/>
    <mergeCell ref="P24:Q24"/>
    <mergeCell ref="R24:S24"/>
    <mergeCell ref="N21:O21"/>
    <mergeCell ref="P21:Q21"/>
    <mergeCell ref="R21:S21"/>
    <mergeCell ref="N22:O22"/>
    <mergeCell ref="P22:Q22"/>
    <mergeCell ref="R22:S22"/>
    <mergeCell ref="N23:O23"/>
    <mergeCell ref="P23:Q23"/>
    <mergeCell ref="R23:S23"/>
    <mergeCell ref="N27:O27"/>
    <mergeCell ref="P27:Q27"/>
    <mergeCell ref="R27:S27"/>
    <mergeCell ref="N28:O28"/>
    <mergeCell ref="P28:Q28"/>
    <mergeCell ref="R28:S28"/>
    <mergeCell ref="N25:O25"/>
    <mergeCell ref="P25:Q25"/>
    <mergeCell ref="R25:S25"/>
    <mergeCell ref="N26:O26"/>
    <mergeCell ref="P26:Q26"/>
    <mergeCell ref="R26:S26"/>
    <mergeCell ref="P42:T42"/>
    <mergeCell ref="N35:T35"/>
    <mergeCell ref="N37:O37"/>
    <mergeCell ref="P37:T37"/>
    <mergeCell ref="N38:O38"/>
    <mergeCell ref="P38:T38"/>
    <mergeCell ref="N39:O39"/>
    <mergeCell ref="P39:T39"/>
    <mergeCell ref="N29:O29"/>
    <mergeCell ref="P29:Q29"/>
    <mergeCell ref="R29:S29"/>
    <mergeCell ref="N30:O30"/>
    <mergeCell ref="P30:Q30"/>
    <mergeCell ref="R30:S30"/>
    <mergeCell ref="N40:O40"/>
    <mergeCell ref="P40:T40"/>
    <mergeCell ref="N41:O41"/>
    <mergeCell ref="P41:T41"/>
    <mergeCell ref="N42:O42"/>
    <mergeCell ref="N94:P94"/>
    <mergeCell ref="N103:O103"/>
    <mergeCell ref="P103:Q103"/>
    <mergeCell ref="R103:U103"/>
    <mergeCell ref="Q72:S72"/>
    <mergeCell ref="N73:S73"/>
    <mergeCell ref="T73:U73"/>
    <mergeCell ref="N87:P87"/>
    <mergeCell ref="N78:O78"/>
    <mergeCell ref="Q78:S78"/>
    <mergeCell ref="T78:U78"/>
    <mergeCell ref="N79:S79"/>
    <mergeCell ref="T79:U79"/>
    <mergeCell ref="N72:O72"/>
    <mergeCell ref="T72:U72"/>
    <mergeCell ref="N81:O81"/>
    <mergeCell ref="Q81:S81"/>
    <mergeCell ref="T81:U81"/>
    <mergeCell ref="N82:S82"/>
    <mergeCell ref="T82:U82"/>
    <mergeCell ref="N88:P88"/>
    <mergeCell ref="N75:O75"/>
    <mergeCell ref="Q75:S75"/>
    <mergeCell ref="N136:U136"/>
    <mergeCell ref="N155:U155"/>
    <mergeCell ref="D69:G69"/>
    <mergeCell ref="D72:G72"/>
    <mergeCell ref="C102:D102"/>
    <mergeCell ref="C103:D103"/>
    <mergeCell ref="F119:G119"/>
    <mergeCell ref="C118:E118"/>
    <mergeCell ref="N126:P126"/>
    <mergeCell ref="N130:T130"/>
    <mergeCell ref="N135:U135"/>
    <mergeCell ref="N123:O123"/>
    <mergeCell ref="P123:Q123"/>
    <mergeCell ref="R123:S123"/>
    <mergeCell ref="N124:O124"/>
    <mergeCell ref="N121:O121"/>
    <mergeCell ref="P121:Q121"/>
    <mergeCell ref="R121:S121"/>
    <mergeCell ref="N122:O122"/>
    <mergeCell ref="P122:Q122"/>
    <mergeCell ref="R122:S122"/>
    <mergeCell ref="N113:O113"/>
    <mergeCell ref="P113:R113"/>
    <mergeCell ref="N114:O114"/>
    <mergeCell ref="N43:O43"/>
    <mergeCell ref="P43:T43"/>
    <mergeCell ref="N44:Q44"/>
    <mergeCell ref="S44:T44"/>
    <mergeCell ref="N46:Q46"/>
    <mergeCell ref="S46:T46"/>
    <mergeCell ref="N57:O65"/>
    <mergeCell ref="P56:Q56"/>
    <mergeCell ref="P57:Q57"/>
    <mergeCell ref="P58:Q58"/>
    <mergeCell ref="P59:Q59"/>
    <mergeCell ref="P60:Q60"/>
    <mergeCell ref="P61:Q61"/>
    <mergeCell ref="P62:Q62"/>
    <mergeCell ref="P63:Q63"/>
    <mergeCell ref="P64:Q64"/>
    <mergeCell ref="P65:Q65"/>
    <mergeCell ref="N132:T132"/>
    <mergeCell ref="P66:Q66"/>
    <mergeCell ref="R66:T66"/>
    <mergeCell ref="T75:U75"/>
    <mergeCell ref="N76:S76"/>
    <mergeCell ref="T76:U76"/>
    <mergeCell ref="N70:S70"/>
    <mergeCell ref="T70:U70"/>
    <mergeCell ref="N69:O69"/>
    <mergeCell ref="Q69:S69"/>
    <mergeCell ref="T69:U69"/>
    <mergeCell ref="P114:R114"/>
    <mergeCell ref="N117:U117"/>
    <mergeCell ref="N120:O120"/>
    <mergeCell ref="P120:Q120"/>
    <mergeCell ref="R120:S120"/>
    <mergeCell ref="P104:Q104"/>
    <mergeCell ref="P105:Q105"/>
    <mergeCell ref="P106:Q106"/>
    <mergeCell ref="P107:T107"/>
    <mergeCell ref="N108:U108"/>
    <mergeCell ref="N110:P110"/>
    <mergeCell ref="Q110:T110"/>
    <mergeCell ref="N96:P96"/>
  </mergeCells>
  <phoneticPr fontId="3" type="noConversion"/>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0">
    <tabColor rgb="FFFFCCCC"/>
  </sheetPr>
  <dimension ref="A1:V221"/>
  <sheetViews>
    <sheetView topLeftCell="A108" workbookViewId="0">
      <selection activeCell="D57" sqref="D57:D6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135</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152.03</v>
      </c>
      <c r="D14" s="141">
        <v>150.24</v>
      </c>
      <c r="E14" s="187">
        <f>IF(D$30=0,C14*2,C14+D14)</f>
        <v>302.27</v>
      </c>
      <c r="F14" s="639">
        <f>'1461'!F14:G14</f>
        <v>1.1220000000000001</v>
      </c>
      <c r="G14" s="639"/>
      <c r="H14" s="145">
        <f>ROUND(E14*F14,4)</f>
        <v>339.14690000000002</v>
      </c>
      <c r="I14" s="111">
        <f>ROUND(ROUND(ROUND(H14*$C$8,4)*($H$8),2)*(MAX($H$9,1)),2)</f>
        <v>1820169.55</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11</v>
      </c>
      <c r="D15" s="143">
        <v>13.15</v>
      </c>
      <c r="E15" s="116">
        <f t="shared" ref="E15:E29" si="1">IF(D$30=0,C15*2,C15+D15)</f>
        <v>24.15</v>
      </c>
      <c r="F15" s="635">
        <f>'1461'!F15:G15</f>
        <v>1.1220000000000001</v>
      </c>
      <c r="G15" s="635"/>
      <c r="H15" s="80">
        <f t="shared" ref="H15:H29" si="2">ROUND(E15*F15,4)</f>
        <v>27.096299999999999</v>
      </c>
      <c r="I15" s="101">
        <f t="shared" ref="I15:I29" si="3">ROUND(ROUND(ROUND(H15*$C$8,4)*($H$8),2)*(MAX($H$9,1)),2)</f>
        <v>145423.29999999999</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169.44</v>
      </c>
      <c r="D16" s="143">
        <v>170.65</v>
      </c>
      <c r="E16" s="116">
        <f t="shared" si="1"/>
        <v>340.09000000000003</v>
      </c>
      <c r="F16" s="635">
        <f>'1461'!F16:G16</f>
        <v>1</v>
      </c>
      <c r="G16" s="635"/>
      <c r="H16" s="80">
        <f t="shared" si="2"/>
        <v>340.09</v>
      </c>
      <c r="I16" s="101">
        <f t="shared" si="3"/>
        <v>1825231.08</v>
      </c>
      <c r="N16" s="573" t="s">
        <v>22</v>
      </c>
      <c r="O16" s="573"/>
      <c r="P16" s="614">
        <f t="shared" si="0"/>
        <v>0</v>
      </c>
      <c r="Q16" s="614"/>
      <c r="R16" s="619">
        <v>1</v>
      </c>
      <c r="S16" s="619"/>
      <c r="T16" s="95">
        <f t="shared" si="4"/>
        <v>0</v>
      </c>
      <c r="U16" s="474">
        <f t="shared" si="5"/>
        <v>0</v>
      </c>
    </row>
    <row r="17" spans="1:21" x14ac:dyDescent="0.25">
      <c r="A17" s="550" t="s">
        <v>23</v>
      </c>
      <c r="B17" s="550"/>
      <c r="C17" s="143">
        <v>28</v>
      </c>
      <c r="D17" s="143">
        <v>28.55</v>
      </c>
      <c r="E17" s="116">
        <f t="shared" si="1"/>
        <v>56.55</v>
      </c>
      <c r="F17" s="635">
        <f>'1461'!F17:G17</f>
        <v>1</v>
      </c>
      <c r="G17" s="635"/>
      <c r="H17" s="80">
        <f t="shared" si="2"/>
        <v>56.55</v>
      </c>
      <c r="I17" s="101">
        <f t="shared" si="3"/>
        <v>303498.53999999998</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0</v>
      </c>
      <c r="D18" s="143">
        <v>0</v>
      </c>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0</v>
      </c>
      <c r="D19" s="143">
        <v>0</v>
      </c>
      <c r="E19" s="116">
        <f t="shared" si="1"/>
        <v>0</v>
      </c>
      <c r="F19" s="635">
        <f>'1461'!F19:G19</f>
        <v>0.98799999999999999</v>
      </c>
      <c r="G19" s="635"/>
      <c r="H19" s="80">
        <f t="shared" si="2"/>
        <v>0</v>
      </c>
      <c r="I19" s="101">
        <f t="shared" si="3"/>
        <v>0</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30.97</v>
      </c>
      <c r="D26" s="143">
        <v>31.86</v>
      </c>
      <c r="E26" s="116">
        <f t="shared" si="1"/>
        <v>62.83</v>
      </c>
      <c r="F26" s="635">
        <f>'1461'!F26:G26</f>
        <v>1.208</v>
      </c>
      <c r="G26" s="635"/>
      <c r="H26" s="80">
        <f t="shared" si="2"/>
        <v>75.898600000000002</v>
      </c>
      <c r="I26" s="101">
        <f t="shared" si="3"/>
        <v>407340.66</v>
      </c>
      <c r="N26" s="573" t="s">
        <v>85</v>
      </c>
      <c r="O26" s="573"/>
      <c r="P26" s="614">
        <f t="shared" si="0"/>
        <v>0</v>
      </c>
      <c r="Q26" s="614"/>
      <c r="R26" s="619">
        <v>1</v>
      </c>
      <c r="S26" s="619"/>
      <c r="T26" s="95">
        <f t="shared" si="4"/>
        <v>0</v>
      </c>
      <c r="U26" s="474">
        <f t="shared" si="5"/>
        <v>0</v>
      </c>
    </row>
    <row r="27" spans="1:21" x14ac:dyDescent="0.25">
      <c r="A27" s="550" t="s">
        <v>86</v>
      </c>
      <c r="B27" s="550"/>
      <c r="C27" s="143">
        <v>28.93</v>
      </c>
      <c r="D27" s="143">
        <v>32.380000000000003</v>
      </c>
      <c r="E27" s="116">
        <f t="shared" si="1"/>
        <v>61.31</v>
      </c>
      <c r="F27" s="635">
        <f>'1461'!F27:G27</f>
        <v>1.208</v>
      </c>
      <c r="G27" s="635"/>
      <c r="H27" s="80">
        <f t="shared" si="2"/>
        <v>74.0625</v>
      </c>
      <c r="I27" s="101">
        <f t="shared" si="3"/>
        <v>397486.48</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420.37000000000006</v>
      </c>
      <c r="D30" s="94">
        <f>SUM(D14:D29)</f>
        <v>426.83000000000004</v>
      </c>
      <c r="E30" s="94">
        <f>SUM(E14:E29)</f>
        <v>847.2</v>
      </c>
      <c r="F30" s="554"/>
      <c r="G30" s="554"/>
      <c r="H30" s="99">
        <f>SUM(H14:H29)</f>
        <v>912.84429999999998</v>
      </c>
      <c r="I30" s="94">
        <f>SUM(I14:I29)</f>
        <v>4899149.6099999994</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912.84429999999998</v>
      </c>
      <c r="F46" s="34"/>
      <c r="G46" s="106"/>
      <c r="H46" s="107" t="s">
        <v>98</v>
      </c>
      <c r="I46" s="94">
        <f>SUM(I44,I30)</f>
        <v>4899149.6099999994</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4899149.6099999994</v>
      </c>
      <c r="G51" s="109" t="s">
        <v>6</v>
      </c>
      <c r="H51" s="402">
        <v>4.5199999999999997E-2</v>
      </c>
      <c r="I51" s="101">
        <f>ROUND(F51*H51,2)</f>
        <v>221441.56</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4899149.6099999994</v>
      </c>
      <c r="G52" s="109" t="s">
        <v>6</v>
      </c>
      <c r="H52" s="402">
        <v>1.41E-2</v>
      </c>
      <c r="I52" s="101">
        <f>ROUND(F52*H52,2)</f>
        <v>69078.009999999995</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290519.57</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9.5</v>
      </c>
      <c r="D57" s="143">
        <v>11.36</v>
      </c>
      <c r="E57" s="116">
        <f t="shared" ref="E57:E65" si="10">IF(D$66=0,C57*2,C57+D57)</f>
        <v>20.86</v>
      </c>
      <c r="F57" s="444" t="s">
        <v>434</v>
      </c>
      <c r="G57" s="444">
        <v>251</v>
      </c>
      <c r="H57" s="458">
        <f>'1461'!H57</f>
        <v>1047</v>
      </c>
      <c r="I57" s="101">
        <f>ROUND(E57*H57,2)</f>
        <v>21840.42</v>
      </c>
      <c r="N57" s="590" t="s">
        <v>442</v>
      </c>
      <c r="O57" s="590"/>
      <c r="P57" s="593"/>
      <c r="Q57" s="593"/>
      <c r="R57" s="450" t="s">
        <v>434</v>
      </c>
      <c r="S57" s="450">
        <v>251</v>
      </c>
      <c r="T57" s="461">
        <f>H57</f>
        <v>1047</v>
      </c>
      <c r="U57" s="475">
        <f>ROUND(P57*T57,2)</f>
        <v>0</v>
      </c>
      <c r="V57" s="425"/>
    </row>
    <row r="58" spans="1:22" x14ac:dyDescent="0.25">
      <c r="A58" s="561"/>
      <c r="B58" s="561"/>
      <c r="C58" s="143">
        <v>1.5</v>
      </c>
      <c r="D58" s="143">
        <v>1.79</v>
      </c>
      <c r="E58" s="116">
        <f t="shared" si="10"/>
        <v>3.29</v>
      </c>
      <c r="F58" s="444" t="s">
        <v>434</v>
      </c>
      <c r="G58" s="444">
        <v>252</v>
      </c>
      <c r="H58" s="458">
        <f>'1461'!H58</f>
        <v>3380</v>
      </c>
      <c r="I58" s="101">
        <f t="shared" ref="I58:I65" si="11">ROUND(E58*H58,2)</f>
        <v>11120.2</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26.5</v>
      </c>
      <c r="D60" s="143">
        <v>27.02</v>
      </c>
      <c r="E60" s="116">
        <f t="shared" si="10"/>
        <v>53.519999999999996</v>
      </c>
      <c r="F60" s="445" t="s">
        <v>13</v>
      </c>
      <c r="G60" s="444">
        <v>251</v>
      </c>
      <c r="H60" s="458">
        <f>'1461'!H60</f>
        <v>1173</v>
      </c>
      <c r="I60" s="101">
        <f t="shared" si="11"/>
        <v>62778.96</v>
      </c>
      <c r="N60" s="591"/>
      <c r="O60" s="591"/>
      <c r="P60" s="594"/>
      <c r="Q60" s="594"/>
      <c r="R60" s="40" t="s">
        <v>13</v>
      </c>
      <c r="S60" s="450">
        <v>251</v>
      </c>
      <c r="T60" s="461">
        <f t="shared" si="12"/>
        <v>1173</v>
      </c>
      <c r="U60" s="475">
        <f t="shared" si="13"/>
        <v>0</v>
      </c>
      <c r="V60" s="425"/>
    </row>
    <row r="61" spans="1:22" x14ac:dyDescent="0.25">
      <c r="A61" s="561"/>
      <c r="B61" s="561"/>
      <c r="C61" s="143">
        <v>1.5</v>
      </c>
      <c r="D61" s="143">
        <v>1.53</v>
      </c>
      <c r="E61" s="116">
        <f t="shared" si="10"/>
        <v>3.0300000000000002</v>
      </c>
      <c r="F61" s="445" t="s">
        <v>13</v>
      </c>
      <c r="G61" s="444">
        <v>252</v>
      </c>
      <c r="H61" s="458">
        <f>'1461'!H61</f>
        <v>3506</v>
      </c>
      <c r="I61" s="101">
        <f t="shared" si="11"/>
        <v>10623.18</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0</v>
      </c>
      <c r="D63" s="143">
        <v>0</v>
      </c>
      <c r="E63" s="116">
        <f t="shared" si="10"/>
        <v>0</v>
      </c>
      <c r="F63" s="445" t="s">
        <v>14</v>
      </c>
      <c r="G63" s="444">
        <v>251</v>
      </c>
      <c r="H63" s="458">
        <f>'1461'!H63</f>
        <v>835</v>
      </c>
      <c r="I63" s="101">
        <f t="shared" si="11"/>
        <v>0</v>
      </c>
      <c r="N63" s="591"/>
      <c r="O63" s="591"/>
      <c r="P63" s="594"/>
      <c r="Q63" s="594"/>
      <c r="R63" s="40" t="s">
        <v>14</v>
      </c>
      <c r="S63" s="450">
        <v>251</v>
      </c>
      <c r="T63" s="461">
        <f t="shared" si="12"/>
        <v>835</v>
      </c>
      <c r="U63" s="475">
        <f t="shared" si="13"/>
        <v>0</v>
      </c>
      <c r="V63" s="425"/>
    </row>
    <row r="64" spans="1:22" x14ac:dyDescent="0.25">
      <c r="A64" s="561"/>
      <c r="B64" s="561"/>
      <c r="C64" s="143">
        <v>0</v>
      </c>
      <c r="D64" s="143">
        <v>0</v>
      </c>
      <c r="E64" s="116">
        <f t="shared" si="10"/>
        <v>0</v>
      </c>
      <c r="F64" s="445" t="s">
        <v>14</v>
      </c>
      <c r="G64" s="444">
        <v>252</v>
      </c>
      <c r="H64" s="458">
        <f>'1461'!H64</f>
        <v>3168</v>
      </c>
      <c r="I64" s="101">
        <f t="shared" si="11"/>
        <v>0</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39</v>
      </c>
      <c r="D66" s="97">
        <f>SUM(D57:D65)</f>
        <v>41.7</v>
      </c>
      <c r="E66" s="97">
        <f>SUM(E57:E65)</f>
        <v>80.699999999999989</v>
      </c>
      <c r="F66" s="562" t="s">
        <v>443</v>
      </c>
      <c r="G66" s="562"/>
      <c r="H66" s="562"/>
      <c r="I66" s="97">
        <f>SUM(I57:I65)</f>
        <v>106362.75999999998</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847.2</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4.1980000000000003E-3</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912.84429999999998</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4.0200000000000001E-3</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847.2</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4.5440000000000003E-3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847.2</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4.2050000000000004E-3</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847.2</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4.5519999999999996E-3</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4.2050000000000004E-3</v>
      </c>
      <c r="I85" s="101">
        <f>ROUND(F85*H85,2)</f>
        <v>186320.56</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4.1980000000000003E-3</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4.5519999999999996E-3</v>
      </c>
      <c r="I90" s="101">
        <f>ROUND(F90*H90,2)</f>
        <v>74086.899999999994</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4.5440000000000003E-3</v>
      </c>
      <c r="I92" s="101">
        <f t="shared" ref="I92:I96" si="14">ROUND(F92*H92,2)</f>
        <v>46021.81</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4.0200000000000001E-3</v>
      </c>
      <c r="I94" s="101">
        <f t="shared" si="14"/>
        <v>960770.65</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4.0200000000000001E-3</v>
      </c>
      <c r="I96" s="101">
        <f t="shared" si="14"/>
        <v>0</v>
      </c>
      <c r="N96" s="572" t="s">
        <v>418</v>
      </c>
      <c r="O96" s="573"/>
      <c r="P96" s="573"/>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475</v>
      </c>
      <c r="B98" s="512"/>
      <c r="C98" s="512"/>
      <c r="D98" s="512"/>
      <c r="E98" s="510" t="s">
        <v>3</v>
      </c>
      <c r="F98" s="291">
        <v>0</v>
      </c>
      <c r="G98" s="511" t="s">
        <v>6</v>
      </c>
      <c r="H98" s="423">
        <f>H70</f>
        <v>4.1980000000000003E-3</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442.14179999999999</v>
      </c>
      <c r="D104" s="568"/>
      <c r="E104" s="46">
        <f>H8</f>
        <v>1.0442</v>
      </c>
      <c r="F104" s="304">
        <f>'1461'!F104</f>
        <v>947.59</v>
      </c>
      <c r="G104" s="39" t="s">
        <v>12</v>
      </c>
      <c r="H104" s="101">
        <f>ROUND(C104*E104*F104,2)</f>
        <v>437487.58</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470.70249999999999</v>
      </c>
      <c r="D105" s="568"/>
      <c r="E105" s="46">
        <f>H8</f>
        <v>1.0442</v>
      </c>
      <c r="F105" s="304">
        <f>'1461'!F105</f>
        <v>904.74</v>
      </c>
      <c r="G105" s="39" t="s">
        <v>12</v>
      </c>
      <c r="H105" s="101">
        <f>ROUND(C105*E105*F105,2)</f>
        <v>444686.54</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0</v>
      </c>
      <c r="D106" s="568"/>
      <c r="E106" s="46">
        <f>H8</f>
        <v>1.0442</v>
      </c>
      <c r="F106" s="304">
        <f>'1461'!F106</f>
        <v>906.93</v>
      </c>
      <c r="G106" s="39" t="s">
        <v>12</v>
      </c>
      <c r="H106" s="94">
        <f>ROUND(C106*E106*F106,2)</f>
        <v>0</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912.84429999999998</v>
      </c>
      <c r="D107" s="558"/>
      <c r="E107" s="123"/>
      <c r="F107" s="123"/>
      <c r="G107" s="123"/>
      <c r="H107" s="124" t="s">
        <v>100</v>
      </c>
      <c r="I107" s="101">
        <f>IF(A1=75,0,H106+H105+H104)</f>
        <v>882174.12</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4</v>
      </c>
      <c r="D113" s="143">
        <v>0</v>
      </c>
      <c r="E113" s="116">
        <f>C113</f>
        <v>4</v>
      </c>
      <c r="F113" s="126" t="s">
        <v>30</v>
      </c>
      <c r="G113" s="305">
        <f>'1461'!G113</f>
        <v>548</v>
      </c>
      <c r="I113" s="101">
        <f>ROUND(G113*E113,2)</f>
        <v>2192</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16">
        <f>C114</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7157078.4099999992</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6866558.8399999989</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6866558.8399999989</v>
      </c>
      <c r="I135" s="94">
        <f>ROUND(IF(E30=0,0,IF(E30&gt;250,-(((250/E30)*H135)*IF(G135="H",0.02,0.05)),IF(G135="H",-0.02*H135,-0.05*H135))),2)</f>
        <v>-101312.54</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7055765.8699999992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-1176043.86-572840.07-572840.07-572840.07-572840.07-585609.85-586577.82-588898.3</f>
        <v>-5228490.1099999994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1827275.7599999998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609091.92000000004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242015.4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1">
    <tabColor rgb="FFFFCCCC"/>
  </sheetPr>
  <dimension ref="A1:V221"/>
  <sheetViews>
    <sheetView topLeftCell="A126" workbookViewId="0">
      <selection activeCell="D57" sqref="D57:D6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324</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457"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J11" s="256"/>
      <c r="K11" s="255"/>
      <c r="L11" s="255"/>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J12" s="254"/>
      <c r="K12" s="255"/>
      <c r="L12" s="255"/>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K13" s="255"/>
      <c r="L13" s="255"/>
      <c r="N13" s="626" t="s">
        <v>36</v>
      </c>
      <c r="O13" s="626"/>
      <c r="P13" s="627" t="s">
        <v>37</v>
      </c>
      <c r="Q13" s="627"/>
      <c r="R13" s="628" t="s">
        <v>38</v>
      </c>
      <c r="S13" s="628"/>
      <c r="T13" s="22" t="s">
        <v>39</v>
      </c>
      <c r="U13" s="23" t="s">
        <v>40</v>
      </c>
    </row>
    <row r="14" spans="1:21" x14ac:dyDescent="0.25">
      <c r="A14" s="548" t="s">
        <v>20</v>
      </c>
      <c r="B14" s="548"/>
      <c r="C14" s="143">
        <v>189.79</v>
      </c>
      <c r="D14" s="141">
        <v>190.75</v>
      </c>
      <c r="E14" s="187">
        <f>IF(D$30=0,C14*2,C14+D14)</f>
        <v>380.53999999999996</v>
      </c>
      <c r="F14" s="639">
        <f>'1461'!F14:G14</f>
        <v>1.1220000000000001</v>
      </c>
      <c r="G14" s="639"/>
      <c r="H14" s="145">
        <f>ROUND(E14*F14,4)</f>
        <v>426.96589999999998</v>
      </c>
      <c r="I14" s="111">
        <f>ROUND(ROUND(ROUND(H14*$C$8,4)*($H$8),2)*(MAX($H$9,1)),2)</f>
        <v>2291485.88</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12</v>
      </c>
      <c r="D15" s="143">
        <v>12.94</v>
      </c>
      <c r="E15" s="116">
        <f t="shared" ref="E15:E29" si="1">IF(D$30=0,C15*2,C15+D15)</f>
        <v>24.939999999999998</v>
      </c>
      <c r="F15" s="635">
        <f>'1461'!F15:G15</f>
        <v>1.1220000000000001</v>
      </c>
      <c r="G15" s="635"/>
      <c r="H15" s="80">
        <f t="shared" ref="H15:H29" si="2">ROUND(E15*F15,4)</f>
        <v>27.982700000000001</v>
      </c>
      <c r="I15" s="101">
        <f t="shared" ref="I15:I29" si="3">ROUND(ROUND(ROUND(H15*$C$8,4)*($H$8),2)*(MAX($H$9,1)),2)</f>
        <v>150180.51999999999</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225.8</v>
      </c>
      <c r="D16" s="143">
        <v>223.61</v>
      </c>
      <c r="E16" s="116">
        <f t="shared" si="1"/>
        <v>449.41</v>
      </c>
      <c r="F16" s="635">
        <f>'1461'!F16:G16</f>
        <v>1</v>
      </c>
      <c r="G16" s="635"/>
      <c r="H16" s="80">
        <f t="shared" si="2"/>
        <v>449.41</v>
      </c>
      <c r="I16" s="101">
        <f t="shared" si="3"/>
        <v>2411941.2599999998</v>
      </c>
      <c r="N16" s="573" t="s">
        <v>22</v>
      </c>
      <c r="O16" s="573"/>
      <c r="P16" s="614">
        <f t="shared" si="0"/>
        <v>0</v>
      </c>
      <c r="Q16" s="614"/>
      <c r="R16" s="619">
        <v>1</v>
      </c>
      <c r="S16" s="619"/>
      <c r="T16" s="95">
        <f t="shared" si="4"/>
        <v>0</v>
      </c>
      <c r="U16" s="474">
        <f t="shared" si="5"/>
        <v>0</v>
      </c>
    </row>
    <row r="17" spans="1:21" x14ac:dyDescent="0.25">
      <c r="A17" s="550" t="s">
        <v>23</v>
      </c>
      <c r="B17" s="550"/>
      <c r="C17" s="143">
        <v>29.5</v>
      </c>
      <c r="D17" s="143">
        <v>28.02</v>
      </c>
      <c r="E17" s="116">
        <f t="shared" si="1"/>
        <v>57.519999999999996</v>
      </c>
      <c r="F17" s="635">
        <f>'1461'!F17:G17</f>
        <v>1</v>
      </c>
      <c r="G17" s="635"/>
      <c r="H17" s="80">
        <f t="shared" si="2"/>
        <v>57.52</v>
      </c>
      <c r="I17" s="101">
        <f t="shared" si="3"/>
        <v>308704.44</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0</v>
      </c>
      <c r="D18" s="143">
        <v>0</v>
      </c>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0</v>
      </c>
      <c r="D19" s="143">
        <v>0</v>
      </c>
      <c r="E19" s="116">
        <f t="shared" si="1"/>
        <v>0</v>
      </c>
      <c r="F19" s="635">
        <f>'1461'!F19:G19</f>
        <v>0.98799999999999999</v>
      </c>
      <c r="G19" s="635"/>
      <c r="H19" s="80">
        <f t="shared" si="2"/>
        <v>0</v>
      </c>
      <c r="I19" s="101">
        <f t="shared" si="3"/>
        <v>0</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12.71</v>
      </c>
      <c r="D26" s="143">
        <v>13.59</v>
      </c>
      <c r="E26" s="116">
        <f t="shared" si="1"/>
        <v>26.3</v>
      </c>
      <c r="F26" s="635">
        <f>'1461'!F26:G26</f>
        <v>1.208</v>
      </c>
      <c r="G26" s="635"/>
      <c r="H26" s="80">
        <f t="shared" si="2"/>
        <v>31.770399999999999</v>
      </c>
      <c r="I26" s="101">
        <f t="shared" si="3"/>
        <v>170508.75</v>
      </c>
      <c r="N26" s="573" t="s">
        <v>85</v>
      </c>
      <c r="O26" s="573"/>
      <c r="P26" s="614">
        <f t="shared" si="0"/>
        <v>0</v>
      </c>
      <c r="Q26" s="614"/>
      <c r="R26" s="619">
        <v>1</v>
      </c>
      <c r="S26" s="619"/>
      <c r="T26" s="95">
        <f t="shared" si="4"/>
        <v>0</v>
      </c>
      <c r="U26" s="474">
        <f t="shared" si="5"/>
        <v>0</v>
      </c>
    </row>
    <row r="27" spans="1:21" x14ac:dyDescent="0.25">
      <c r="A27" s="550" t="s">
        <v>86</v>
      </c>
      <c r="B27" s="550"/>
      <c r="C27" s="143">
        <v>9.01</v>
      </c>
      <c r="D27" s="143">
        <v>7.65</v>
      </c>
      <c r="E27" s="116">
        <f t="shared" si="1"/>
        <v>16.66</v>
      </c>
      <c r="F27" s="635">
        <f>'1461'!F27:G27</f>
        <v>1.208</v>
      </c>
      <c r="G27" s="635"/>
      <c r="H27" s="80">
        <f t="shared" si="2"/>
        <v>20.125299999999999</v>
      </c>
      <c r="I27" s="101">
        <f t="shared" si="3"/>
        <v>108010.59</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478.81</v>
      </c>
      <c r="D30" s="94">
        <f>SUM(D14:D29)</f>
        <v>476.55999999999995</v>
      </c>
      <c r="E30" s="94">
        <f>SUM(E14:E29)</f>
        <v>955.36999999999989</v>
      </c>
      <c r="F30" s="554"/>
      <c r="G30" s="554"/>
      <c r="H30" s="99">
        <f>SUM(H14:H29)</f>
        <v>1013.7743</v>
      </c>
      <c r="I30" s="94">
        <f>SUM(I14:I29)</f>
        <v>5440831.4400000004</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1013.7743</v>
      </c>
      <c r="F46" s="34"/>
      <c r="G46" s="106"/>
      <c r="H46" s="107" t="s">
        <v>98</v>
      </c>
      <c r="I46" s="94">
        <f>SUM(I44,I30)</f>
        <v>5440831.4400000004</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5440831.4400000004</v>
      </c>
      <c r="G51" s="109" t="s">
        <v>6</v>
      </c>
      <c r="H51" s="402">
        <v>4.5199999999999997E-2</v>
      </c>
      <c r="I51" s="101">
        <f>ROUND(F51*H51,2)</f>
        <v>245925.58</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5440831.4400000004</v>
      </c>
      <c r="G52" s="109" t="s">
        <v>6</v>
      </c>
      <c r="H52" s="402">
        <v>1.41E-2</v>
      </c>
      <c r="I52" s="101">
        <f>ROUND(F52*H52,2)</f>
        <v>76715.72</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322641.3</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7.5</v>
      </c>
      <c r="D57" s="143">
        <v>8.09</v>
      </c>
      <c r="E57" s="116">
        <f t="shared" ref="E57:E65" si="10">IF(D$66=0,C57*2,C57+D57)</f>
        <v>15.59</v>
      </c>
      <c r="F57" s="444" t="s">
        <v>434</v>
      </c>
      <c r="G57" s="444">
        <v>251</v>
      </c>
      <c r="H57" s="458">
        <f>'1461'!H57</f>
        <v>1047</v>
      </c>
      <c r="I57" s="101">
        <f>ROUND(E57*H57,2)</f>
        <v>16322.73</v>
      </c>
      <c r="N57" s="590" t="s">
        <v>442</v>
      </c>
      <c r="O57" s="590"/>
      <c r="P57" s="593"/>
      <c r="Q57" s="593"/>
      <c r="R57" s="450" t="s">
        <v>434</v>
      </c>
      <c r="S57" s="450">
        <v>251</v>
      </c>
      <c r="T57" s="461">
        <f>H57</f>
        <v>1047</v>
      </c>
      <c r="U57" s="475">
        <f>ROUND(P57*T57,2)</f>
        <v>0</v>
      </c>
      <c r="V57" s="425"/>
    </row>
    <row r="58" spans="1:22" x14ac:dyDescent="0.25">
      <c r="A58" s="561"/>
      <c r="B58" s="561"/>
      <c r="C58" s="143">
        <v>4.5</v>
      </c>
      <c r="D58" s="143">
        <v>4.8499999999999996</v>
      </c>
      <c r="E58" s="116">
        <f t="shared" si="10"/>
        <v>9.35</v>
      </c>
      <c r="F58" s="444" t="s">
        <v>434</v>
      </c>
      <c r="G58" s="444">
        <v>252</v>
      </c>
      <c r="H58" s="458">
        <f>'1461'!H58</f>
        <v>3380</v>
      </c>
      <c r="I58" s="101">
        <f t="shared" ref="I58:I65" si="11">ROUND(E58*H58,2)</f>
        <v>31603</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22</v>
      </c>
      <c r="D60" s="143">
        <v>20.9</v>
      </c>
      <c r="E60" s="116">
        <f t="shared" si="10"/>
        <v>42.9</v>
      </c>
      <c r="F60" s="445" t="s">
        <v>13</v>
      </c>
      <c r="G60" s="444">
        <v>251</v>
      </c>
      <c r="H60" s="458">
        <f>'1461'!H60</f>
        <v>1173</v>
      </c>
      <c r="I60" s="101">
        <f t="shared" si="11"/>
        <v>50321.7</v>
      </c>
      <c r="N60" s="591"/>
      <c r="O60" s="591"/>
      <c r="P60" s="594"/>
      <c r="Q60" s="594"/>
      <c r="R60" s="40" t="s">
        <v>13</v>
      </c>
      <c r="S60" s="450">
        <v>251</v>
      </c>
      <c r="T60" s="461">
        <f t="shared" si="12"/>
        <v>1173</v>
      </c>
      <c r="U60" s="475">
        <f t="shared" si="13"/>
        <v>0</v>
      </c>
      <c r="V60" s="425"/>
    </row>
    <row r="61" spans="1:22" x14ac:dyDescent="0.25">
      <c r="A61" s="561"/>
      <c r="B61" s="561"/>
      <c r="C61" s="143">
        <v>7.5</v>
      </c>
      <c r="D61" s="143">
        <v>7.12</v>
      </c>
      <c r="E61" s="116">
        <f t="shared" si="10"/>
        <v>14.620000000000001</v>
      </c>
      <c r="F61" s="445" t="s">
        <v>13</v>
      </c>
      <c r="G61" s="444">
        <v>252</v>
      </c>
      <c r="H61" s="458">
        <f>'1461'!H61</f>
        <v>3506</v>
      </c>
      <c r="I61" s="101">
        <f t="shared" si="11"/>
        <v>51257.72</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0</v>
      </c>
      <c r="D63" s="143">
        <v>0</v>
      </c>
      <c r="E63" s="116">
        <f t="shared" si="10"/>
        <v>0</v>
      </c>
      <c r="F63" s="445" t="s">
        <v>14</v>
      </c>
      <c r="G63" s="444">
        <v>251</v>
      </c>
      <c r="H63" s="458">
        <f>'1461'!H63</f>
        <v>835</v>
      </c>
      <c r="I63" s="101">
        <f t="shared" si="11"/>
        <v>0</v>
      </c>
      <c r="N63" s="591"/>
      <c r="O63" s="591"/>
      <c r="P63" s="594"/>
      <c r="Q63" s="594"/>
      <c r="R63" s="40" t="s">
        <v>14</v>
      </c>
      <c r="S63" s="450">
        <v>251</v>
      </c>
      <c r="T63" s="461">
        <f t="shared" si="12"/>
        <v>835</v>
      </c>
      <c r="U63" s="475">
        <f t="shared" si="13"/>
        <v>0</v>
      </c>
      <c r="V63" s="425"/>
    </row>
    <row r="64" spans="1:22" x14ac:dyDescent="0.25">
      <c r="A64" s="561"/>
      <c r="B64" s="561"/>
      <c r="C64" s="143">
        <v>0</v>
      </c>
      <c r="D64" s="143">
        <v>0</v>
      </c>
      <c r="E64" s="116">
        <f t="shared" si="10"/>
        <v>0</v>
      </c>
      <c r="F64" s="445" t="s">
        <v>14</v>
      </c>
      <c r="G64" s="444">
        <v>252</v>
      </c>
      <c r="H64" s="458">
        <f>'1461'!H64</f>
        <v>3168</v>
      </c>
      <c r="I64" s="101">
        <f t="shared" si="11"/>
        <v>0</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41.5</v>
      </c>
      <c r="D66" s="97">
        <f>SUM(D57:D65)</f>
        <v>40.959999999999994</v>
      </c>
      <c r="E66" s="97">
        <f>SUM(E57:E65)</f>
        <v>82.460000000000008</v>
      </c>
      <c r="F66" s="562" t="s">
        <v>443</v>
      </c>
      <c r="G66" s="562"/>
      <c r="H66" s="562"/>
      <c r="I66" s="97">
        <f>SUM(I57:I65)</f>
        <v>149505.15</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955.36999999999989</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4.7340000000000004E-3</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1013.7743</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4.4640000000000001E-3</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955.36999999999989</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5.1240000000000001E-3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955.36999999999989</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4.7419999999999997E-3</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955.36999999999989</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5.1339999999999997E-3</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4.7419999999999997E-3</v>
      </c>
      <c r="I85" s="101">
        <f>ROUND(F85*H85,2)</f>
        <v>210114.64</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4.7340000000000004E-3</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5.1339999999999997E-3</v>
      </c>
      <c r="I90" s="101">
        <f>ROUND(F90*H90,2)</f>
        <v>83559.34</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5.1240000000000001E-3</v>
      </c>
      <c r="I92" s="101">
        <f t="shared" ref="I92:I96" si="14">ROUND(F92*H92,2)</f>
        <v>51896.07</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4.4640000000000001E-3</v>
      </c>
      <c r="I94" s="101">
        <f t="shared" si="14"/>
        <v>1066885.6200000001</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4.4640000000000001E-3</v>
      </c>
      <c r="I96" s="101">
        <f t="shared" si="14"/>
        <v>0</v>
      </c>
      <c r="N96" s="572" t="s">
        <v>418</v>
      </c>
      <c r="O96" s="573"/>
      <c r="P96" s="573"/>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475</v>
      </c>
      <c r="B98" s="512"/>
      <c r="C98" s="512"/>
      <c r="D98" s="512"/>
      <c r="E98" s="510" t="s">
        <v>3</v>
      </c>
      <c r="F98" s="291">
        <v>0</v>
      </c>
      <c r="G98" s="511" t="s">
        <v>6</v>
      </c>
      <c r="H98" s="423">
        <f>H70</f>
        <v>4.7340000000000004E-3</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486.71899999999999</v>
      </c>
      <c r="D104" s="568"/>
      <c r="E104" s="46">
        <f>H8</f>
        <v>1.0442</v>
      </c>
      <c r="F104" s="304">
        <f>'1461'!F104</f>
        <v>947.59</v>
      </c>
      <c r="G104" s="39" t="s">
        <v>12</v>
      </c>
      <c r="H104" s="101">
        <f>ROUND(C104*E104*F104,2)</f>
        <v>481595.54</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527.05529999999999</v>
      </c>
      <c r="D105" s="568"/>
      <c r="E105" s="46">
        <f>H8</f>
        <v>1.0442</v>
      </c>
      <c r="F105" s="304">
        <f>'1461'!F105</f>
        <v>904.74</v>
      </c>
      <c r="G105" s="39" t="s">
        <v>12</v>
      </c>
      <c r="H105" s="101">
        <f>ROUND(C105*E105*F105,2)</f>
        <v>497924.69</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0</v>
      </c>
      <c r="D106" s="568"/>
      <c r="E106" s="46">
        <f>H8</f>
        <v>1.0442</v>
      </c>
      <c r="F106" s="304">
        <f>'1461'!F106</f>
        <v>906.93</v>
      </c>
      <c r="G106" s="39" t="s">
        <v>12</v>
      </c>
      <c r="H106" s="94">
        <f>ROUND(C106*E106*F106,2)</f>
        <v>0</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1013.7743</v>
      </c>
      <c r="D107" s="558"/>
      <c r="E107" s="123"/>
      <c r="F107" s="123"/>
      <c r="G107" s="123"/>
      <c r="H107" s="124" t="s">
        <v>100</v>
      </c>
      <c r="I107" s="101">
        <f>IF(A1=75,0,H106+H105+H104)</f>
        <v>979520.23</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160</v>
      </c>
      <c r="D113" s="143">
        <v>0</v>
      </c>
      <c r="E113" s="116">
        <f>C113</f>
        <v>160</v>
      </c>
      <c r="F113" s="126" t="s">
        <v>30</v>
      </c>
      <c r="G113" s="305">
        <f>'1461'!G113</f>
        <v>548</v>
      </c>
      <c r="I113" s="101">
        <f>ROUND(G113*E113,2)</f>
        <v>87680</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16">
        <f>(C114+D114)/2</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8069992.4900000002</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7747351.1900000004</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7747351.1900000004</v>
      </c>
      <c r="I135" s="94">
        <f>ROUND(IF(E30=0,0,IF(E30&gt;250,-(((250/E30)*H135)*IF(G135="H",0.02,0.05)),IF(G135="H",-0.02*H135,-0.05*H135))),2)</f>
        <v>-40546.339999999997</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8029446.1500000004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2">
        <f>-1461472.08-715136.15-715136.15-715136.15-715136.14-617792.9-619789.94-621774.3</f>
        <v>-6181373.8099999996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1848072.3400000008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616024.11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114400.68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R103:U103"/>
    <mergeCell ref="C104:D104"/>
    <mergeCell ref="P104:Q104"/>
    <mergeCell ref="A87:C87"/>
    <mergeCell ref="N87:P87"/>
    <mergeCell ref="A94:C94"/>
    <mergeCell ref="A88:C88"/>
    <mergeCell ref="N94:P94"/>
    <mergeCell ref="A78:B78"/>
    <mergeCell ref="D78:G78"/>
    <mergeCell ref="N78:O78"/>
    <mergeCell ref="Q78:S78"/>
    <mergeCell ref="N79:S79"/>
    <mergeCell ref="A81:B81"/>
    <mergeCell ref="D81:G81"/>
    <mergeCell ref="N81:O81"/>
    <mergeCell ref="Q81:S81"/>
    <mergeCell ref="A75:B75"/>
    <mergeCell ref="D75:G75"/>
    <mergeCell ref="N75:O75"/>
    <mergeCell ref="Q75:S75"/>
    <mergeCell ref="T75:U75"/>
    <mergeCell ref="N76:S76"/>
    <mergeCell ref="T76:U76"/>
    <mergeCell ref="N70:S70"/>
    <mergeCell ref="T70:U70"/>
    <mergeCell ref="A72:B72"/>
    <mergeCell ref="D72:G72"/>
    <mergeCell ref="N72:O72"/>
    <mergeCell ref="Q72:S72"/>
    <mergeCell ref="T72:U72"/>
    <mergeCell ref="N73:S73"/>
    <mergeCell ref="T73:U73"/>
    <mergeCell ref="A43:B43"/>
    <mergeCell ref="N43:O43"/>
    <mergeCell ref="P43:T43"/>
    <mergeCell ref="N44:Q44"/>
    <mergeCell ref="S44:T44"/>
    <mergeCell ref="N46:Q46"/>
    <mergeCell ref="S46:T46"/>
    <mergeCell ref="A69:B69"/>
    <mergeCell ref="D69:G69"/>
    <mergeCell ref="N69:O69"/>
    <mergeCell ref="Q69:S69"/>
    <mergeCell ref="T69:U69"/>
    <mergeCell ref="P61:Q61"/>
    <mergeCell ref="P62:Q62"/>
    <mergeCell ref="P63:Q63"/>
    <mergeCell ref="P64:Q64"/>
    <mergeCell ref="P65:Q65"/>
    <mergeCell ref="P66:Q66"/>
    <mergeCell ref="R66:T66"/>
    <mergeCell ref="A57:B65"/>
    <mergeCell ref="A40:B40"/>
    <mergeCell ref="N40:O40"/>
    <mergeCell ref="P40:T40"/>
    <mergeCell ref="A41:B41"/>
    <mergeCell ref="N41:O41"/>
    <mergeCell ref="P41:T41"/>
    <mergeCell ref="A42:B42"/>
    <mergeCell ref="N42:O42"/>
    <mergeCell ref="P42:T42"/>
    <mergeCell ref="A37:B37"/>
    <mergeCell ref="N37:O37"/>
    <mergeCell ref="P37:T37"/>
    <mergeCell ref="A38:B38"/>
    <mergeCell ref="N38:O38"/>
    <mergeCell ref="P38:T38"/>
    <mergeCell ref="F34:H37"/>
    <mergeCell ref="A39:B39"/>
    <mergeCell ref="N39:O39"/>
    <mergeCell ref="P39:T39"/>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6:B16"/>
    <mergeCell ref="F16:G16"/>
    <mergeCell ref="A18:B18"/>
    <mergeCell ref="F18:G18"/>
    <mergeCell ref="N18:O18"/>
    <mergeCell ref="P18:Q18"/>
    <mergeCell ref="R18:S18"/>
    <mergeCell ref="A15:B15"/>
    <mergeCell ref="F15:G15"/>
    <mergeCell ref="N15:O15"/>
    <mergeCell ref="P15:Q15"/>
    <mergeCell ref="R15:S15"/>
    <mergeCell ref="A14:B14"/>
    <mergeCell ref="F14:G14"/>
    <mergeCell ref="N16:O16"/>
    <mergeCell ref="P16:Q16"/>
    <mergeCell ref="R16:S16"/>
    <mergeCell ref="A13:B13"/>
    <mergeCell ref="F13:G13"/>
    <mergeCell ref="N13:O13"/>
    <mergeCell ref="P13:Q13"/>
    <mergeCell ref="R13:S13"/>
    <mergeCell ref="A12:B12"/>
    <mergeCell ref="F12:G12"/>
    <mergeCell ref="N14:O14"/>
    <mergeCell ref="P14:Q14"/>
    <mergeCell ref="R14:S14"/>
    <mergeCell ref="A4:B4"/>
    <mergeCell ref="C4:E4"/>
    <mergeCell ref="N4:O4"/>
    <mergeCell ref="P4:Q4"/>
    <mergeCell ref="B1:I1"/>
    <mergeCell ref="N7:U7"/>
    <mergeCell ref="N8:O8"/>
    <mergeCell ref="P8:Q8"/>
    <mergeCell ref="R8:S8"/>
    <mergeCell ref="T8:U8"/>
    <mergeCell ref="A7:I7"/>
    <mergeCell ref="T81:U81"/>
    <mergeCell ref="N82:S82"/>
    <mergeCell ref="T82:U82"/>
    <mergeCell ref="N88:P88"/>
    <mergeCell ref="O1:U1"/>
    <mergeCell ref="N2:U2"/>
    <mergeCell ref="N3:U3"/>
    <mergeCell ref="F11:G11"/>
    <mergeCell ref="R11:S11"/>
    <mergeCell ref="N12:O12"/>
    <mergeCell ref="P12:Q12"/>
    <mergeCell ref="R12:S12"/>
    <mergeCell ref="T9:U9"/>
    <mergeCell ref="N35:T35"/>
    <mergeCell ref="T78:U78"/>
    <mergeCell ref="T79:U79"/>
    <mergeCell ref="F66:H66"/>
    <mergeCell ref="N57:O65"/>
    <mergeCell ref="P56:Q56"/>
    <mergeCell ref="P57:Q57"/>
    <mergeCell ref="P58:Q58"/>
    <mergeCell ref="P59:Q59"/>
    <mergeCell ref="P60:Q60"/>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4">
    <tabColor rgb="FFFFCCCC"/>
  </sheetPr>
  <dimension ref="A1:V221"/>
  <sheetViews>
    <sheetView topLeftCell="A111" workbookViewId="0">
      <selection activeCell="F59" sqref="F5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244</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42.76</v>
      </c>
      <c r="D14" s="141">
        <v>40.729999999999997</v>
      </c>
      <c r="E14" s="187">
        <f>IF(D$30=0,C14*2,C14+D14)</f>
        <v>83.49</v>
      </c>
      <c r="F14" s="639">
        <f>'1461'!F14:G14</f>
        <v>1.1220000000000001</v>
      </c>
      <c r="G14" s="639"/>
      <c r="H14" s="145">
        <f>ROUND(E14*F14,4)</f>
        <v>93.675799999999995</v>
      </c>
      <c r="I14" s="111">
        <f>ROUND(ROUND(ROUND(H14*$C$8,4)*($H$8),2)*(MAX($H$9,1)),2)</f>
        <v>502749.22</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3.5</v>
      </c>
      <c r="D15" s="143">
        <v>3.5</v>
      </c>
      <c r="E15" s="116">
        <f t="shared" ref="E15:E29" si="1">IF(D$30=0,C15*2,C15+D15)</f>
        <v>7</v>
      </c>
      <c r="F15" s="635">
        <f>'1461'!F15:G15</f>
        <v>1.1220000000000001</v>
      </c>
      <c r="G15" s="635"/>
      <c r="H15" s="80">
        <f t="shared" ref="H15:H29" si="2">ROUND(E15*F15,4)</f>
        <v>7.8540000000000001</v>
      </c>
      <c r="I15" s="101">
        <f t="shared" ref="I15:I29" si="3">ROUND(ROUND(ROUND(H15*$C$8,4)*($H$8),2)*(MAX($H$9,1)),2)</f>
        <v>42151.68</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68.22</v>
      </c>
      <c r="D16" s="143">
        <v>74.16</v>
      </c>
      <c r="E16" s="116">
        <f t="shared" si="1"/>
        <v>142.38</v>
      </c>
      <c r="F16" s="635">
        <f>'1461'!F16:G16</f>
        <v>1</v>
      </c>
      <c r="G16" s="635"/>
      <c r="H16" s="80">
        <f t="shared" si="2"/>
        <v>142.38</v>
      </c>
      <c r="I16" s="101">
        <f t="shared" si="3"/>
        <v>764140.09</v>
      </c>
      <c r="N16" s="573" t="s">
        <v>22</v>
      </c>
      <c r="O16" s="573"/>
      <c r="P16" s="614">
        <f t="shared" si="0"/>
        <v>0</v>
      </c>
      <c r="Q16" s="614"/>
      <c r="R16" s="619">
        <v>1</v>
      </c>
      <c r="S16" s="619"/>
      <c r="T16" s="95">
        <f t="shared" si="4"/>
        <v>0</v>
      </c>
      <c r="U16" s="474">
        <f t="shared" si="5"/>
        <v>0</v>
      </c>
    </row>
    <row r="17" spans="1:21" x14ac:dyDescent="0.25">
      <c r="A17" s="550" t="s">
        <v>23</v>
      </c>
      <c r="B17" s="550"/>
      <c r="C17" s="143">
        <v>13</v>
      </c>
      <c r="D17" s="143">
        <v>11.5</v>
      </c>
      <c r="E17" s="116">
        <f t="shared" si="1"/>
        <v>24.5</v>
      </c>
      <c r="F17" s="635">
        <f>'1461'!F17:G17</f>
        <v>1</v>
      </c>
      <c r="G17" s="635"/>
      <c r="H17" s="80">
        <f t="shared" si="2"/>
        <v>24.5</v>
      </c>
      <c r="I17" s="101">
        <f t="shared" si="3"/>
        <v>131489.20000000001</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0</v>
      </c>
      <c r="D18" s="143">
        <v>0</v>
      </c>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0</v>
      </c>
      <c r="D19" s="143">
        <v>0</v>
      </c>
      <c r="E19" s="116">
        <f t="shared" si="1"/>
        <v>0</v>
      </c>
      <c r="F19" s="635">
        <f>'1461'!F19:G19</f>
        <v>0.98799999999999999</v>
      </c>
      <c r="G19" s="635"/>
      <c r="H19" s="80">
        <f t="shared" si="2"/>
        <v>0</v>
      </c>
      <c r="I19" s="101">
        <f t="shared" si="3"/>
        <v>0</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7.24</v>
      </c>
      <c r="D26" s="143">
        <v>6.81</v>
      </c>
      <c r="E26" s="116">
        <f t="shared" si="1"/>
        <v>14.05</v>
      </c>
      <c r="F26" s="635">
        <f>'1461'!F26:G26</f>
        <v>1.208</v>
      </c>
      <c r="G26" s="635"/>
      <c r="H26" s="80">
        <f t="shared" si="2"/>
        <v>16.9724</v>
      </c>
      <c r="I26" s="101">
        <f t="shared" si="3"/>
        <v>91089.279999999999</v>
      </c>
      <c r="N26" s="573" t="s">
        <v>85</v>
      </c>
      <c r="O26" s="573"/>
      <c r="P26" s="614">
        <f t="shared" si="0"/>
        <v>0</v>
      </c>
      <c r="Q26" s="614"/>
      <c r="R26" s="619">
        <v>1</v>
      </c>
      <c r="S26" s="619"/>
      <c r="T26" s="95">
        <f t="shared" si="4"/>
        <v>0</v>
      </c>
      <c r="U26" s="474">
        <f t="shared" si="5"/>
        <v>0</v>
      </c>
    </row>
    <row r="27" spans="1:21" x14ac:dyDescent="0.25">
      <c r="A27" s="550" t="s">
        <v>86</v>
      </c>
      <c r="B27" s="550"/>
      <c r="C27" s="143">
        <v>3.29</v>
      </c>
      <c r="D27" s="143">
        <v>3.29</v>
      </c>
      <c r="E27" s="116">
        <f t="shared" si="1"/>
        <v>6.58</v>
      </c>
      <c r="F27" s="635">
        <f>'1461'!F27:G27</f>
        <v>1.208</v>
      </c>
      <c r="G27" s="635"/>
      <c r="H27" s="80">
        <f t="shared" si="2"/>
        <v>7.9485999999999999</v>
      </c>
      <c r="I27" s="101">
        <f t="shared" si="3"/>
        <v>42659.39</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138.01</v>
      </c>
      <c r="D30" s="94">
        <f>SUM(D14:D29)</f>
        <v>139.98999999999998</v>
      </c>
      <c r="E30" s="94">
        <f>SUM(E14:E29)</f>
        <v>278</v>
      </c>
      <c r="F30" s="554"/>
      <c r="G30" s="554"/>
      <c r="H30" s="99">
        <f>SUM(H14:H29)</f>
        <v>293.33080000000001</v>
      </c>
      <c r="I30" s="94">
        <f>SUM(I14:I29)</f>
        <v>1574278.8599999999</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42">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44">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44">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44">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44">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36">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293.33080000000001</v>
      </c>
      <c r="F46" s="34"/>
      <c r="G46" s="106"/>
      <c r="H46" s="107" t="s">
        <v>98</v>
      </c>
      <c r="I46" s="94">
        <f>SUM(I44,I30)</f>
        <v>1574278.8599999999</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1574278.8599999999</v>
      </c>
      <c r="G51" s="109" t="s">
        <v>6</v>
      </c>
      <c r="H51" s="402">
        <v>4.5199999999999997E-2</v>
      </c>
      <c r="I51" s="101">
        <f>ROUND(F51*H51,2)</f>
        <v>71157.399999999994</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1574278.8599999999</v>
      </c>
      <c r="G52" s="109" t="s">
        <v>6</v>
      </c>
      <c r="H52" s="402">
        <v>1.41E-2</v>
      </c>
      <c r="I52" s="101">
        <f>ROUND(F52*H52,2)</f>
        <v>22197.33</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93354.73</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1.5</v>
      </c>
      <c r="D57" s="143">
        <v>1.5</v>
      </c>
      <c r="E57" s="116">
        <f t="shared" ref="E57:E65" si="10">IF(D$66=0,C57*2,C57+D57)</f>
        <v>3</v>
      </c>
      <c r="F57" s="444" t="s">
        <v>434</v>
      </c>
      <c r="G57" s="444">
        <v>251</v>
      </c>
      <c r="H57" s="458">
        <f>'1461'!H57</f>
        <v>1047</v>
      </c>
      <c r="I57" s="101">
        <f>ROUND(E57*H57,2)</f>
        <v>3141</v>
      </c>
      <c r="N57" s="590" t="s">
        <v>442</v>
      </c>
      <c r="O57" s="590"/>
      <c r="P57" s="593"/>
      <c r="Q57" s="593"/>
      <c r="R57" s="450" t="s">
        <v>434</v>
      </c>
      <c r="S57" s="450">
        <v>251</v>
      </c>
      <c r="T57" s="461">
        <f>H57</f>
        <v>1047</v>
      </c>
      <c r="U57" s="475">
        <f>ROUND(P57*T57,2)</f>
        <v>0</v>
      </c>
      <c r="V57" s="425"/>
    </row>
    <row r="58" spans="1:22" x14ac:dyDescent="0.25">
      <c r="A58" s="561"/>
      <c r="B58" s="561"/>
      <c r="C58" s="143">
        <v>2</v>
      </c>
      <c r="D58" s="143">
        <v>2</v>
      </c>
      <c r="E58" s="116">
        <f t="shared" si="10"/>
        <v>4</v>
      </c>
      <c r="F58" s="444" t="s">
        <v>434</v>
      </c>
      <c r="G58" s="444">
        <v>252</v>
      </c>
      <c r="H58" s="458">
        <f>'1461'!H58</f>
        <v>3380</v>
      </c>
      <c r="I58" s="101">
        <f t="shared" ref="I58:I65" si="11">ROUND(E58*H58,2)</f>
        <v>13520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12.5</v>
      </c>
      <c r="D60" s="143">
        <v>11.06</v>
      </c>
      <c r="E60" s="116">
        <f t="shared" si="10"/>
        <v>23.560000000000002</v>
      </c>
      <c r="F60" s="445" t="s">
        <v>13</v>
      </c>
      <c r="G60" s="444">
        <v>251</v>
      </c>
      <c r="H60" s="458">
        <f>'1461'!H60</f>
        <v>1173</v>
      </c>
      <c r="I60" s="101">
        <f t="shared" si="11"/>
        <v>27635.88</v>
      </c>
      <c r="N60" s="591"/>
      <c r="O60" s="591"/>
      <c r="P60" s="594"/>
      <c r="Q60" s="594"/>
      <c r="R60" s="40" t="s">
        <v>13</v>
      </c>
      <c r="S60" s="450">
        <v>251</v>
      </c>
      <c r="T60" s="461">
        <f t="shared" si="12"/>
        <v>1173</v>
      </c>
      <c r="U60" s="475">
        <f t="shared" si="13"/>
        <v>0</v>
      </c>
      <c r="V60" s="425"/>
    </row>
    <row r="61" spans="1:22" x14ac:dyDescent="0.25">
      <c r="A61" s="561"/>
      <c r="B61" s="561"/>
      <c r="C61" s="143">
        <v>0.5</v>
      </c>
      <c r="D61" s="143">
        <v>0.44</v>
      </c>
      <c r="E61" s="116">
        <f t="shared" si="10"/>
        <v>0.94</v>
      </c>
      <c r="F61" s="445" t="s">
        <v>13</v>
      </c>
      <c r="G61" s="444">
        <v>252</v>
      </c>
      <c r="H61" s="458">
        <f>'1461'!H61</f>
        <v>3506</v>
      </c>
      <c r="I61" s="101">
        <f t="shared" si="11"/>
        <v>3295.64</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0</v>
      </c>
      <c r="D63" s="143">
        <v>0</v>
      </c>
      <c r="E63" s="116">
        <f t="shared" si="10"/>
        <v>0</v>
      </c>
      <c r="F63" s="445" t="s">
        <v>14</v>
      </c>
      <c r="G63" s="444">
        <v>251</v>
      </c>
      <c r="H63" s="458">
        <f>'1461'!H63</f>
        <v>835</v>
      </c>
      <c r="I63" s="101">
        <f t="shared" si="11"/>
        <v>0</v>
      </c>
      <c r="N63" s="591"/>
      <c r="O63" s="591"/>
      <c r="P63" s="594"/>
      <c r="Q63" s="594"/>
      <c r="R63" s="40" t="s">
        <v>14</v>
      </c>
      <c r="S63" s="450">
        <v>251</v>
      </c>
      <c r="T63" s="461">
        <f t="shared" si="12"/>
        <v>835</v>
      </c>
      <c r="U63" s="475">
        <f t="shared" si="13"/>
        <v>0</v>
      </c>
      <c r="V63" s="425"/>
    </row>
    <row r="64" spans="1:22" x14ac:dyDescent="0.25">
      <c r="A64" s="561"/>
      <c r="B64" s="561"/>
      <c r="C64" s="143">
        <v>0</v>
      </c>
      <c r="D64" s="143">
        <v>0</v>
      </c>
      <c r="E64" s="116">
        <f t="shared" si="10"/>
        <v>0</v>
      </c>
      <c r="F64" s="445" t="s">
        <v>14</v>
      </c>
      <c r="G64" s="444">
        <v>252</v>
      </c>
      <c r="H64" s="458">
        <f>'1461'!H64</f>
        <v>3168</v>
      </c>
      <c r="I64" s="101">
        <f t="shared" si="11"/>
        <v>0</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16.5</v>
      </c>
      <c r="D66" s="97">
        <f>SUM(D57:D65)</f>
        <v>15</v>
      </c>
      <c r="E66" s="97">
        <f>SUM(E57:E65)</f>
        <v>31.500000000000004</v>
      </c>
      <c r="F66" s="562" t="s">
        <v>443</v>
      </c>
      <c r="G66" s="562"/>
      <c r="H66" s="562"/>
      <c r="I66" s="97">
        <f>SUM(I57:I65)</f>
        <v>47592.520000000004</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278</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1.3780000000000001E-3</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293.33080000000001</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1.292E-3</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278</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1.4909999999999999E-3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278</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1.3799999999999999E-3</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278</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1.4940000000000001E-3</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1.3799999999999999E-3</v>
      </c>
      <c r="I85" s="101">
        <f>ROUND(F85*H85,2)</f>
        <v>61146.82</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53"/>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1.3780000000000001E-3</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1.4940000000000001E-3</v>
      </c>
      <c r="I90" s="101">
        <f>ROUND(F90*H90,2)</f>
        <v>24315.87</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1.4909999999999999E-3</v>
      </c>
      <c r="I92" s="101">
        <f t="shared" ref="I92:I96" si="14">ROUND(F92*H92,2)</f>
        <v>15100.91</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1.292E-3</v>
      </c>
      <c r="I94" s="101">
        <f t="shared" si="14"/>
        <v>308784.99</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1.292E-3</v>
      </c>
      <c r="I96" s="101">
        <f t="shared" si="14"/>
        <v>0</v>
      </c>
      <c r="N96" s="572" t="s">
        <v>418</v>
      </c>
      <c r="O96" s="573"/>
      <c r="P96" s="573"/>
      <c r="Q96" s="44"/>
      <c r="R96" s="420">
        <f t="shared" si="15"/>
        <v>0</v>
      </c>
      <c r="S96" s="38" t="s">
        <v>6</v>
      </c>
      <c r="T96" s="422">
        <f>T73</f>
        <v>0</v>
      </c>
      <c r="U96" s="474">
        <f>ROUND(R96*T96,2)</f>
        <v>0</v>
      </c>
    </row>
    <row r="97" spans="1:21" x14ac:dyDescent="0.25">
      <c r="A97" s="81"/>
      <c r="B97" s="69"/>
      <c r="C97" s="69"/>
      <c r="D97" s="69"/>
      <c r="E97" s="43"/>
      <c r="F97" s="117">
        <v>-1</v>
      </c>
      <c r="G97" s="37"/>
      <c r="H97" s="423"/>
      <c r="I97" s="101"/>
      <c r="N97" s="384"/>
      <c r="O97" s="45"/>
      <c r="P97" s="45"/>
      <c r="Q97" s="44"/>
      <c r="R97" s="421"/>
      <c r="S97" s="38"/>
      <c r="T97" s="422"/>
      <c r="U97" s="103"/>
    </row>
    <row r="98" spans="1:21" x14ac:dyDescent="0.25">
      <c r="A98" s="513" t="s">
        <v>475</v>
      </c>
      <c r="B98" s="512"/>
      <c r="C98" s="512"/>
      <c r="D98" s="512"/>
      <c r="E98" s="510" t="s">
        <v>3</v>
      </c>
      <c r="F98" s="291">
        <v>0</v>
      </c>
      <c r="G98" s="511" t="s">
        <v>6</v>
      </c>
      <c r="H98" s="423">
        <f>H70</f>
        <v>1.3780000000000001E-3</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118.50219999999999</v>
      </c>
      <c r="D104" s="568"/>
      <c r="E104" s="46">
        <f>H8</f>
        <v>1.0442</v>
      </c>
      <c r="F104" s="304">
        <f>'1461'!F104</f>
        <v>947.59</v>
      </c>
      <c r="G104" s="39" t="s">
        <v>12</v>
      </c>
      <c r="H104" s="101">
        <f>ROUND(C104*E104*F104,2)</f>
        <v>117254.78</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174.82859999999999</v>
      </c>
      <c r="D105" s="568"/>
      <c r="E105" s="46">
        <f>H8</f>
        <v>1.0442</v>
      </c>
      <c r="F105" s="304">
        <f>'1461'!F105</f>
        <v>904.74</v>
      </c>
      <c r="G105" s="39" t="s">
        <v>12</v>
      </c>
      <c r="H105" s="101">
        <f>ROUND(C105*E105*F105,2)</f>
        <v>165165.74</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0</v>
      </c>
      <c r="D106" s="568"/>
      <c r="E106" s="46">
        <f>H8</f>
        <v>1.0442</v>
      </c>
      <c r="F106" s="304">
        <f>'1461'!F106</f>
        <v>906.93</v>
      </c>
      <c r="G106" s="39" t="s">
        <v>12</v>
      </c>
      <c r="H106" s="94">
        <f>ROUND(C106*E106*F106,2)</f>
        <v>0</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293.33079999999995</v>
      </c>
      <c r="D107" s="558"/>
      <c r="E107" s="123"/>
      <c r="F107" s="123"/>
      <c r="G107" s="123"/>
      <c r="H107" s="124" t="s">
        <v>100</v>
      </c>
      <c r="I107" s="101">
        <f>IF(A1=75,0,H106+H105+H104)</f>
        <v>282420.52</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60</v>
      </c>
      <c r="D113" s="143">
        <v>0</v>
      </c>
      <c r="E113" s="144">
        <f>C113</f>
        <v>60</v>
      </c>
      <c r="F113" s="126" t="s">
        <v>30</v>
      </c>
      <c r="G113" s="305">
        <f>'1461'!G113</f>
        <v>548</v>
      </c>
      <c r="I113" s="101">
        <f>ROUND(G113*E113,2)</f>
        <v>32880</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44">
        <f>C114</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42">
        <f>IF(D30=0,C121*2,C121+D121)</f>
        <v>0</v>
      </c>
      <c r="F121" s="647">
        <v>0</v>
      </c>
      <c r="G121" s="647"/>
      <c r="H121" s="61">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44">
        <f>IF(D31=0,C122*2,C122+D122)</f>
        <v>0</v>
      </c>
      <c r="F122" s="570">
        <f>ROUND(F121/2,2)</f>
        <v>0</v>
      </c>
      <c r="G122" s="570"/>
      <c r="H122" s="61">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44">
        <f>IF(D32=0,C123*2,C123+D123)</f>
        <v>0</v>
      </c>
      <c r="F123" s="571"/>
      <c r="G123" s="571"/>
      <c r="H123" s="63">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2346520.4900000002</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2253165.7600000002</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2253165.7600000002</v>
      </c>
      <c r="I135" s="94">
        <f>ROUND(IF(E30=0,0,IF(E30&gt;250,-(((250/E30)*H135)*IF(G135="H",0.02,0.05)),IF(G135="H",-0.02*H135,-0.05*H135))),2)</f>
        <v>-101311.41</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2245209.08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-384483.65-187582.84-187582.84-187582.84-187582.83-180069.2-183453.74-183906.88</f>
        <v>-1682244.8199999998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562964.26000000024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187654.75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11346.88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N73:S73"/>
    <mergeCell ref="R66:T66"/>
    <mergeCell ref="A94:C94"/>
    <mergeCell ref="A88:C88"/>
    <mergeCell ref="N94:P94"/>
    <mergeCell ref="N79:S79"/>
    <mergeCell ref="T79:U79"/>
    <mergeCell ref="A81:B81"/>
    <mergeCell ref="D81:G81"/>
    <mergeCell ref="N81:O81"/>
    <mergeCell ref="Q81:S81"/>
    <mergeCell ref="T81:U81"/>
    <mergeCell ref="A87:C87"/>
    <mergeCell ref="N87:P87"/>
    <mergeCell ref="N82:S82"/>
    <mergeCell ref="T82:U82"/>
    <mergeCell ref="T73:U73"/>
    <mergeCell ref="T75:U75"/>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A69:B69"/>
    <mergeCell ref="D69:G69"/>
    <mergeCell ref="N69:O69"/>
    <mergeCell ref="Q69:S69"/>
    <mergeCell ref="T69:U69"/>
    <mergeCell ref="N70:S70"/>
    <mergeCell ref="T70:U70"/>
    <mergeCell ref="A72:B72"/>
    <mergeCell ref="D72:G72"/>
    <mergeCell ref="N72:O72"/>
    <mergeCell ref="Q72:S72"/>
    <mergeCell ref="T72:U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6:B26"/>
    <mergeCell ref="A28:B28"/>
    <mergeCell ref="F28:G28"/>
    <mergeCell ref="N28:O28"/>
    <mergeCell ref="P28:Q28"/>
    <mergeCell ref="R28:S28"/>
    <mergeCell ref="A25:B25"/>
    <mergeCell ref="F25:G25"/>
    <mergeCell ref="N25:O25"/>
    <mergeCell ref="P25:Q25"/>
    <mergeCell ref="R25:S25"/>
    <mergeCell ref="A24:B24"/>
    <mergeCell ref="F24:G24"/>
    <mergeCell ref="F26:G26"/>
    <mergeCell ref="N26:O26"/>
    <mergeCell ref="P26:Q26"/>
    <mergeCell ref="R26:S26"/>
    <mergeCell ref="A23:B23"/>
    <mergeCell ref="F23:G23"/>
    <mergeCell ref="N23:O23"/>
    <mergeCell ref="P23:Q23"/>
    <mergeCell ref="R23:S23"/>
    <mergeCell ref="A22:B22"/>
    <mergeCell ref="F22:G22"/>
    <mergeCell ref="N24:O24"/>
    <mergeCell ref="P24:Q24"/>
    <mergeCell ref="R24:S24"/>
    <mergeCell ref="A21:B21"/>
    <mergeCell ref="F21:G21"/>
    <mergeCell ref="N21:O21"/>
    <mergeCell ref="P21:Q21"/>
    <mergeCell ref="R21:S21"/>
    <mergeCell ref="A20:B20"/>
    <mergeCell ref="F20:G20"/>
    <mergeCell ref="N22:O22"/>
    <mergeCell ref="P22:Q22"/>
    <mergeCell ref="R22:S22"/>
    <mergeCell ref="A19:B19"/>
    <mergeCell ref="F19:G19"/>
    <mergeCell ref="N19:O19"/>
    <mergeCell ref="P19:Q19"/>
    <mergeCell ref="R19:S19"/>
    <mergeCell ref="A18:B18"/>
    <mergeCell ref="F18:G18"/>
    <mergeCell ref="N20:O20"/>
    <mergeCell ref="P20:Q20"/>
    <mergeCell ref="R20:S20"/>
    <mergeCell ref="A17:B17"/>
    <mergeCell ref="F17:G17"/>
    <mergeCell ref="N17:O17"/>
    <mergeCell ref="P17:Q17"/>
    <mergeCell ref="R17:S17"/>
    <mergeCell ref="A16:B16"/>
    <mergeCell ref="F16:G16"/>
    <mergeCell ref="N18:O18"/>
    <mergeCell ref="P18:Q18"/>
    <mergeCell ref="R18:S18"/>
    <mergeCell ref="A15:B15"/>
    <mergeCell ref="F15:G15"/>
    <mergeCell ref="N15:O15"/>
    <mergeCell ref="P15:Q15"/>
    <mergeCell ref="R15:S15"/>
    <mergeCell ref="A14:B14"/>
    <mergeCell ref="F14:G14"/>
    <mergeCell ref="N16:O16"/>
    <mergeCell ref="P16:Q16"/>
    <mergeCell ref="R16:S16"/>
    <mergeCell ref="F13:G13"/>
    <mergeCell ref="N13:O13"/>
    <mergeCell ref="P13:Q13"/>
    <mergeCell ref="R13:S13"/>
    <mergeCell ref="A12:B12"/>
    <mergeCell ref="F12:G12"/>
    <mergeCell ref="N14:O14"/>
    <mergeCell ref="P14:Q14"/>
    <mergeCell ref="R14:S14"/>
    <mergeCell ref="A13:B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5">
    <tabColor rgb="FFFFCCCC"/>
  </sheetPr>
  <dimension ref="A1:V221"/>
  <sheetViews>
    <sheetView topLeftCell="A111" workbookViewId="0">
      <selection activeCell="H149" sqref="H14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236</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0</v>
      </c>
      <c r="D14" s="141">
        <v>0</v>
      </c>
      <c r="E14" s="187">
        <f>IF(D$30=0,C14*2,C14+D14)</f>
        <v>0</v>
      </c>
      <c r="F14" s="639">
        <f>'1461'!F14:G14</f>
        <v>1.1220000000000001</v>
      </c>
      <c r="G14" s="639"/>
      <c r="H14" s="145">
        <f>ROUND(E14*F14,4)</f>
        <v>0</v>
      </c>
      <c r="I14" s="111">
        <f>ROUND(ROUND(ROUND(H14*$C$8,4)*($H$8),2)*(MAX($H$9,1)),2)</f>
        <v>0</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0</v>
      </c>
      <c r="D15" s="143">
        <v>0</v>
      </c>
      <c r="E15" s="116">
        <f t="shared" ref="E15:E29" si="1">IF(D$30=0,C15*2,C15+D15)</f>
        <v>0</v>
      </c>
      <c r="F15" s="635">
        <f>'1461'!F15:G15</f>
        <v>1.1220000000000001</v>
      </c>
      <c r="G15" s="635"/>
      <c r="H15" s="80">
        <f t="shared" ref="H15:H29" si="2">ROUND(E15*F15,4)</f>
        <v>0</v>
      </c>
      <c r="I15" s="101">
        <f t="shared" ref="I15:I29" si="3">ROUND(ROUND(ROUND(H15*$C$8,4)*($H$8),2)*(MAX($H$9,1)),2)</f>
        <v>0</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0</v>
      </c>
      <c r="D16" s="143">
        <v>0</v>
      </c>
      <c r="E16" s="116">
        <f t="shared" si="1"/>
        <v>0</v>
      </c>
      <c r="F16" s="635">
        <f>'1461'!F16:G16</f>
        <v>1</v>
      </c>
      <c r="G16" s="635"/>
      <c r="H16" s="80">
        <f t="shared" si="2"/>
        <v>0</v>
      </c>
      <c r="I16" s="101">
        <f t="shared" si="3"/>
        <v>0</v>
      </c>
      <c r="N16" s="573" t="s">
        <v>22</v>
      </c>
      <c r="O16" s="573"/>
      <c r="P16" s="614">
        <f t="shared" si="0"/>
        <v>0</v>
      </c>
      <c r="Q16" s="614"/>
      <c r="R16" s="619">
        <v>1</v>
      </c>
      <c r="S16" s="619"/>
      <c r="T16" s="95">
        <f t="shared" si="4"/>
        <v>0</v>
      </c>
      <c r="U16" s="474">
        <f t="shared" si="5"/>
        <v>0</v>
      </c>
    </row>
    <row r="17" spans="1:21" x14ac:dyDescent="0.25">
      <c r="A17" s="550" t="s">
        <v>23</v>
      </c>
      <c r="B17" s="550"/>
      <c r="C17" s="143">
        <v>0</v>
      </c>
      <c r="D17" s="143">
        <v>0</v>
      </c>
      <c r="E17" s="116">
        <f t="shared" si="1"/>
        <v>0</v>
      </c>
      <c r="F17" s="635">
        <f>'1461'!F17:G17</f>
        <v>1</v>
      </c>
      <c r="G17" s="635"/>
      <c r="H17" s="80">
        <f t="shared" si="2"/>
        <v>0</v>
      </c>
      <c r="I17" s="101">
        <f t="shared" si="3"/>
        <v>0</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43.7</v>
      </c>
      <c r="D18" s="143">
        <v>53.01</v>
      </c>
      <c r="E18" s="116">
        <f t="shared" si="1"/>
        <v>96.710000000000008</v>
      </c>
      <c r="F18" s="635">
        <f>'1461'!F18:G18</f>
        <v>0.98799999999999999</v>
      </c>
      <c r="G18" s="635"/>
      <c r="H18" s="80">
        <f t="shared" si="2"/>
        <v>95.549499999999995</v>
      </c>
      <c r="I18" s="101">
        <f t="shared" si="3"/>
        <v>512805.19</v>
      </c>
      <c r="N18" s="573" t="s">
        <v>24</v>
      </c>
      <c r="O18" s="573"/>
      <c r="P18" s="614">
        <f t="shared" si="0"/>
        <v>0</v>
      </c>
      <c r="Q18" s="614"/>
      <c r="R18" s="619">
        <v>1</v>
      </c>
      <c r="S18" s="619"/>
      <c r="T18" s="95">
        <f t="shared" si="4"/>
        <v>0</v>
      </c>
      <c r="U18" s="474">
        <f t="shared" si="5"/>
        <v>0</v>
      </c>
    </row>
    <row r="19" spans="1:21" x14ac:dyDescent="0.25">
      <c r="A19" s="550" t="s">
        <v>25</v>
      </c>
      <c r="B19" s="550"/>
      <c r="C19" s="143">
        <v>11</v>
      </c>
      <c r="D19" s="143">
        <v>9</v>
      </c>
      <c r="E19" s="116">
        <f t="shared" si="1"/>
        <v>20</v>
      </c>
      <c r="F19" s="635">
        <f>'1461'!F19:G19</f>
        <v>0.98799999999999999</v>
      </c>
      <c r="G19" s="635"/>
      <c r="H19" s="80">
        <f t="shared" si="2"/>
        <v>19.760000000000002</v>
      </c>
      <c r="I19" s="101">
        <f t="shared" si="3"/>
        <v>106050.06</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0.5</v>
      </c>
      <c r="D25" s="143">
        <v>0.5</v>
      </c>
      <c r="E25" s="116">
        <f t="shared" si="1"/>
        <v>1</v>
      </c>
      <c r="F25" s="635">
        <f>'1461'!F25:G25</f>
        <v>5.7069999999999999</v>
      </c>
      <c r="G25" s="635"/>
      <c r="H25" s="80">
        <f t="shared" si="2"/>
        <v>5.7069999999999999</v>
      </c>
      <c r="I25" s="101">
        <f t="shared" si="3"/>
        <v>30628.93</v>
      </c>
      <c r="N25" s="573" t="s">
        <v>84</v>
      </c>
      <c r="O25" s="573"/>
      <c r="P25" s="614">
        <f t="shared" si="0"/>
        <v>0</v>
      </c>
      <c r="Q25" s="614"/>
      <c r="R25" s="619">
        <v>1</v>
      </c>
      <c r="S25" s="619"/>
      <c r="T25" s="95">
        <f t="shared" si="4"/>
        <v>0</v>
      </c>
      <c r="U25" s="474">
        <f t="shared" si="5"/>
        <v>0</v>
      </c>
    </row>
    <row r="26" spans="1:21" x14ac:dyDescent="0.25">
      <c r="A26" s="550" t="s">
        <v>85</v>
      </c>
      <c r="B26" s="550"/>
      <c r="C26" s="143">
        <v>0</v>
      </c>
      <c r="D26" s="143">
        <v>0</v>
      </c>
      <c r="E26" s="116">
        <f t="shared" si="1"/>
        <v>0</v>
      </c>
      <c r="F26" s="635">
        <f>'1461'!F26:G26</f>
        <v>1.208</v>
      </c>
      <c r="G26" s="635"/>
      <c r="H26" s="80">
        <f t="shared" si="2"/>
        <v>0</v>
      </c>
      <c r="I26" s="101">
        <f t="shared" si="3"/>
        <v>0</v>
      </c>
      <c r="N26" s="573" t="s">
        <v>85</v>
      </c>
      <c r="O26" s="573"/>
      <c r="P26" s="614">
        <f t="shared" si="0"/>
        <v>0</v>
      </c>
      <c r="Q26" s="614"/>
      <c r="R26" s="619">
        <v>1</v>
      </c>
      <c r="S26" s="619"/>
      <c r="T26" s="95">
        <f t="shared" si="4"/>
        <v>0</v>
      </c>
      <c r="U26" s="474">
        <f t="shared" si="5"/>
        <v>0</v>
      </c>
    </row>
    <row r="27" spans="1:21" x14ac:dyDescent="0.25">
      <c r="A27" s="550" t="s">
        <v>86</v>
      </c>
      <c r="B27" s="550"/>
      <c r="C27" s="143">
        <v>0</v>
      </c>
      <c r="D27" s="143">
        <v>0</v>
      </c>
      <c r="E27" s="116">
        <f t="shared" si="1"/>
        <v>0</v>
      </c>
      <c r="F27" s="635">
        <f>'1461'!F27:G27</f>
        <v>1.208</v>
      </c>
      <c r="G27" s="635"/>
      <c r="H27" s="80">
        <f t="shared" si="2"/>
        <v>0</v>
      </c>
      <c r="I27" s="101">
        <f t="shared" si="3"/>
        <v>0</v>
      </c>
      <c r="N27" s="573" t="s">
        <v>86</v>
      </c>
      <c r="O27" s="573"/>
      <c r="P27" s="614">
        <f t="shared" si="0"/>
        <v>0</v>
      </c>
      <c r="Q27" s="614"/>
      <c r="R27" s="619">
        <v>1</v>
      </c>
      <c r="S27" s="619"/>
      <c r="T27" s="95">
        <f t="shared" si="4"/>
        <v>0</v>
      </c>
      <c r="U27" s="474">
        <f t="shared" si="5"/>
        <v>0</v>
      </c>
    </row>
    <row r="28" spans="1:21" x14ac:dyDescent="0.25">
      <c r="A28" s="550" t="s">
        <v>87</v>
      </c>
      <c r="B28" s="550"/>
      <c r="C28" s="143">
        <v>1.04</v>
      </c>
      <c r="D28" s="143">
        <v>1.77</v>
      </c>
      <c r="E28" s="116">
        <f t="shared" si="1"/>
        <v>2.81</v>
      </c>
      <c r="F28" s="635">
        <f>'1461'!F28:G28</f>
        <v>1.208</v>
      </c>
      <c r="G28" s="635"/>
      <c r="H28" s="80">
        <f t="shared" si="2"/>
        <v>3.3944999999999999</v>
      </c>
      <c r="I28" s="101">
        <f t="shared" si="3"/>
        <v>18217.96</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56.24</v>
      </c>
      <c r="D30" s="94">
        <f>SUM(D14:D29)</f>
        <v>64.28</v>
      </c>
      <c r="E30" s="94">
        <f>SUM(E14:E29)</f>
        <v>120.52000000000001</v>
      </c>
      <c r="F30" s="554"/>
      <c r="G30" s="554"/>
      <c r="H30" s="99">
        <f>SUM(H14:H29)</f>
        <v>124.41099999999999</v>
      </c>
      <c r="I30" s="94">
        <f>SUM(I14:I29)</f>
        <v>667702.14</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42">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44">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44">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44">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44">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36">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124.41099999999999</v>
      </c>
      <c r="F46" s="34"/>
      <c r="G46" s="106"/>
      <c r="H46" s="107" t="s">
        <v>98</v>
      </c>
      <c r="I46" s="94">
        <f>SUM(I44,I30)</f>
        <v>667702.14</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667702.14</v>
      </c>
      <c r="G51" s="109" t="s">
        <v>6</v>
      </c>
      <c r="H51" s="402">
        <v>4.5199999999999997E-2</v>
      </c>
      <c r="I51" s="101">
        <f>ROUND(F51*H51,2)</f>
        <v>30180.14</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667702.14</v>
      </c>
      <c r="G52" s="109" t="s">
        <v>6</v>
      </c>
      <c r="H52" s="402">
        <v>1.41E-2</v>
      </c>
      <c r="I52" s="101">
        <f>ROUND(F52*H52,2)</f>
        <v>9414.6</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39594.74</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0</v>
      </c>
      <c r="D57" s="143">
        <v>0</v>
      </c>
      <c r="E57" s="116">
        <f t="shared" ref="E57:E65" si="10">IF(D$66=0,C57*2,C57+D57)</f>
        <v>0</v>
      </c>
      <c r="F57" s="444" t="s">
        <v>434</v>
      </c>
      <c r="G57" s="444">
        <v>251</v>
      </c>
      <c r="H57" s="458">
        <f>'1461'!H57</f>
        <v>1047</v>
      </c>
      <c r="I57" s="101">
        <f>ROUND(E57*H57,2)</f>
        <v>0</v>
      </c>
      <c r="N57" s="590" t="s">
        <v>442</v>
      </c>
      <c r="O57" s="590"/>
      <c r="P57" s="593"/>
      <c r="Q57" s="593"/>
      <c r="R57" s="450" t="s">
        <v>434</v>
      </c>
      <c r="S57" s="450">
        <v>251</v>
      </c>
      <c r="T57" s="461">
        <f>H57</f>
        <v>1047</v>
      </c>
      <c r="U57" s="475">
        <f>ROUND(P57*T57,2)</f>
        <v>0</v>
      </c>
      <c r="V57" s="425"/>
    </row>
    <row r="58" spans="1:22" x14ac:dyDescent="0.25">
      <c r="A58" s="561"/>
      <c r="B58" s="561"/>
      <c r="C58" s="143">
        <v>0</v>
      </c>
      <c r="D58" s="143">
        <v>0</v>
      </c>
      <c r="E58" s="116">
        <f t="shared" si="10"/>
        <v>0</v>
      </c>
      <c r="F58" s="444" t="s">
        <v>434</v>
      </c>
      <c r="G58" s="444">
        <v>252</v>
      </c>
      <c r="H58" s="458">
        <f>'1461'!H58</f>
        <v>3380</v>
      </c>
      <c r="I58" s="101">
        <f t="shared" ref="I58:I65" si="11">ROUND(E58*H58,2)</f>
        <v>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0</v>
      </c>
      <c r="D60" s="143">
        <v>0</v>
      </c>
      <c r="E60" s="116">
        <f t="shared" si="10"/>
        <v>0</v>
      </c>
      <c r="F60" s="445" t="s">
        <v>13</v>
      </c>
      <c r="G60" s="444">
        <v>251</v>
      </c>
      <c r="H60" s="458">
        <f>'1461'!H60</f>
        <v>1173</v>
      </c>
      <c r="I60" s="101">
        <f t="shared" si="11"/>
        <v>0</v>
      </c>
      <c r="N60" s="591"/>
      <c r="O60" s="591"/>
      <c r="P60" s="594"/>
      <c r="Q60" s="594"/>
      <c r="R60" s="40" t="s">
        <v>13</v>
      </c>
      <c r="S60" s="450">
        <v>251</v>
      </c>
      <c r="T60" s="461">
        <f t="shared" si="12"/>
        <v>1173</v>
      </c>
      <c r="U60" s="475">
        <f t="shared" si="13"/>
        <v>0</v>
      </c>
      <c r="V60" s="425"/>
    </row>
    <row r="61" spans="1:22" x14ac:dyDescent="0.25">
      <c r="A61" s="561"/>
      <c r="B61" s="561"/>
      <c r="C61" s="143">
        <v>0</v>
      </c>
      <c r="D61" s="143">
        <v>0</v>
      </c>
      <c r="E61" s="116">
        <f t="shared" si="10"/>
        <v>0</v>
      </c>
      <c r="F61" s="445" t="s">
        <v>13</v>
      </c>
      <c r="G61" s="444">
        <v>252</v>
      </c>
      <c r="H61" s="458">
        <f>'1461'!H61</f>
        <v>3506</v>
      </c>
      <c r="I61" s="101">
        <f t="shared" si="11"/>
        <v>0</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10.5</v>
      </c>
      <c r="D63" s="143">
        <v>8.59</v>
      </c>
      <c r="E63" s="116">
        <f t="shared" si="10"/>
        <v>19.09</v>
      </c>
      <c r="F63" s="445" t="s">
        <v>14</v>
      </c>
      <c r="G63" s="444">
        <v>251</v>
      </c>
      <c r="H63" s="458">
        <f>'1461'!H63</f>
        <v>835</v>
      </c>
      <c r="I63" s="101">
        <f t="shared" si="11"/>
        <v>15940.15</v>
      </c>
      <c r="N63" s="591"/>
      <c r="O63" s="591"/>
      <c r="P63" s="594"/>
      <c r="Q63" s="594"/>
      <c r="R63" s="40" t="s">
        <v>14</v>
      </c>
      <c r="S63" s="450">
        <v>251</v>
      </c>
      <c r="T63" s="461">
        <f t="shared" si="12"/>
        <v>835</v>
      </c>
      <c r="U63" s="475">
        <f t="shared" si="13"/>
        <v>0</v>
      </c>
      <c r="V63" s="425"/>
    </row>
    <row r="64" spans="1:22" x14ac:dyDescent="0.25">
      <c r="A64" s="561"/>
      <c r="B64" s="561"/>
      <c r="C64" s="143">
        <v>0.5</v>
      </c>
      <c r="D64" s="143">
        <v>0.41</v>
      </c>
      <c r="E64" s="116">
        <f t="shared" si="10"/>
        <v>0.90999999999999992</v>
      </c>
      <c r="F64" s="445" t="s">
        <v>14</v>
      </c>
      <c r="G64" s="444">
        <v>252</v>
      </c>
      <c r="H64" s="458">
        <f>'1461'!H64</f>
        <v>3168</v>
      </c>
      <c r="I64" s="101">
        <f t="shared" si="11"/>
        <v>2882.88</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11</v>
      </c>
      <c r="D66" s="97">
        <f>SUM(D57:D65)</f>
        <v>9</v>
      </c>
      <c r="E66" s="97">
        <f>SUM(E57:E65)</f>
        <v>20</v>
      </c>
      <c r="F66" s="562" t="s">
        <v>443</v>
      </c>
      <c r="G66" s="562"/>
      <c r="H66" s="562"/>
      <c r="I66" s="97">
        <f>SUM(I57:I65)</f>
        <v>18823.03</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120.52000000000001</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5.9699999999999998E-4</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124.41099999999999</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5.4799999999999998E-4</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120.52000000000001</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6.4599999999999998E-4</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120.52000000000001</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5.9800000000000001E-4</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120.52000000000001</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6.4800000000000003E-4</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5.9800000000000001E-4</v>
      </c>
      <c r="I85" s="101">
        <f>ROUND(F85*H85,2)</f>
        <v>26496.95</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53"/>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5.9699999999999998E-4</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6.4800000000000003E-4</v>
      </c>
      <c r="I90" s="101">
        <f>ROUND(F90*H90,2)</f>
        <v>10546.64</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6.4599999999999998E-4</v>
      </c>
      <c r="I92" s="101">
        <f t="shared" ref="I92:I96" si="14">ROUND(F92*H92,2)</f>
        <v>6542.71</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5.4799999999999998E-4</v>
      </c>
      <c r="I94" s="101">
        <f t="shared" si="14"/>
        <v>130970.73</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5.4799999999999998E-4</v>
      </c>
      <c r="I96" s="101">
        <f t="shared" si="14"/>
        <v>0</v>
      </c>
      <c r="N96" s="572" t="s">
        <v>418</v>
      </c>
      <c r="O96" s="573"/>
      <c r="P96" s="573"/>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475</v>
      </c>
      <c r="B98" s="512"/>
      <c r="C98" s="512"/>
      <c r="D98" s="512"/>
      <c r="E98" s="510" t="s">
        <v>3</v>
      </c>
      <c r="F98" s="291">
        <v>0</v>
      </c>
      <c r="G98" s="511" t="s">
        <v>6</v>
      </c>
      <c r="H98" s="423">
        <f>H70</f>
        <v>5.9699999999999998E-4</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0</v>
      </c>
      <c r="D104" s="568"/>
      <c r="E104" s="46">
        <f>H8</f>
        <v>1.0442</v>
      </c>
      <c r="F104" s="304">
        <f>'1461'!F104</f>
        <v>947.59</v>
      </c>
      <c r="G104" s="39" t="s">
        <v>12</v>
      </c>
      <c r="H104" s="101">
        <f>ROUND(C104*E104*F104,2)</f>
        <v>0</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0</v>
      </c>
      <c r="D105" s="568"/>
      <c r="E105" s="46">
        <f>H8</f>
        <v>1.0442</v>
      </c>
      <c r="F105" s="304">
        <f>'1461'!F105</f>
        <v>904.74</v>
      </c>
      <c r="G105" s="39" t="s">
        <v>12</v>
      </c>
      <c r="H105" s="101">
        <f>ROUND(C105*E105*F105,2)</f>
        <v>0</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124.41099999999999</v>
      </c>
      <c r="D106" s="568"/>
      <c r="E106" s="46">
        <f>H8</f>
        <v>1.0442</v>
      </c>
      <c r="F106" s="304">
        <f>'1461'!F106</f>
        <v>906.93</v>
      </c>
      <c r="G106" s="39" t="s">
        <v>12</v>
      </c>
      <c r="H106" s="94">
        <f>ROUND(C106*E106*F106,2)</f>
        <v>117819.25</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124.41099999999999</v>
      </c>
      <c r="D107" s="558"/>
      <c r="E107" s="123"/>
      <c r="F107" s="123"/>
      <c r="G107" s="123"/>
      <c r="H107" s="124" t="s">
        <v>100</v>
      </c>
      <c r="I107" s="101">
        <f>IF(A1=75,0,H106+H105+H104)</f>
        <v>117819.25</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40</v>
      </c>
      <c r="D113" s="143">
        <v>0</v>
      </c>
      <c r="E113" s="144">
        <f>C113</f>
        <v>40</v>
      </c>
      <c r="F113" s="126" t="s">
        <v>30</v>
      </c>
      <c r="G113" s="305">
        <f>'1461'!G113</f>
        <v>548</v>
      </c>
      <c r="I113" s="101">
        <f>ROUND(G113*E113,2)</f>
        <v>21920</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44">
        <f>(C114+D114)/2</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42">
        <f>IF(D30=0,C121*2,C121+D121)</f>
        <v>0</v>
      </c>
      <c r="F121" s="647">
        <v>0</v>
      </c>
      <c r="G121" s="647"/>
      <c r="H121" s="61">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44">
        <f>IF(D31=0,C122*2,C122+D122)</f>
        <v>0</v>
      </c>
      <c r="F122" s="570">
        <f>ROUND(F121/2,2)</f>
        <v>0</v>
      </c>
      <c r="G122" s="570"/>
      <c r="H122" s="61">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44">
        <f>IF(D32=0,C123*2,C123+D123)</f>
        <v>0</v>
      </c>
      <c r="F123" s="571"/>
      <c r="G123" s="571"/>
      <c r="H123" s="63">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1000821.45</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961226.71</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961226.71</v>
      </c>
      <c r="I135" s="94">
        <f>ROUND(IF(E30=0,0,IF(E30&gt;250,-(((250/E30)*H135)*IF(G135="H",0.02,0.05)),IF(G135="H",-0.02*H135,-0.05*H135))),2)</f>
        <v>-48061.34</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952760.11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-184740.19-89293.73-89293.72-89293.73-89293.72-58384.46-59815.79-58684.86</f>
        <v>-718800.2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233959.91000000003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77986.64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N73:S73"/>
    <mergeCell ref="T73:U73"/>
    <mergeCell ref="N76:S76"/>
    <mergeCell ref="T76:U76"/>
    <mergeCell ref="A78:B78"/>
    <mergeCell ref="D78:G78"/>
    <mergeCell ref="N78:O78"/>
    <mergeCell ref="Q78:S78"/>
    <mergeCell ref="T78:U78"/>
    <mergeCell ref="N79:S79"/>
    <mergeCell ref="T79:U79"/>
    <mergeCell ref="A81:B81"/>
    <mergeCell ref="D81:G81"/>
    <mergeCell ref="N81:O81"/>
    <mergeCell ref="Q81:S81"/>
    <mergeCell ref="T81:U81"/>
    <mergeCell ref="N82:S82"/>
    <mergeCell ref="A87:C87"/>
    <mergeCell ref="N87:P87"/>
    <mergeCell ref="T82:U8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3:B13"/>
    <mergeCell ref="A15:B15"/>
    <mergeCell ref="F15:G15"/>
    <mergeCell ref="N15:O15"/>
    <mergeCell ref="P15:Q15"/>
    <mergeCell ref="R15:S15"/>
    <mergeCell ref="B1:I1"/>
    <mergeCell ref="O1:U1"/>
    <mergeCell ref="N2:U2"/>
    <mergeCell ref="N3:U3"/>
    <mergeCell ref="A4:B4"/>
    <mergeCell ref="C4:E4"/>
    <mergeCell ref="N4:O4"/>
    <mergeCell ref="P4:Q4"/>
    <mergeCell ref="A7:I7"/>
    <mergeCell ref="N7:U7"/>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7">
    <tabColor rgb="FFFFCCCC"/>
  </sheetPr>
  <dimension ref="A1:V221"/>
  <sheetViews>
    <sheetView topLeftCell="A108" workbookViewId="0">
      <selection activeCell="F147" sqref="F14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273</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0</v>
      </c>
      <c r="D14" s="141">
        <v>0</v>
      </c>
      <c r="E14" s="187">
        <f>IF(D$30=0,C14*2,C14+D14)</f>
        <v>0</v>
      </c>
      <c r="F14" s="639">
        <f>'1461'!F14:G14</f>
        <v>1.1220000000000001</v>
      </c>
      <c r="G14" s="639"/>
      <c r="H14" s="145">
        <f>ROUND(E14*F14,4)</f>
        <v>0</v>
      </c>
      <c r="I14" s="111">
        <f>ROUND(ROUND(ROUND(H14*$C$8,4)*($H$8),2)*(MAX($H$9,1)),2)</f>
        <v>0</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0</v>
      </c>
      <c r="D15" s="143">
        <v>0</v>
      </c>
      <c r="E15" s="116">
        <f t="shared" ref="E15:E29" si="1">IF(D$30=0,C15*2,C15+D15)</f>
        <v>0</v>
      </c>
      <c r="F15" s="635">
        <f>'1461'!F15:G15</f>
        <v>1.1220000000000001</v>
      </c>
      <c r="G15" s="635"/>
      <c r="H15" s="80">
        <f t="shared" ref="H15:H29" si="2">ROUND(E15*F15,4)</f>
        <v>0</v>
      </c>
      <c r="I15" s="101">
        <f t="shared" ref="I15:I29" si="3">ROUND(ROUND(ROUND(H15*$C$8,4)*($H$8),2)*(MAX($H$9,1)),2)</f>
        <v>0</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129.83000000000001</v>
      </c>
      <c r="D16" s="143">
        <v>133.41</v>
      </c>
      <c r="E16" s="116">
        <f t="shared" si="1"/>
        <v>263.24</v>
      </c>
      <c r="F16" s="635">
        <f>'1461'!F16:G16</f>
        <v>1</v>
      </c>
      <c r="G16" s="635"/>
      <c r="H16" s="80">
        <f t="shared" si="2"/>
        <v>263.24</v>
      </c>
      <c r="I16" s="101">
        <f t="shared" si="3"/>
        <v>1412784.35</v>
      </c>
      <c r="N16" s="573" t="s">
        <v>22</v>
      </c>
      <c r="O16" s="573"/>
      <c r="P16" s="614">
        <f t="shared" si="0"/>
        <v>0</v>
      </c>
      <c r="Q16" s="614"/>
      <c r="R16" s="619">
        <v>1</v>
      </c>
      <c r="S16" s="619"/>
      <c r="T16" s="95">
        <f t="shared" si="4"/>
        <v>0</v>
      </c>
      <c r="U16" s="474">
        <f t="shared" si="5"/>
        <v>0</v>
      </c>
    </row>
    <row r="17" spans="1:21" x14ac:dyDescent="0.25">
      <c r="A17" s="550" t="s">
        <v>23</v>
      </c>
      <c r="B17" s="550"/>
      <c r="C17" s="143">
        <v>23</v>
      </c>
      <c r="D17" s="143">
        <v>22.84</v>
      </c>
      <c r="E17" s="116">
        <f t="shared" si="1"/>
        <v>45.84</v>
      </c>
      <c r="F17" s="635">
        <f>'1461'!F17:G17</f>
        <v>1</v>
      </c>
      <c r="G17" s="635"/>
      <c r="H17" s="80">
        <f t="shared" si="2"/>
        <v>45.84</v>
      </c>
      <c r="I17" s="101">
        <f t="shared" si="3"/>
        <v>246018.97</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0</v>
      </c>
      <c r="D18" s="143">
        <v>0</v>
      </c>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0</v>
      </c>
      <c r="D19" s="143">
        <v>0</v>
      </c>
      <c r="E19" s="116">
        <f t="shared" si="1"/>
        <v>0</v>
      </c>
      <c r="F19" s="635">
        <f>'1461'!F19:G19</f>
        <v>0.98799999999999999</v>
      </c>
      <c r="G19" s="635"/>
      <c r="H19" s="80">
        <f t="shared" si="2"/>
        <v>0</v>
      </c>
      <c r="I19" s="101">
        <f t="shared" si="3"/>
        <v>0</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0</v>
      </c>
      <c r="D26" s="143">
        <v>0</v>
      </c>
      <c r="E26" s="116">
        <f t="shared" si="1"/>
        <v>0</v>
      </c>
      <c r="F26" s="635">
        <f>'1461'!F26:G26</f>
        <v>1.208</v>
      </c>
      <c r="G26" s="635"/>
      <c r="H26" s="80">
        <f t="shared" si="2"/>
        <v>0</v>
      </c>
      <c r="I26" s="101">
        <f t="shared" si="3"/>
        <v>0</v>
      </c>
      <c r="N26" s="573" t="s">
        <v>85</v>
      </c>
      <c r="O26" s="573"/>
      <c r="P26" s="614">
        <f t="shared" si="0"/>
        <v>0</v>
      </c>
      <c r="Q26" s="614"/>
      <c r="R26" s="619">
        <v>1</v>
      </c>
      <c r="S26" s="619"/>
      <c r="T26" s="95">
        <f t="shared" si="4"/>
        <v>0</v>
      </c>
      <c r="U26" s="474">
        <f t="shared" si="5"/>
        <v>0</v>
      </c>
    </row>
    <row r="27" spans="1:21" x14ac:dyDescent="0.25">
      <c r="A27" s="550" t="s">
        <v>86</v>
      </c>
      <c r="B27" s="550"/>
      <c r="C27" s="143">
        <v>14.17</v>
      </c>
      <c r="D27" s="143">
        <v>16.05</v>
      </c>
      <c r="E27" s="116">
        <f t="shared" si="1"/>
        <v>30.22</v>
      </c>
      <c r="F27" s="635">
        <f>'1461'!F27:G27</f>
        <v>1.208</v>
      </c>
      <c r="G27" s="635"/>
      <c r="H27" s="80">
        <f t="shared" si="2"/>
        <v>36.505800000000001</v>
      </c>
      <c r="I27" s="101">
        <f t="shared" si="3"/>
        <v>195923.20000000001</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167</v>
      </c>
      <c r="D30" s="94">
        <f>SUM(D14:D29)</f>
        <v>172.3</v>
      </c>
      <c r="E30" s="94">
        <f>SUM(E14:E29)</f>
        <v>339.30000000000007</v>
      </c>
      <c r="F30" s="554"/>
      <c r="G30" s="554"/>
      <c r="H30" s="99">
        <f>SUM(H14:H29)</f>
        <v>345.58580000000006</v>
      </c>
      <c r="I30" s="94">
        <f>SUM(I14:I29)</f>
        <v>1854726.52</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42">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44">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44">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44">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44">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36">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345.58580000000006</v>
      </c>
      <c r="F46" s="34"/>
      <c r="G46" s="106"/>
      <c r="H46" s="107" t="s">
        <v>98</v>
      </c>
      <c r="I46" s="94">
        <f>SUM(I44,I30)</f>
        <v>1854726.52</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1854726.52</v>
      </c>
      <c r="G51" s="109" t="s">
        <v>6</v>
      </c>
      <c r="H51" s="402">
        <v>4.5199999999999997E-2</v>
      </c>
      <c r="I51" s="101">
        <f>ROUND(F51*H51,2)</f>
        <v>83833.64</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1854726.52</v>
      </c>
      <c r="G52" s="109" t="s">
        <v>6</v>
      </c>
      <c r="H52" s="402">
        <v>1.41E-2</v>
      </c>
      <c r="I52" s="101">
        <f>ROUND(F52*H52,2)</f>
        <v>26151.64</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109985.28</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0</v>
      </c>
      <c r="D57" s="143">
        <v>0</v>
      </c>
      <c r="E57" s="116">
        <f t="shared" ref="E57:E65" si="10">IF(D$66=0,C57*2,C57+D57)</f>
        <v>0</v>
      </c>
      <c r="F57" s="444" t="s">
        <v>434</v>
      </c>
      <c r="G57" s="444">
        <v>251</v>
      </c>
      <c r="H57" s="458">
        <f>'1461'!H57</f>
        <v>1047</v>
      </c>
      <c r="I57" s="101">
        <f>ROUND(E57*H57,2)</f>
        <v>0</v>
      </c>
      <c r="N57" s="590" t="s">
        <v>442</v>
      </c>
      <c r="O57" s="590"/>
      <c r="P57" s="593"/>
      <c r="Q57" s="593"/>
      <c r="R57" s="450" t="s">
        <v>434</v>
      </c>
      <c r="S57" s="450">
        <v>251</v>
      </c>
      <c r="T57" s="461">
        <f>H57</f>
        <v>1047</v>
      </c>
      <c r="U57" s="475">
        <f>ROUND(P57*T57,2)</f>
        <v>0</v>
      </c>
      <c r="V57" s="425"/>
    </row>
    <row r="58" spans="1:22" x14ac:dyDescent="0.25">
      <c r="A58" s="561"/>
      <c r="B58" s="561"/>
      <c r="C58" s="143">
        <v>0</v>
      </c>
      <c r="D58" s="143">
        <v>0</v>
      </c>
      <c r="E58" s="116">
        <f t="shared" si="10"/>
        <v>0</v>
      </c>
      <c r="F58" s="444" t="s">
        <v>434</v>
      </c>
      <c r="G58" s="444">
        <v>252</v>
      </c>
      <c r="H58" s="458">
        <f>'1461'!H58</f>
        <v>3380</v>
      </c>
      <c r="I58" s="101">
        <f t="shared" ref="I58:I65" si="11">ROUND(E58*H58,2)</f>
        <v>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22</v>
      </c>
      <c r="D60" s="143">
        <v>21.85</v>
      </c>
      <c r="E60" s="116">
        <f t="shared" si="10"/>
        <v>43.85</v>
      </c>
      <c r="F60" s="445" t="s">
        <v>13</v>
      </c>
      <c r="G60" s="444">
        <v>251</v>
      </c>
      <c r="H60" s="458">
        <f>'1461'!H60</f>
        <v>1173</v>
      </c>
      <c r="I60" s="101">
        <f t="shared" si="11"/>
        <v>51436.05</v>
      </c>
      <c r="N60" s="591"/>
      <c r="O60" s="591"/>
      <c r="P60" s="594"/>
      <c r="Q60" s="594"/>
      <c r="R60" s="40" t="s">
        <v>13</v>
      </c>
      <c r="S60" s="450">
        <v>251</v>
      </c>
      <c r="T60" s="461">
        <f t="shared" si="12"/>
        <v>1173</v>
      </c>
      <c r="U60" s="475">
        <f t="shared" si="13"/>
        <v>0</v>
      </c>
      <c r="V60" s="425"/>
    </row>
    <row r="61" spans="1:22" x14ac:dyDescent="0.25">
      <c r="A61" s="561"/>
      <c r="B61" s="561"/>
      <c r="C61" s="143">
        <v>1</v>
      </c>
      <c r="D61" s="143">
        <v>0.99</v>
      </c>
      <c r="E61" s="116">
        <f t="shared" si="10"/>
        <v>1.99</v>
      </c>
      <c r="F61" s="445" t="s">
        <v>13</v>
      </c>
      <c r="G61" s="444">
        <v>252</v>
      </c>
      <c r="H61" s="458">
        <f>'1461'!H61</f>
        <v>3506</v>
      </c>
      <c r="I61" s="101">
        <f t="shared" si="11"/>
        <v>6976.94</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0</v>
      </c>
      <c r="D63" s="143">
        <v>0</v>
      </c>
      <c r="E63" s="116">
        <f t="shared" si="10"/>
        <v>0</v>
      </c>
      <c r="F63" s="445" t="s">
        <v>14</v>
      </c>
      <c r="G63" s="444">
        <v>251</v>
      </c>
      <c r="H63" s="458">
        <f>'1461'!H63</f>
        <v>835</v>
      </c>
      <c r="I63" s="101">
        <f t="shared" si="11"/>
        <v>0</v>
      </c>
      <c r="N63" s="591"/>
      <c r="O63" s="591"/>
      <c r="P63" s="594"/>
      <c r="Q63" s="594"/>
      <c r="R63" s="40" t="s">
        <v>14</v>
      </c>
      <c r="S63" s="450">
        <v>251</v>
      </c>
      <c r="T63" s="461">
        <f t="shared" si="12"/>
        <v>835</v>
      </c>
      <c r="U63" s="475">
        <f t="shared" si="13"/>
        <v>0</v>
      </c>
      <c r="V63" s="425"/>
    </row>
    <row r="64" spans="1:22" x14ac:dyDescent="0.25">
      <c r="A64" s="561"/>
      <c r="B64" s="561"/>
      <c r="C64" s="143">
        <v>0</v>
      </c>
      <c r="D64" s="143">
        <v>0</v>
      </c>
      <c r="E64" s="116">
        <f t="shared" si="10"/>
        <v>0</v>
      </c>
      <c r="F64" s="445" t="s">
        <v>14</v>
      </c>
      <c r="G64" s="444">
        <v>252</v>
      </c>
      <c r="H64" s="458">
        <f>'1461'!H64</f>
        <v>3168</v>
      </c>
      <c r="I64" s="101">
        <f t="shared" si="11"/>
        <v>0</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23</v>
      </c>
      <c r="D66" s="97">
        <f>SUM(D57:D65)</f>
        <v>22.84</v>
      </c>
      <c r="E66" s="97">
        <f>SUM(E57:E65)</f>
        <v>45.84</v>
      </c>
      <c r="F66" s="562" t="s">
        <v>443</v>
      </c>
      <c r="G66" s="562"/>
      <c r="H66" s="562"/>
      <c r="I66" s="97">
        <f>SUM(I57:I65)</f>
        <v>58412.990000000005</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339.30000000000007</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1.681E-3</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345.58580000000006</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1.5219999999999999E-3</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339.30000000000007</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1.82E-3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339.30000000000007</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1.684E-3</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339.30000000000007</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1.823E-3</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1.684E-3</v>
      </c>
      <c r="I85" s="101">
        <f>ROUND(F85*H85,2)</f>
        <v>74616.84</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53"/>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1.681E-3</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1.823E-3</v>
      </c>
      <c r="I90" s="101">
        <f>ROUND(F90*H90,2)</f>
        <v>29670.560000000001</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1.82E-3</v>
      </c>
      <c r="I92" s="101">
        <f t="shared" ref="I92:I96" si="14">ROUND(F92*H92,2)</f>
        <v>18433.03</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1.5219999999999999E-3</v>
      </c>
      <c r="I94" s="101">
        <f t="shared" si="14"/>
        <v>363754.46</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1.5219999999999999E-3</v>
      </c>
      <c r="I96" s="101">
        <f t="shared" si="14"/>
        <v>0</v>
      </c>
      <c r="N96" s="572" t="s">
        <v>418</v>
      </c>
      <c r="O96" s="573"/>
      <c r="P96" s="573"/>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475</v>
      </c>
      <c r="B98" s="512"/>
      <c r="C98" s="512"/>
      <c r="D98" s="512"/>
      <c r="E98" s="510" t="s">
        <v>3</v>
      </c>
      <c r="F98" s="291">
        <v>0</v>
      </c>
      <c r="G98" s="511" t="s">
        <v>6</v>
      </c>
      <c r="H98" s="423">
        <f>H70</f>
        <v>1.681E-3</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0</v>
      </c>
      <c r="D104" s="568"/>
      <c r="E104" s="46">
        <f>H8</f>
        <v>1.0442</v>
      </c>
      <c r="F104" s="304">
        <f>'1461'!F104</f>
        <v>947.59</v>
      </c>
      <c r="G104" s="39" t="s">
        <v>12</v>
      </c>
      <c r="H104" s="101">
        <f>ROUND(C104*E104*F104,2)</f>
        <v>0</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345.58580000000006</v>
      </c>
      <c r="D105" s="568"/>
      <c r="E105" s="46">
        <f>H8</f>
        <v>1.0442</v>
      </c>
      <c r="F105" s="304">
        <f>'1461'!F105</f>
        <v>904.74</v>
      </c>
      <c r="G105" s="39" t="s">
        <v>12</v>
      </c>
      <c r="H105" s="101">
        <f>ROUND(C105*E105*F105,2)</f>
        <v>326485.09999999998</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0</v>
      </c>
      <c r="D106" s="568"/>
      <c r="E106" s="46">
        <f>H8</f>
        <v>1.0442</v>
      </c>
      <c r="F106" s="304">
        <f>'1461'!F106</f>
        <v>906.93</v>
      </c>
      <c r="G106" s="39" t="s">
        <v>12</v>
      </c>
      <c r="H106" s="94">
        <f>ROUND(C106*E106*F106,2)</f>
        <v>0</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345.58580000000006</v>
      </c>
      <c r="D107" s="558"/>
      <c r="E107" s="123"/>
      <c r="F107" s="123"/>
      <c r="G107" s="123"/>
      <c r="H107" s="124" t="s">
        <v>100</v>
      </c>
      <c r="I107" s="101">
        <f>IF(A1=75,0,H106+H105+H104)</f>
        <v>326485.09999999998</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1</v>
      </c>
      <c r="D113" s="143">
        <v>0</v>
      </c>
      <c r="E113" s="144">
        <f>C113</f>
        <v>1</v>
      </c>
      <c r="F113" s="126" t="s">
        <v>30</v>
      </c>
      <c r="G113" s="305">
        <f>'1461'!G113</f>
        <v>548</v>
      </c>
      <c r="I113" s="101">
        <f>ROUND(G113*E113,2)</f>
        <v>548</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44">
        <f>(C114+D114)/2</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42">
        <f>IF(D30=0,C121*2,C121+D121)</f>
        <v>0</v>
      </c>
      <c r="F121" s="647">
        <v>0</v>
      </c>
      <c r="G121" s="647"/>
      <c r="H121" s="61">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44">
        <f>IF(D31=0,C122*2,C122+D122)</f>
        <v>0</v>
      </c>
      <c r="F122" s="570">
        <f>ROUND(F121/2,2)</f>
        <v>0</v>
      </c>
      <c r="G122" s="570"/>
      <c r="H122" s="61">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44">
        <f>IF(D32=0,C123*2,C123+D123)</f>
        <v>0</v>
      </c>
      <c r="F123" s="571"/>
      <c r="G123" s="571"/>
      <c r="H123" s="63">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2726647.5000000005</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2616662.2200000007</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514"/>
      <c r="O131" s="514"/>
      <c r="P131" s="514"/>
      <c r="Q131" s="514"/>
      <c r="R131" s="514"/>
      <c r="S131" s="514"/>
      <c r="T131" s="514"/>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2616662.2200000007</v>
      </c>
      <c r="I135" s="94">
        <f>ROUND(IF(E30=0,0,IF(E30&gt;250,-(((250/E30)*H135)*IF(G135="H",0.02,0.05)),IF(G135="H",-0.02*H135,-0.05*H135))),2)</f>
        <v>-96399.29</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2630248.2100000004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-453139.72-220481.9-220481.9-220481.9-220481.9-207972.21-208044.08-208903.2</f>
        <v>-1959986.8099999998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670261.40000000061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223420.47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34433.82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A126:C126"/>
    <mergeCell ref="F126:H126"/>
    <mergeCell ref="N130:T130"/>
    <mergeCell ref="A128:H128"/>
    <mergeCell ref="A132:G132"/>
    <mergeCell ref="N135:U135"/>
    <mergeCell ref="A133:G133"/>
    <mergeCell ref="N136:U136"/>
    <mergeCell ref="N126:P126"/>
    <mergeCell ref="N132:T132"/>
    <mergeCell ref="N133:T133"/>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8">
    <tabColor rgb="FFFFCCCC"/>
  </sheetPr>
  <dimension ref="A1:V221"/>
  <sheetViews>
    <sheetView topLeftCell="A108" workbookViewId="0">
      <selection activeCell="I150" sqref="I150"/>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272</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98.75</v>
      </c>
      <c r="D14" s="141">
        <v>97.28</v>
      </c>
      <c r="E14" s="187">
        <f>IF(D$30=0,C14*2,C14+D14)</f>
        <v>196.03</v>
      </c>
      <c r="F14" s="639">
        <f>'1461'!F14:G14</f>
        <v>1.1220000000000001</v>
      </c>
      <c r="G14" s="639"/>
      <c r="H14" s="145">
        <f>ROUND(E14*F14,4)</f>
        <v>219.94569999999999</v>
      </c>
      <c r="I14" s="111">
        <f>ROUND(ROUND(ROUND(H14*$C$8,4)*($H$8),2)*(MAX($H$9,1)),2)</f>
        <v>1180427.9099999999</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8.5</v>
      </c>
      <c r="D15" s="143">
        <v>10.02</v>
      </c>
      <c r="E15" s="116">
        <f t="shared" ref="E15:E29" si="1">IF(D$30=0,C15*2,C15+D15)</f>
        <v>18.52</v>
      </c>
      <c r="F15" s="635">
        <f>'1461'!F15:G15</f>
        <v>1.1220000000000001</v>
      </c>
      <c r="G15" s="635"/>
      <c r="H15" s="80">
        <f t="shared" ref="H15:H29" si="2">ROUND(E15*F15,4)</f>
        <v>20.779399999999999</v>
      </c>
      <c r="I15" s="101">
        <f t="shared" ref="I15:I29" si="3">ROUND(ROUND(ROUND(H15*$C$8,4)*($H$8),2)*(MAX($H$9,1)),2)</f>
        <v>111521.09</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44.99</v>
      </c>
      <c r="D16" s="143">
        <v>45.38</v>
      </c>
      <c r="E16" s="116">
        <f t="shared" si="1"/>
        <v>90.37</v>
      </c>
      <c r="F16" s="635">
        <f>'1461'!F16:G16</f>
        <v>1</v>
      </c>
      <c r="G16" s="635"/>
      <c r="H16" s="80">
        <f t="shared" si="2"/>
        <v>90.37</v>
      </c>
      <c r="I16" s="101">
        <f t="shared" si="3"/>
        <v>485007.3</v>
      </c>
      <c r="N16" s="573" t="s">
        <v>22</v>
      </c>
      <c r="O16" s="573"/>
      <c r="P16" s="614">
        <f t="shared" si="0"/>
        <v>0</v>
      </c>
      <c r="Q16" s="614"/>
      <c r="R16" s="619">
        <v>1</v>
      </c>
      <c r="S16" s="619"/>
      <c r="T16" s="95">
        <f t="shared" si="4"/>
        <v>0</v>
      </c>
      <c r="U16" s="474">
        <f t="shared" si="5"/>
        <v>0</v>
      </c>
    </row>
    <row r="17" spans="1:21" x14ac:dyDescent="0.25">
      <c r="A17" s="550" t="s">
        <v>23</v>
      </c>
      <c r="B17" s="550"/>
      <c r="C17" s="143">
        <v>6.5</v>
      </c>
      <c r="D17" s="143">
        <v>7</v>
      </c>
      <c r="E17" s="116">
        <f t="shared" si="1"/>
        <v>13.5</v>
      </c>
      <c r="F17" s="635">
        <f>'1461'!F17:G17</f>
        <v>1</v>
      </c>
      <c r="G17" s="635"/>
      <c r="H17" s="80">
        <f t="shared" si="2"/>
        <v>13.5</v>
      </c>
      <c r="I17" s="101">
        <f t="shared" si="3"/>
        <v>72453.23</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0</v>
      </c>
      <c r="D18" s="143">
        <v>0</v>
      </c>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0</v>
      </c>
      <c r="D19" s="143">
        <v>0</v>
      </c>
      <c r="E19" s="116">
        <f t="shared" si="1"/>
        <v>0</v>
      </c>
      <c r="F19" s="635">
        <f>'1461'!F19:G19</f>
        <v>0.98799999999999999</v>
      </c>
      <c r="G19" s="635"/>
      <c r="H19" s="80">
        <f t="shared" si="2"/>
        <v>0</v>
      </c>
      <c r="I19" s="101">
        <f t="shared" si="3"/>
        <v>0</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41.75</v>
      </c>
      <c r="D26" s="143">
        <v>41.81</v>
      </c>
      <c r="E26" s="116">
        <f t="shared" si="1"/>
        <v>83.56</v>
      </c>
      <c r="F26" s="635">
        <f>'1461'!F26:G26</f>
        <v>1.208</v>
      </c>
      <c r="G26" s="635"/>
      <c r="H26" s="80">
        <f t="shared" si="2"/>
        <v>100.9405</v>
      </c>
      <c r="I26" s="101">
        <f t="shared" si="3"/>
        <v>541738.18000000005</v>
      </c>
      <c r="N26" s="573" t="s">
        <v>85</v>
      </c>
      <c r="O26" s="573"/>
      <c r="P26" s="614">
        <f t="shared" si="0"/>
        <v>0</v>
      </c>
      <c r="Q26" s="614"/>
      <c r="R26" s="619">
        <v>1</v>
      </c>
      <c r="S26" s="619"/>
      <c r="T26" s="95">
        <f t="shared" si="4"/>
        <v>0</v>
      </c>
      <c r="U26" s="474">
        <f t="shared" si="5"/>
        <v>0</v>
      </c>
    </row>
    <row r="27" spans="1:21" x14ac:dyDescent="0.25">
      <c r="A27" s="550" t="s">
        <v>86</v>
      </c>
      <c r="B27" s="550"/>
      <c r="C27" s="143">
        <v>7.01</v>
      </c>
      <c r="D27" s="143">
        <v>8.1</v>
      </c>
      <c r="E27" s="116">
        <f t="shared" si="1"/>
        <v>15.11</v>
      </c>
      <c r="F27" s="635">
        <f>'1461'!F27:G27</f>
        <v>1.208</v>
      </c>
      <c r="G27" s="635"/>
      <c r="H27" s="80">
        <f t="shared" si="2"/>
        <v>18.2529</v>
      </c>
      <c r="I27" s="101">
        <f t="shared" si="3"/>
        <v>97961.600000000006</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207.5</v>
      </c>
      <c r="D30" s="94">
        <f>SUM(D14:D29)</f>
        <v>209.59</v>
      </c>
      <c r="E30" s="94">
        <f>SUM(E14:E29)</f>
        <v>417.09000000000003</v>
      </c>
      <c r="F30" s="554"/>
      <c r="G30" s="554"/>
      <c r="H30" s="99">
        <f>SUM(H14:H29)</f>
        <v>463.7885</v>
      </c>
      <c r="I30" s="94">
        <f>SUM(I14:I29)</f>
        <v>2489109.31</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42">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44">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44">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44">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44">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36">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463.7885</v>
      </c>
      <c r="F46" s="34"/>
      <c r="G46" s="106"/>
      <c r="H46" s="107" t="s">
        <v>98</v>
      </c>
      <c r="I46" s="94">
        <f>SUM(I44,I30)</f>
        <v>2489109.31</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2489109.31</v>
      </c>
      <c r="G51" s="109" t="s">
        <v>6</v>
      </c>
      <c r="H51" s="402">
        <v>4.5199999999999997E-2</v>
      </c>
      <c r="I51" s="101">
        <f>ROUND(F51*H51,2)</f>
        <v>112507.74</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2489109.31</v>
      </c>
      <c r="G52" s="109" t="s">
        <v>6</v>
      </c>
      <c r="H52" s="402">
        <v>1.41E-2</v>
      </c>
      <c r="I52" s="101">
        <f>ROUND(F52*H52,2)</f>
        <v>35096.44</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147604.18</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7.5</v>
      </c>
      <c r="D57" s="143">
        <v>8.84</v>
      </c>
      <c r="E57" s="116">
        <f t="shared" ref="E57:E65" si="10">IF(D$66=0,C57*2,C57+D57)</f>
        <v>16.34</v>
      </c>
      <c r="F57" s="444" t="s">
        <v>434</v>
      </c>
      <c r="G57" s="444">
        <v>251</v>
      </c>
      <c r="H57" s="458">
        <f>'1461'!H57</f>
        <v>1047</v>
      </c>
      <c r="I57" s="101">
        <f>ROUND(E57*H57,2)</f>
        <v>17107.98</v>
      </c>
      <c r="N57" s="590" t="s">
        <v>442</v>
      </c>
      <c r="O57" s="590"/>
      <c r="P57" s="593"/>
      <c r="Q57" s="593"/>
      <c r="R57" s="450" t="s">
        <v>434</v>
      </c>
      <c r="S57" s="450">
        <v>251</v>
      </c>
      <c r="T57" s="461">
        <f>H57</f>
        <v>1047</v>
      </c>
      <c r="U57" s="475">
        <f>ROUND(P57*T57,2)</f>
        <v>0</v>
      </c>
      <c r="V57" s="425"/>
    </row>
    <row r="58" spans="1:22" x14ac:dyDescent="0.25">
      <c r="A58" s="561"/>
      <c r="B58" s="561"/>
      <c r="C58" s="143">
        <v>1</v>
      </c>
      <c r="D58" s="143">
        <v>1.18</v>
      </c>
      <c r="E58" s="116">
        <f t="shared" si="10"/>
        <v>2.1799999999999997</v>
      </c>
      <c r="F58" s="444" t="s">
        <v>434</v>
      </c>
      <c r="G58" s="444">
        <v>252</v>
      </c>
      <c r="H58" s="458">
        <f>'1461'!H58</f>
        <v>3380</v>
      </c>
      <c r="I58" s="101">
        <f t="shared" ref="I58:I65" si="11">ROUND(E58*H58,2)</f>
        <v>7368.4</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6</v>
      </c>
      <c r="D60" s="143">
        <v>6.46</v>
      </c>
      <c r="E60" s="116">
        <f t="shared" si="10"/>
        <v>12.46</v>
      </c>
      <c r="F60" s="445" t="s">
        <v>13</v>
      </c>
      <c r="G60" s="444">
        <v>251</v>
      </c>
      <c r="H60" s="458">
        <f>'1461'!H60</f>
        <v>1173</v>
      </c>
      <c r="I60" s="101">
        <f t="shared" si="11"/>
        <v>14615.58</v>
      </c>
      <c r="N60" s="591"/>
      <c r="O60" s="591"/>
      <c r="P60" s="594"/>
      <c r="Q60" s="594"/>
      <c r="R60" s="40" t="s">
        <v>13</v>
      </c>
      <c r="S60" s="450">
        <v>251</v>
      </c>
      <c r="T60" s="461">
        <f t="shared" si="12"/>
        <v>1173</v>
      </c>
      <c r="U60" s="475">
        <f t="shared" si="13"/>
        <v>0</v>
      </c>
      <c r="V60" s="425"/>
    </row>
    <row r="61" spans="1:22" x14ac:dyDescent="0.25">
      <c r="A61" s="561"/>
      <c r="B61" s="561"/>
      <c r="C61" s="143">
        <v>0.5</v>
      </c>
      <c r="D61" s="143">
        <v>0.54</v>
      </c>
      <c r="E61" s="116">
        <f t="shared" si="10"/>
        <v>1.04</v>
      </c>
      <c r="F61" s="445" t="s">
        <v>13</v>
      </c>
      <c r="G61" s="444">
        <v>252</v>
      </c>
      <c r="H61" s="458">
        <f>'1461'!H61</f>
        <v>3506</v>
      </c>
      <c r="I61" s="101">
        <f t="shared" si="11"/>
        <v>3646.24</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0</v>
      </c>
      <c r="D63" s="143">
        <v>0</v>
      </c>
      <c r="E63" s="116">
        <f t="shared" si="10"/>
        <v>0</v>
      </c>
      <c r="F63" s="445" t="s">
        <v>14</v>
      </c>
      <c r="G63" s="444">
        <v>251</v>
      </c>
      <c r="H63" s="458">
        <f>'1461'!H63</f>
        <v>835</v>
      </c>
      <c r="I63" s="101">
        <f t="shared" si="11"/>
        <v>0</v>
      </c>
      <c r="N63" s="591"/>
      <c r="O63" s="591"/>
      <c r="P63" s="594"/>
      <c r="Q63" s="594"/>
      <c r="R63" s="40" t="s">
        <v>14</v>
      </c>
      <c r="S63" s="450">
        <v>251</v>
      </c>
      <c r="T63" s="461">
        <f t="shared" si="12"/>
        <v>835</v>
      </c>
      <c r="U63" s="475">
        <f t="shared" si="13"/>
        <v>0</v>
      </c>
      <c r="V63" s="425"/>
    </row>
    <row r="64" spans="1:22" x14ac:dyDescent="0.25">
      <c r="A64" s="561"/>
      <c r="B64" s="561"/>
      <c r="C64" s="143">
        <v>0</v>
      </c>
      <c r="D64" s="143">
        <v>0</v>
      </c>
      <c r="E64" s="116">
        <f t="shared" si="10"/>
        <v>0</v>
      </c>
      <c r="F64" s="445" t="s">
        <v>14</v>
      </c>
      <c r="G64" s="444">
        <v>252</v>
      </c>
      <c r="H64" s="458">
        <f>'1461'!H64</f>
        <v>3168</v>
      </c>
      <c r="I64" s="101">
        <f t="shared" si="11"/>
        <v>0</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15</v>
      </c>
      <c r="D66" s="97">
        <f>SUM(D57:D65)</f>
        <v>17.02</v>
      </c>
      <c r="E66" s="97">
        <f>SUM(E57:E65)</f>
        <v>32.020000000000003</v>
      </c>
      <c r="F66" s="562" t="s">
        <v>443</v>
      </c>
      <c r="G66" s="562"/>
      <c r="H66" s="562"/>
      <c r="I66" s="97">
        <f>SUM(I57:I65)</f>
        <v>42738.2</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417.09000000000003</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2.0669999999999998E-3</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463.7885</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2.042E-3</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417.09000000000003</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2.2369999999999998E-3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417.09000000000003</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2.0699999999999998E-3</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417.09000000000003</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2.2409999999999999E-3</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2.0699999999999998E-3</v>
      </c>
      <c r="I85" s="101">
        <f>ROUND(F85*H85,2)</f>
        <v>91720.23</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53"/>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2.0669999999999998E-3</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2.2409999999999999E-3</v>
      </c>
      <c r="I90" s="101">
        <f>ROUND(F90*H90,2)</f>
        <v>36473.800000000003</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2.2369999999999998E-3</v>
      </c>
      <c r="I92" s="101">
        <f t="shared" ref="I92:I96" si="14">ROUND(F92*H92,2)</f>
        <v>22656.42</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2.042E-3</v>
      </c>
      <c r="I94" s="101">
        <f t="shared" si="14"/>
        <v>488033.25</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2.042E-3</v>
      </c>
      <c r="I96" s="101">
        <f t="shared" si="14"/>
        <v>0</v>
      </c>
      <c r="N96" s="572" t="s">
        <v>418</v>
      </c>
      <c r="O96" s="573"/>
      <c r="P96" s="573"/>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475</v>
      </c>
      <c r="B98" s="512"/>
      <c r="C98" s="512"/>
      <c r="D98" s="512"/>
      <c r="E98" s="510" t="s">
        <v>3</v>
      </c>
      <c r="F98" s="291">
        <v>0</v>
      </c>
      <c r="G98" s="511" t="s">
        <v>6</v>
      </c>
      <c r="H98" s="423">
        <f>H70</f>
        <v>2.0669999999999998E-3</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341.66559999999998</v>
      </c>
      <c r="D104" s="568"/>
      <c r="E104" s="46">
        <f>H8</f>
        <v>1.0442</v>
      </c>
      <c r="F104" s="304">
        <f>'1461'!F104</f>
        <v>947.59</v>
      </c>
      <c r="G104" s="39" t="s">
        <v>12</v>
      </c>
      <c r="H104" s="101">
        <f>ROUND(C104*E104*F104,2)</f>
        <v>338069.05</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122.1229</v>
      </c>
      <c r="D105" s="568"/>
      <c r="E105" s="46">
        <f>H8</f>
        <v>1.0442</v>
      </c>
      <c r="F105" s="304">
        <f>'1461'!F105</f>
        <v>904.74</v>
      </c>
      <c r="G105" s="39" t="s">
        <v>12</v>
      </c>
      <c r="H105" s="101">
        <f>ROUND(C105*E105*F105,2)</f>
        <v>115373.11</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0</v>
      </c>
      <c r="D106" s="568"/>
      <c r="E106" s="46">
        <f>H8</f>
        <v>1.0442</v>
      </c>
      <c r="F106" s="304">
        <f>'1461'!F106</f>
        <v>906.93</v>
      </c>
      <c r="G106" s="39" t="s">
        <v>12</v>
      </c>
      <c r="H106" s="94">
        <f>ROUND(C106*E106*F106,2)</f>
        <v>0</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463.7885</v>
      </c>
      <c r="D107" s="558"/>
      <c r="E107" s="123"/>
      <c r="F107" s="123"/>
      <c r="G107" s="123"/>
      <c r="H107" s="124" t="s">
        <v>100</v>
      </c>
      <c r="I107" s="101">
        <f>IF(A1=75,0,H106+H105+H104)</f>
        <v>453442.16</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2</v>
      </c>
      <c r="D113" s="143">
        <v>0</v>
      </c>
      <c r="E113" s="144">
        <f>C113</f>
        <v>2</v>
      </c>
      <c r="F113" s="126" t="s">
        <v>30</v>
      </c>
      <c r="G113" s="305">
        <f>'1461'!G113</f>
        <v>548</v>
      </c>
      <c r="I113" s="101">
        <f>ROUND(G113*E113,2)</f>
        <v>1096</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44">
        <f>C114</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42">
        <f>IF(D30=0,C121*2,C121+D121)</f>
        <v>0</v>
      </c>
      <c r="F121" s="647">
        <v>0</v>
      </c>
      <c r="G121" s="647"/>
      <c r="H121" s="61">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44">
        <f>IF(D31=0,C122*2,C122+D122)</f>
        <v>0</v>
      </c>
      <c r="F122" s="570">
        <f>ROUND(F121/2,2)</f>
        <v>0</v>
      </c>
      <c r="G122" s="570"/>
      <c r="H122" s="61">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44">
        <f>IF(D32=0,C123*2,C123+D123)</f>
        <v>0</v>
      </c>
      <c r="F123" s="571"/>
      <c r="G123" s="571"/>
      <c r="H123" s="63">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3625269.37</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3477665.19</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3477665.19</v>
      </c>
      <c r="I135" s="94">
        <f>ROUND(IF(E30=0,0,IF(E30&gt;250,-(((250/E30)*H135)*IF(G135="H",0.02,0.05)),IF(G135="H",-0.02*H135,-0.05*H135))),2)</f>
        <v>-104224.06</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3521045.31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-587523.82-286572.12-286572.12-286572.12-286572.12-292962.49-293833.35-294987.28</f>
        <v>-2615595.42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905449.89000000013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301816.63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69659.199999999997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A126:C126"/>
    <mergeCell ref="F126:H126"/>
    <mergeCell ref="N130:T130"/>
    <mergeCell ref="A128:H128"/>
    <mergeCell ref="A132:G132"/>
    <mergeCell ref="N135:U135"/>
    <mergeCell ref="A133:G133"/>
    <mergeCell ref="N136:U136"/>
    <mergeCell ref="N126:P126"/>
    <mergeCell ref="N132:T132"/>
    <mergeCell ref="N133:T133"/>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9">
    <tabColor rgb="FFFFCCCC"/>
  </sheetPr>
  <dimension ref="A1:V221"/>
  <sheetViews>
    <sheetView topLeftCell="A114" workbookViewId="0">
      <selection activeCell="E57" sqref="E5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266</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7"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0</v>
      </c>
      <c r="D14" s="141">
        <v>0</v>
      </c>
      <c r="E14" s="187">
        <f>IF(D$30=0,C14*2,C14+D14)</f>
        <v>0</v>
      </c>
      <c r="F14" s="639">
        <f>'1461'!F14:G14</f>
        <v>1.1220000000000001</v>
      </c>
      <c r="G14" s="639"/>
      <c r="H14" s="145">
        <f>ROUND(E14*F14,4)</f>
        <v>0</v>
      </c>
      <c r="I14" s="111">
        <f>ROUND(ROUND(ROUND(H14*$C$8,4)*($H$8),2)*(MAX($H$9,1)),2)</f>
        <v>0</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0.5</v>
      </c>
      <c r="D15" s="143">
        <v>1</v>
      </c>
      <c r="E15" s="116">
        <f t="shared" ref="E15:E29" si="1">IF(D$30=0,C15*2,C15+D15)</f>
        <v>1.5</v>
      </c>
      <c r="F15" s="635">
        <f>'1461'!F15:G15</f>
        <v>1.1220000000000001</v>
      </c>
      <c r="G15" s="635"/>
      <c r="H15" s="80">
        <f t="shared" ref="H15:H29" si="2">ROUND(E15*F15,4)</f>
        <v>1.6830000000000001</v>
      </c>
      <c r="I15" s="101">
        <f t="shared" ref="I15:I29" si="3">ROUND(ROUND(ROUND(H15*$C$8,4)*($H$8),2)*(MAX($H$9,1)),2)</f>
        <v>9032.5</v>
      </c>
      <c r="J15" s="65" t="str">
        <f>IF(ROUND(E15,2)=ROUND(SUM(E57:E59),2)," ","CHECK PK-3 LINES BELOW")</f>
        <v xml:space="preserve"> </v>
      </c>
      <c r="N15" s="573" t="s">
        <v>21</v>
      </c>
      <c r="O15" s="573"/>
      <c r="P15" s="614">
        <f t="shared" si="0"/>
        <v>1.5</v>
      </c>
      <c r="Q15" s="614"/>
      <c r="R15" s="619">
        <v>1</v>
      </c>
      <c r="S15" s="619"/>
      <c r="T15" s="95">
        <f t="shared" ref="T15:T29" si="4">ROUND(P15*R15,4)</f>
        <v>1.5</v>
      </c>
      <c r="U15" s="474">
        <f t="shared" ref="U15:U29" si="5">ROUND(ROUND(ROUND(T15*$C$8,4)*($H$8),2)*(MAX($H$9,1)),2)</f>
        <v>8050.36</v>
      </c>
    </row>
    <row r="16" spans="1:21" x14ac:dyDescent="0.25">
      <c r="A16" s="550" t="s">
        <v>22</v>
      </c>
      <c r="B16" s="550"/>
      <c r="C16" s="143">
        <v>0</v>
      </c>
      <c r="D16" s="143">
        <v>0</v>
      </c>
      <c r="E16" s="116">
        <f t="shared" si="1"/>
        <v>0</v>
      </c>
      <c r="F16" s="635">
        <f>'1461'!F16:G16</f>
        <v>1</v>
      </c>
      <c r="G16" s="635"/>
      <c r="H16" s="80">
        <f t="shared" si="2"/>
        <v>0</v>
      </c>
      <c r="I16" s="101">
        <f t="shared" si="3"/>
        <v>0</v>
      </c>
      <c r="N16" s="573" t="s">
        <v>22</v>
      </c>
      <c r="O16" s="573"/>
      <c r="P16" s="614">
        <f t="shared" si="0"/>
        <v>0</v>
      </c>
      <c r="Q16" s="614"/>
      <c r="R16" s="619">
        <v>1</v>
      </c>
      <c r="S16" s="619"/>
      <c r="T16" s="95">
        <f t="shared" si="4"/>
        <v>0</v>
      </c>
      <c r="U16" s="474">
        <f t="shared" si="5"/>
        <v>0</v>
      </c>
    </row>
    <row r="17" spans="1:21" x14ac:dyDescent="0.25">
      <c r="A17" s="550" t="s">
        <v>23</v>
      </c>
      <c r="B17" s="550"/>
      <c r="C17" s="143">
        <v>1.5</v>
      </c>
      <c r="D17" s="143">
        <v>1.5</v>
      </c>
      <c r="E17" s="116">
        <f t="shared" si="1"/>
        <v>3</v>
      </c>
      <c r="F17" s="635">
        <f>'1461'!F17:G17</f>
        <v>1</v>
      </c>
      <c r="G17" s="635"/>
      <c r="H17" s="80">
        <f t="shared" si="2"/>
        <v>3</v>
      </c>
      <c r="I17" s="101">
        <f t="shared" si="3"/>
        <v>16100.72</v>
      </c>
      <c r="J17" s="65" t="str">
        <f>IF(ROUND(E17,2)=ROUND(SUM(E60:E62),2)," ","CHECK 4-8 LINES BELOW")</f>
        <v xml:space="preserve"> </v>
      </c>
      <c r="N17" s="573" t="s">
        <v>23</v>
      </c>
      <c r="O17" s="573"/>
      <c r="P17" s="614">
        <f t="shared" si="0"/>
        <v>3</v>
      </c>
      <c r="Q17" s="614"/>
      <c r="R17" s="619">
        <v>1</v>
      </c>
      <c r="S17" s="619"/>
      <c r="T17" s="95">
        <f t="shared" si="4"/>
        <v>3</v>
      </c>
      <c r="U17" s="474">
        <f t="shared" si="5"/>
        <v>16100.72</v>
      </c>
    </row>
    <row r="18" spans="1:21" x14ac:dyDescent="0.25">
      <c r="A18" s="550" t="s">
        <v>24</v>
      </c>
      <c r="B18" s="550"/>
      <c r="C18" s="143">
        <v>0</v>
      </c>
      <c r="D18" s="143">
        <v>0</v>
      </c>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0</v>
      </c>
      <c r="D19" s="143">
        <v>0</v>
      </c>
      <c r="E19" s="116">
        <f t="shared" si="1"/>
        <v>0</v>
      </c>
      <c r="F19" s="635">
        <f>'1461'!F19:G19</f>
        <v>0.98799999999999999</v>
      </c>
      <c r="G19" s="635"/>
      <c r="H19" s="80">
        <f t="shared" si="2"/>
        <v>0</v>
      </c>
      <c r="I19" s="101">
        <f t="shared" si="3"/>
        <v>0</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10.5</v>
      </c>
      <c r="D20" s="143">
        <v>11</v>
      </c>
      <c r="E20" s="116">
        <f t="shared" si="1"/>
        <v>21.5</v>
      </c>
      <c r="F20" s="635">
        <f>'1461'!F20:G20</f>
        <v>3.706</v>
      </c>
      <c r="G20" s="635"/>
      <c r="H20" s="80">
        <f t="shared" si="2"/>
        <v>79.679000000000002</v>
      </c>
      <c r="I20" s="101">
        <f t="shared" si="3"/>
        <v>427629.71</v>
      </c>
      <c r="N20" s="573" t="s">
        <v>79</v>
      </c>
      <c r="O20" s="573"/>
      <c r="P20" s="614">
        <f t="shared" si="0"/>
        <v>21.5</v>
      </c>
      <c r="Q20" s="614"/>
      <c r="R20" s="619">
        <v>1</v>
      </c>
      <c r="S20" s="619"/>
      <c r="T20" s="95">
        <f t="shared" si="4"/>
        <v>21.5</v>
      </c>
      <c r="U20" s="474">
        <f t="shared" si="5"/>
        <v>115388.48</v>
      </c>
    </row>
    <row r="21" spans="1:21" x14ac:dyDescent="0.25">
      <c r="A21" s="550" t="s">
        <v>80</v>
      </c>
      <c r="B21" s="550"/>
      <c r="C21" s="143">
        <v>10</v>
      </c>
      <c r="D21" s="143">
        <v>9.5</v>
      </c>
      <c r="E21" s="116">
        <f t="shared" si="1"/>
        <v>19.5</v>
      </c>
      <c r="F21" s="635">
        <f>'1461'!F21:G21</f>
        <v>3.706</v>
      </c>
      <c r="G21" s="635"/>
      <c r="H21" s="80">
        <f t="shared" si="2"/>
        <v>72.266999999999996</v>
      </c>
      <c r="I21" s="101">
        <f t="shared" si="3"/>
        <v>387850.2</v>
      </c>
      <c r="N21" s="573" t="s">
        <v>80</v>
      </c>
      <c r="O21" s="573"/>
      <c r="P21" s="614">
        <f t="shared" si="0"/>
        <v>19.5</v>
      </c>
      <c r="Q21" s="614"/>
      <c r="R21" s="619">
        <v>1</v>
      </c>
      <c r="S21" s="619"/>
      <c r="T21" s="95">
        <f t="shared" si="4"/>
        <v>19.5</v>
      </c>
      <c r="U21" s="474">
        <f t="shared" si="5"/>
        <v>104654.67</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13</v>
      </c>
      <c r="D23" s="143">
        <v>13.5</v>
      </c>
      <c r="E23" s="116">
        <f t="shared" si="1"/>
        <v>26.5</v>
      </c>
      <c r="F23" s="635">
        <f>'1461'!F23:G23</f>
        <v>5.7069999999999999</v>
      </c>
      <c r="G23" s="635"/>
      <c r="H23" s="80">
        <f t="shared" si="2"/>
        <v>151.2355</v>
      </c>
      <c r="I23" s="101">
        <f t="shared" si="3"/>
        <v>811666.72</v>
      </c>
      <c r="N23" s="573" t="s">
        <v>82</v>
      </c>
      <c r="O23" s="573"/>
      <c r="P23" s="614">
        <f t="shared" si="0"/>
        <v>26.5</v>
      </c>
      <c r="Q23" s="614"/>
      <c r="R23" s="619">
        <v>1</v>
      </c>
      <c r="S23" s="619"/>
      <c r="T23" s="95">
        <f t="shared" si="4"/>
        <v>26.5</v>
      </c>
      <c r="U23" s="474">
        <f t="shared" si="5"/>
        <v>142223.01</v>
      </c>
    </row>
    <row r="24" spans="1:21" x14ac:dyDescent="0.25">
      <c r="A24" s="550" t="s">
        <v>83</v>
      </c>
      <c r="B24" s="550"/>
      <c r="C24" s="143">
        <v>9</v>
      </c>
      <c r="D24" s="143">
        <v>8.5</v>
      </c>
      <c r="E24" s="116">
        <f t="shared" si="1"/>
        <v>17.5</v>
      </c>
      <c r="F24" s="635">
        <f>'1461'!F24:G24</f>
        <v>5.7069999999999999</v>
      </c>
      <c r="G24" s="635"/>
      <c r="H24" s="80">
        <f t="shared" si="2"/>
        <v>99.872500000000002</v>
      </c>
      <c r="I24" s="101">
        <f t="shared" si="3"/>
        <v>536006.32999999996</v>
      </c>
      <c r="N24" s="573" t="s">
        <v>83</v>
      </c>
      <c r="O24" s="573"/>
      <c r="P24" s="614">
        <f t="shared" si="0"/>
        <v>17.5</v>
      </c>
      <c r="Q24" s="614"/>
      <c r="R24" s="619">
        <v>1</v>
      </c>
      <c r="S24" s="619"/>
      <c r="T24" s="95">
        <f t="shared" si="4"/>
        <v>17.5</v>
      </c>
      <c r="U24" s="474">
        <f t="shared" si="5"/>
        <v>93920.86</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0</v>
      </c>
      <c r="D26" s="143">
        <v>0</v>
      </c>
      <c r="E26" s="116">
        <f t="shared" si="1"/>
        <v>0</v>
      </c>
      <c r="F26" s="635">
        <f>'1461'!F26:G26</f>
        <v>1.208</v>
      </c>
      <c r="G26" s="635"/>
      <c r="H26" s="80">
        <f t="shared" si="2"/>
        <v>0</v>
      </c>
      <c r="I26" s="101">
        <f t="shared" si="3"/>
        <v>0</v>
      </c>
      <c r="N26" s="573" t="s">
        <v>85</v>
      </c>
      <c r="O26" s="573"/>
      <c r="P26" s="614">
        <f t="shared" si="0"/>
        <v>0</v>
      </c>
      <c r="Q26" s="614"/>
      <c r="R26" s="619">
        <v>1</v>
      </c>
      <c r="S26" s="619"/>
      <c r="T26" s="95">
        <f t="shared" si="4"/>
        <v>0</v>
      </c>
      <c r="U26" s="474">
        <f t="shared" si="5"/>
        <v>0</v>
      </c>
    </row>
    <row r="27" spans="1:21" x14ac:dyDescent="0.25">
      <c r="A27" s="550" t="s">
        <v>86</v>
      </c>
      <c r="B27" s="550"/>
      <c r="C27" s="143">
        <v>0</v>
      </c>
      <c r="D27" s="143">
        <v>0</v>
      </c>
      <c r="E27" s="116">
        <f t="shared" si="1"/>
        <v>0</v>
      </c>
      <c r="F27" s="635">
        <f>'1461'!F27:G27</f>
        <v>1.208</v>
      </c>
      <c r="G27" s="635"/>
      <c r="H27" s="80">
        <f t="shared" si="2"/>
        <v>0</v>
      </c>
      <c r="I27" s="101">
        <f t="shared" si="3"/>
        <v>0</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44.5</v>
      </c>
      <c r="D30" s="94">
        <f>SUM(D14:D29)</f>
        <v>45</v>
      </c>
      <c r="E30" s="94">
        <f>SUM(E14:E29)</f>
        <v>89.5</v>
      </c>
      <c r="F30" s="554"/>
      <c r="G30" s="554"/>
      <c r="H30" s="99">
        <f>SUM(H14:H29)</f>
        <v>407.73700000000002</v>
      </c>
      <c r="I30" s="94">
        <f>SUM(I14:I29)</f>
        <v>2188286.1800000002</v>
      </c>
      <c r="N30" s="616" t="s">
        <v>5</v>
      </c>
      <c r="O30" s="616"/>
      <c r="P30" s="617">
        <f>SUM(P14:P29)</f>
        <v>89.5</v>
      </c>
      <c r="Q30" s="617"/>
      <c r="R30" s="589"/>
      <c r="S30" s="589"/>
      <c r="T30" s="100">
        <f>SUM(T14:T29)</f>
        <v>89.5</v>
      </c>
      <c r="U30" s="474">
        <f>SUM(U14:U29)</f>
        <v>480338.1</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42">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44">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44">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44">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44">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36">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407.73700000000002</v>
      </c>
      <c r="F46" s="34"/>
      <c r="G46" s="106"/>
      <c r="H46" s="107" t="s">
        <v>98</v>
      </c>
      <c r="I46" s="94">
        <f>SUM(I44,I30)</f>
        <v>2188286.1800000002</v>
      </c>
      <c r="N46" s="575" t="s">
        <v>44</v>
      </c>
      <c r="O46" s="575"/>
      <c r="P46" s="575"/>
      <c r="Q46" s="575"/>
      <c r="R46" s="35">
        <f>R44+T30</f>
        <v>89.5</v>
      </c>
      <c r="S46" s="589" t="s">
        <v>42</v>
      </c>
      <c r="T46" s="589"/>
      <c r="U46" s="108">
        <f>SUM(U44,U30)</f>
        <v>480338.1</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2188286.1800000002</v>
      </c>
      <c r="G51" s="109" t="s">
        <v>6</v>
      </c>
      <c r="H51" s="402">
        <v>4.5199999999999997E-2</v>
      </c>
      <c r="I51" s="101">
        <f>ROUND(F51*H51,2)</f>
        <v>98910.54</v>
      </c>
      <c r="N51" s="407"/>
      <c r="O51" s="408" t="s">
        <v>394</v>
      </c>
      <c r="P51" s="28"/>
      <c r="Q51" s="44" t="s">
        <v>395</v>
      </c>
      <c r="R51" s="409">
        <f>U30</f>
        <v>480338.1</v>
      </c>
      <c r="S51" s="410" t="s">
        <v>6</v>
      </c>
      <c r="T51" s="411">
        <v>4.5199999999999997E-2</v>
      </c>
      <c r="U51" s="403">
        <f>ROUND(R51*T51,2)</f>
        <v>21711.279999999999</v>
      </c>
    </row>
    <row r="52" spans="1:22" x14ac:dyDescent="0.25">
      <c r="A52" s="26"/>
      <c r="B52" s="81" t="s">
        <v>396</v>
      </c>
      <c r="C52" s="26"/>
      <c r="D52" s="26"/>
      <c r="E52" s="43" t="s">
        <v>395</v>
      </c>
      <c r="F52" s="401">
        <f>I46</f>
        <v>2188286.1800000002</v>
      </c>
      <c r="G52" s="109" t="s">
        <v>6</v>
      </c>
      <c r="H52" s="402">
        <v>1.41E-2</v>
      </c>
      <c r="I52" s="101">
        <f>ROUND(F52*H52,2)</f>
        <v>30854.84</v>
      </c>
      <c r="N52" s="28"/>
      <c r="O52" s="384" t="s">
        <v>396</v>
      </c>
      <c r="P52" s="28"/>
      <c r="Q52" s="44" t="s">
        <v>395</v>
      </c>
      <c r="R52" s="409">
        <f>U30</f>
        <v>480338.1</v>
      </c>
      <c r="S52" s="410" t="s">
        <v>6</v>
      </c>
      <c r="T52" s="411">
        <v>1.41E-2</v>
      </c>
      <c r="U52" s="412">
        <f>ROUND(R52*T52,2)</f>
        <v>6772.77</v>
      </c>
    </row>
    <row r="53" spans="1:22" x14ac:dyDescent="0.25">
      <c r="A53" s="26"/>
      <c r="B53" s="81" t="s">
        <v>397</v>
      </c>
      <c r="C53" s="26"/>
      <c r="D53" s="26"/>
      <c r="E53" s="43"/>
      <c r="F53" s="401"/>
      <c r="G53" s="109"/>
      <c r="H53" s="402"/>
      <c r="I53" s="97">
        <f>SUM(I51:I52)</f>
        <v>129765.37999999999</v>
      </c>
      <c r="N53" s="28"/>
      <c r="O53" s="384" t="s">
        <v>397</v>
      </c>
      <c r="P53" s="28"/>
      <c r="Q53" s="44"/>
      <c r="R53" s="409"/>
      <c r="S53" s="410"/>
      <c r="T53" s="411"/>
      <c r="U53" s="403">
        <f>SUM(U51:U52)</f>
        <v>28484.05</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0</v>
      </c>
      <c r="D57" s="143">
        <v>0</v>
      </c>
      <c r="E57" s="116">
        <f t="shared" ref="E57:E65" si="10">IF(D$66=0,C57*2,C57+D57)</f>
        <v>0</v>
      </c>
      <c r="F57" s="444" t="s">
        <v>434</v>
      </c>
      <c r="G57" s="444">
        <v>251</v>
      </c>
      <c r="H57" s="458">
        <f>'1461'!H57</f>
        <v>1047</v>
      </c>
      <c r="I57" s="101">
        <f>ROUND(E57*H57,2)</f>
        <v>0</v>
      </c>
      <c r="N57" s="590" t="s">
        <v>442</v>
      </c>
      <c r="O57" s="590"/>
      <c r="P57" s="593"/>
      <c r="Q57" s="593"/>
      <c r="R57" s="450" t="s">
        <v>434</v>
      </c>
      <c r="S57" s="450">
        <v>251</v>
      </c>
      <c r="T57" s="461">
        <f>H57</f>
        <v>1047</v>
      </c>
      <c r="U57" s="475">
        <f>ROUND(P57*T57,2)</f>
        <v>0</v>
      </c>
      <c r="V57" s="425"/>
    </row>
    <row r="58" spans="1:22" x14ac:dyDescent="0.25">
      <c r="A58" s="561"/>
      <c r="B58" s="561"/>
      <c r="C58" s="143">
        <v>0</v>
      </c>
      <c r="D58" s="143">
        <v>0</v>
      </c>
      <c r="E58" s="116">
        <f t="shared" si="10"/>
        <v>0</v>
      </c>
      <c r="F58" s="444" t="s">
        <v>434</v>
      </c>
      <c r="G58" s="444">
        <v>252</v>
      </c>
      <c r="H58" s="458">
        <f>'1461'!H58</f>
        <v>3380</v>
      </c>
      <c r="I58" s="101">
        <f t="shared" ref="I58:I65" si="11">ROUND(E58*H58,2)</f>
        <v>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0.5</v>
      </c>
      <c r="D59" s="143">
        <v>1</v>
      </c>
      <c r="E59" s="116">
        <f t="shared" si="10"/>
        <v>1.5</v>
      </c>
      <c r="F59" s="444" t="s">
        <v>434</v>
      </c>
      <c r="G59" s="444">
        <v>253</v>
      </c>
      <c r="H59" s="458">
        <f>'1461'!H59</f>
        <v>6896</v>
      </c>
      <c r="I59" s="101">
        <f t="shared" si="11"/>
        <v>10344</v>
      </c>
      <c r="N59" s="591"/>
      <c r="O59" s="591"/>
      <c r="P59" s="594"/>
      <c r="Q59" s="594"/>
      <c r="R59" s="450" t="s">
        <v>434</v>
      </c>
      <c r="S59" s="450">
        <v>253</v>
      </c>
      <c r="T59" s="461">
        <f t="shared" si="12"/>
        <v>6896</v>
      </c>
      <c r="U59" s="475">
        <f t="shared" si="13"/>
        <v>0</v>
      </c>
      <c r="V59" s="425"/>
    </row>
    <row r="60" spans="1:22" x14ac:dyDescent="0.25">
      <c r="A60" s="561"/>
      <c r="B60" s="561"/>
      <c r="C60" s="143">
        <v>0</v>
      </c>
      <c r="D60" s="143">
        <v>0</v>
      </c>
      <c r="E60" s="116">
        <f t="shared" si="10"/>
        <v>0</v>
      </c>
      <c r="F60" s="445" t="s">
        <v>13</v>
      </c>
      <c r="G60" s="444">
        <v>251</v>
      </c>
      <c r="H60" s="458">
        <f>'1461'!H60</f>
        <v>1173</v>
      </c>
      <c r="I60" s="101">
        <f t="shared" si="11"/>
        <v>0</v>
      </c>
      <c r="N60" s="591"/>
      <c r="O60" s="591"/>
      <c r="P60" s="594"/>
      <c r="Q60" s="594"/>
      <c r="R60" s="40" t="s">
        <v>13</v>
      </c>
      <c r="S60" s="450">
        <v>251</v>
      </c>
      <c r="T60" s="461">
        <f t="shared" si="12"/>
        <v>1173</v>
      </c>
      <c r="U60" s="475">
        <f t="shared" si="13"/>
        <v>0</v>
      </c>
      <c r="V60" s="425"/>
    </row>
    <row r="61" spans="1:22" x14ac:dyDescent="0.25">
      <c r="A61" s="561"/>
      <c r="B61" s="561"/>
      <c r="C61" s="143">
        <v>0</v>
      </c>
      <c r="D61" s="143">
        <v>0</v>
      </c>
      <c r="E61" s="116">
        <f t="shared" si="10"/>
        <v>0</v>
      </c>
      <c r="F61" s="445" t="s">
        <v>13</v>
      </c>
      <c r="G61" s="444">
        <v>252</v>
      </c>
      <c r="H61" s="458">
        <f>'1461'!H61</f>
        <v>3506</v>
      </c>
      <c r="I61" s="101">
        <f t="shared" si="11"/>
        <v>0</v>
      </c>
      <c r="N61" s="591"/>
      <c r="O61" s="591"/>
      <c r="P61" s="594"/>
      <c r="Q61" s="594"/>
      <c r="R61" s="40" t="s">
        <v>13</v>
      </c>
      <c r="S61" s="450">
        <v>252</v>
      </c>
      <c r="T61" s="461">
        <f t="shared" si="12"/>
        <v>3506</v>
      </c>
      <c r="U61" s="475">
        <f t="shared" si="13"/>
        <v>0</v>
      </c>
      <c r="V61" s="425"/>
    </row>
    <row r="62" spans="1:22" x14ac:dyDescent="0.25">
      <c r="A62" s="561"/>
      <c r="B62" s="561"/>
      <c r="C62" s="143">
        <v>1.5</v>
      </c>
      <c r="D62" s="143">
        <v>1.5</v>
      </c>
      <c r="E62" s="116">
        <f t="shared" si="10"/>
        <v>3</v>
      </c>
      <c r="F62" s="445" t="s">
        <v>13</v>
      </c>
      <c r="G62" s="444">
        <v>253</v>
      </c>
      <c r="H62" s="458">
        <f>'1461'!H62</f>
        <v>7023</v>
      </c>
      <c r="I62" s="101">
        <f t="shared" si="11"/>
        <v>21069</v>
      </c>
      <c r="N62" s="591"/>
      <c r="O62" s="591"/>
      <c r="P62" s="594"/>
      <c r="Q62" s="594"/>
      <c r="R62" s="40" t="s">
        <v>13</v>
      </c>
      <c r="S62" s="450">
        <v>253</v>
      </c>
      <c r="T62" s="461">
        <f t="shared" si="12"/>
        <v>7023</v>
      </c>
      <c r="U62" s="475">
        <f t="shared" si="13"/>
        <v>0</v>
      </c>
      <c r="V62" s="425"/>
    </row>
    <row r="63" spans="1:22" x14ac:dyDescent="0.25">
      <c r="A63" s="561"/>
      <c r="B63" s="561"/>
      <c r="C63" s="143">
        <v>0</v>
      </c>
      <c r="D63" s="143">
        <v>0</v>
      </c>
      <c r="E63" s="116">
        <f t="shared" si="10"/>
        <v>0</v>
      </c>
      <c r="F63" s="445" t="s">
        <v>14</v>
      </c>
      <c r="G63" s="444">
        <v>251</v>
      </c>
      <c r="H63" s="458">
        <f>'1461'!H63</f>
        <v>835</v>
      </c>
      <c r="I63" s="101">
        <f t="shared" si="11"/>
        <v>0</v>
      </c>
      <c r="N63" s="591"/>
      <c r="O63" s="591"/>
      <c r="P63" s="594"/>
      <c r="Q63" s="594"/>
      <c r="R63" s="40" t="s">
        <v>14</v>
      </c>
      <c r="S63" s="450">
        <v>251</v>
      </c>
      <c r="T63" s="461">
        <f t="shared" si="12"/>
        <v>835</v>
      </c>
      <c r="U63" s="475">
        <f t="shared" si="13"/>
        <v>0</v>
      </c>
      <c r="V63" s="425"/>
    </row>
    <row r="64" spans="1:22" x14ac:dyDescent="0.25">
      <c r="A64" s="561"/>
      <c r="B64" s="561"/>
      <c r="C64" s="143">
        <v>0</v>
      </c>
      <c r="D64" s="143">
        <v>0</v>
      </c>
      <c r="E64" s="116">
        <f t="shared" si="10"/>
        <v>0</v>
      </c>
      <c r="F64" s="445" t="s">
        <v>14</v>
      </c>
      <c r="G64" s="444">
        <v>252</v>
      </c>
      <c r="H64" s="458">
        <f>'1461'!H64</f>
        <v>3168</v>
      </c>
      <c r="I64" s="101">
        <f t="shared" si="11"/>
        <v>0</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2</v>
      </c>
      <c r="D66" s="97">
        <f>SUM(D57:D65)</f>
        <v>2.5</v>
      </c>
      <c r="E66" s="97">
        <f>SUM(E57:E65)</f>
        <v>4.5</v>
      </c>
      <c r="F66" s="562" t="s">
        <v>443</v>
      </c>
      <c r="G66" s="562"/>
      <c r="H66" s="562"/>
      <c r="I66" s="97">
        <f>SUM(I57:I65)</f>
        <v>31413</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89.5</v>
      </c>
      <c r="D69" s="537" t="s">
        <v>409</v>
      </c>
      <c r="E69" s="537"/>
      <c r="F69" s="537"/>
      <c r="G69" s="537"/>
      <c r="H69" s="301">
        <f>'1461'!H69</f>
        <v>201799.89</v>
      </c>
      <c r="I69" s="113"/>
      <c r="N69" s="572" t="s">
        <v>402</v>
      </c>
      <c r="O69" s="573"/>
      <c r="P69" s="41">
        <f>P30</f>
        <v>89.5</v>
      </c>
      <c r="Q69" s="578" t="s">
        <v>404</v>
      </c>
      <c r="R69" s="579"/>
      <c r="S69" s="579"/>
      <c r="T69" s="576">
        <f>H69</f>
        <v>201799.89</v>
      </c>
      <c r="U69" s="576"/>
    </row>
    <row r="70" spans="1:22" x14ac:dyDescent="0.25">
      <c r="B70" s="69"/>
      <c r="G70" s="42" t="s">
        <v>12</v>
      </c>
      <c r="H70" s="114">
        <f>ROUND(C69/H69,6)</f>
        <v>4.44E-4</v>
      </c>
      <c r="I70" s="115"/>
      <c r="N70" s="573"/>
      <c r="O70" s="573"/>
      <c r="P70" s="573"/>
      <c r="Q70" s="573"/>
      <c r="R70" s="573"/>
      <c r="S70" s="573"/>
      <c r="T70" s="577">
        <f>ROUND(P69/T69,6)</f>
        <v>4.44E-4</v>
      </c>
      <c r="U70" s="577"/>
    </row>
    <row r="71" spans="1:22" x14ac:dyDescent="0.25">
      <c r="A71" s="443" t="s">
        <v>446</v>
      </c>
      <c r="N71" s="454" t="s">
        <v>454</v>
      </c>
      <c r="O71" s="51"/>
      <c r="P71" s="51"/>
      <c r="Q71" s="51"/>
      <c r="R71" s="51"/>
      <c r="S71" s="51"/>
      <c r="T71" s="51"/>
      <c r="U71" s="51"/>
    </row>
    <row r="72" spans="1:22" x14ac:dyDescent="0.25">
      <c r="A72" s="556" t="s">
        <v>399</v>
      </c>
      <c r="B72" s="550"/>
      <c r="C72" s="112">
        <f>H30</f>
        <v>407.73700000000002</v>
      </c>
      <c r="D72" s="537" t="s">
        <v>410</v>
      </c>
      <c r="E72" s="537"/>
      <c r="F72" s="537"/>
      <c r="G72" s="537"/>
      <c r="H72" s="302">
        <f>'1461'!H72</f>
        <v>227090.59</v>
      </c>
      <c r="I72" s="116"/>
      <c r="N72" s="572" t="s">
        <v>403</v>
      </c>
      <c r="O72" s="573"/>
      <c r="P72" s="41">
        <f>T30</f>
        <v>89.5</v>
      </c>
      <c r="Q72" s="578" t="s">
        <v>405</v>
      </c>
      <c r="R72" s="579"/>
      <c r="S72" s="579"/>
      <c r="T72" s="576">
        <f>H72</f>
        <v>227090.59</v>
      </c>
      <c r="U72" s="576"/>
    </row>
    <row r="73" spans="1:22" x14ac:dyDescent="0.25">
      <c r="G73" s="42" t="s">
        <v>12</v>
      </c>
      <c r="H73" s="114">
        <f>ROUND(C72/H72,6)</f>
        <v>1.7949999999999999E-3</v>
      </c>
      <c r="I73" s="114"/>
      <c r="N73" s="573"/>
      <c r="O73" s="573"/>
      <c r="P73" s="573"/>
      <c r="Q73" s="573"/>
      <c r="R73" s="573"/>
      <c r="S73" s="573"/>
      <c r="T73" s="577">
        <f>ROUND(P72/T72,6)</f>
        <v>3.9399999999999998E-4</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89.5</v>
      </c>
      <c r="D75" s="529" t="s">
        <v>411</v>
      </c>
      <c r="E75" s="529"/>
      <c r="F75" s="529"/>
      <c r="G75" s="529"/>
      <c r="H75" s="301">
        <f>'1461'!H75</f>
        <v>186438.39</v>
      </c>
      <c r="I75" s="113"/>
      <c r="N75" s="572" t="s">
        <v>401</v>
      </c>
      <c r="O75" s="573"/>
      <c r="P75" s="41">
        <f>P30</f>
        <v>89.5</v>
      </c>
      <c r="Q75" s="608" t="s">
        <v>406</v>
      </c>
      <c r="R75" s="609"/>
      <c r="S75" s="609"/>
      <c r="T75" s="576">
        <f>H75</f>
        <v>186438.39</v>
      </c>
      <c r="U75" s="576"/>
    </row>
    <row r="76" spans="1:22" x14ac:dyDescent="0.25">
      <c r="B76" s="69"/>
      <c r="G76" s="42" t="s">
        <v>12</v>
      </c>
      <c r="H76" s="114">
        <f>ROUND(C75/H75,6)</f>
        <v>4.8000000000000001E-4</v>
      </c>
      <c r="I76" s="115"/>
      <c r="N76" s="573"/>
      <c r="O76" s="573"/>
      <c r="P76" s="573"/>
      <c r="Q76" s="573"/>
      <c r="R76" s="573"/>
      <c r="S76" s="573"/>
      <c r="T76" s="577">
        <f>ROUND(P75/T75,6)</f>
        <v>4.8000000000000001E-4</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89.5</v>
      </c>
      <c r="D78" s="557" t="s">
        <v>412</v>
      </c>
      <c r="E78" s="557"/>
      <c r="F78" s="557"/>
      <c r="G78" s="557"/>
      <c r="H78" s="301">
        <f>'1461'!H78</f>
        <v>201460.8</v>
      </c>
      <c r="I78" s="113"/>
      <c r="N78" s="572" t="s">
        <v>401</v>
      </c>
      <c r="O78" s="573"/>
      <c r="P78" s="41">
        <f>P30</f>
        <v>89.5</v>
      </c>
      <c r="Q78" s="606" t="s">
        <v>407</v>
      </c>
      <c r="R78" s="607"/>
      <c r="S78" s="607"/>
      <c r="T78" s="576">
        <f>H78</f>
        <v>201460.8</v>
      </c>
      <c r="U78" s="576"/>
    </row>
    <row r="79" spans="1:22" x14ac:dyDescent="0.25">
      <c r="B79" s="69"/>
      <c r="G79" s="42" t="s">
        <v>12</v>
      </c>
      <c r="H79" s="114">
        <f>ROUND(C78/H78,6)</f>
        <v>4.44E-4</v>
      </c>
      <c r="I79" s="115"/>
      <c r="N79" s="573"/>
      <c r="O79" s="573"/>
      <c r="P79" s="573"/>
      <c r="Q79" s="573"/>
      <c r="R79" s="573"/>
      <c r="S79" s="573"/>
      <c r="T79" s="577">
        <f>ROUND(P78/T78,6)</f>
        <v>4.44E-4</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89.5</v>
      </c>
      <c r="D81" s="529" t="s">
        <v>413</v>
      </c>
      <c r="E81" s="529"/>
      <c r="F81" s="529"/>
      <c r="G81" s="529"/>
      <c r="H81" s="301">
        <f>'1461'!H81</f>
        <v>186099.3</v>
      </c>
      <c r="I81" s="113"/>
      <c r="N81" s="572" t="s">
        <v>414</v>
      </c>
      <c r="O81" s="573"/>
      <c r="P81" s="41">
        <f>P30</f>
        <v>89.5</v>
      </c>
      <c r="Q81" s="608" t="s">
        <v>415</v>
      </c>
      <c r="R81" s="609"/>
      <c r="S81" s="609"/>
      <c r="T81" s="576">
        <f>H81</f>
        <v>186099.3</v>
      </c>
      <c r="U81" s="576"/>
    </row>
    <row r="82" spans="1:21" x14ac:dyDescent="0.25">
      <c r="B82" s="69"/>
      <c r="G82" s="42" t="s">
        <v>12</v>
      </c>
      <c r="H82" s="114">
        <f>ROUND(C81/H81,6)</f>
        <v>4.8099999999999998E-4</v>
      </c>
      <c r="I82" s="115"/>
      <c r="N82" s="573"/>
      <c r="O82" s="573"/>
      <c r="P82" s="573"/>
      <c r="Q82" s="573"/>
      <c r="R82" s="573"/>
      <c r="S82" s="573"/>
      <c r="T82" s="577">
        <f>ROUND(P81/T81,6)</f>
        <v>4.8099999999999998E-4</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4.44E-4</v>
      </c>
      <c r="I85" s="101">
        <f>ROUND(F85*H85,2)</f>
        <v>19673.32</v>
      </c>
      <c r="N85" s="454" t="s">
        <v>450</v>
      </c>
      <c r="O85" s="51"/>
      <c r="P85" s="51"/>
      <c r="Q85" s="44"/>
      <c r="R85" s="420">
        <f>F85</f>
        <v>44309288</v>
      </c>
      <c r="S85" s="38" t="s">
        <v>6</v>
      </c>
      <c r="T85" s="422">
        <f>T79</f>
        <v>4.44E-4</v>
      </c>
      <c r="U85" s="474">
        <f>ROUND(R85*T85,2)</f>
        <v>19673.32</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53"/>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4.44E-4</v>
      </c>
      <c r="I88" s="101">
        <f>ROUND(F88*H88,2)</f>
        <v>0</v>
      </c>
      <c r="N88" s="610" t="s">
        <v>99</v>
      </c>
      <c r="O88" s="573"/>
      <c r="P88" s="573"/>
      <c r="Q88" s="44"/>
      <c r="R88" s="420">
        <f>F88</f>
        <v>0</v>
      </c>
      <c r="S88" s="38" t="s">
        <v>6</v>
      </c>
      <c r="T88" s="422">
        <f>T70</f>
        <v>4.44E-4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4.8099999999999998E-4</v>
      </c>
      <c r="I90" s="101">
        <f>ROUND(F90*H90,2)</f>
        <v>7828.6</v>
      </c>
      <c r="N90" s="454" t="s">
        <v>451</v>
      </c>
      <c r="O90" s="51"/>
      <c r="P90" s="51"/>
      <c r="Q90" s="44"/>
      <c r="R90" s="420">
        <f>F90</f>
        <v>16275680</v>
      </c>
      <c r="S90" s="38" t="s">
        <v>6</v>
      </c>
      <c r="T90" s="422">
        <f>T82</f>
        <v>4.8099999999999998E-4</v>
      </c>
      <c r="U90" s="474">
        <f>ROUND(R90*T90,2)</f>
        <v>7828.6</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4.8000000000000001E-4</v>
      </c>
      <c r="I92" s="101">
        <f t="shared" ref="I92:I96" si="14">ROUND(F92*H92,2)</f>
        <v>4861.46</v>
      </c>
      <c r="N92" s="454" t="s">
        <v>452</v>
      </c>
      <c r="O92" s="51"/>
      <c r="P92" s="51"/>
      <c r="Q92" s="44"/>
      <c r="R92" s="420">
        <f t="shared" ref="R92:R96" si="15">F92</f>
        <v>10128039</v>
      </c>
      <c r="S92" s="38" t="s">
        <v>6</v>
      </c>
      <c r="T92" s="422">
        <f>T76</f>
        <v>4.8000000000000001E-4</v>
      </c>
      <c r="U92" s="474">
        <f>ROUND(R92*T92,2)</f>
        <v>4861.46</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1.7949999999999999E-3</v>
      </c>
      <c r="I94" s="101">
        <f t="shared" si="14"/>
        <v>429000.82</v>
      </c>
      <c r="N94" s="573" t="s">
        <v>417</v>
      </c>
      <c r="O94" s="573"/>
      <c r="P94" s="573"/>
      <c r="Q94" s="44"/>
      <c r="R94" s="420">
        <f t="shared" si="15"/>
        <v>238997674</v>
      </c>
      <c r="S94" s="38" t="s">
        <v>6</v>
      </c>
      <c r="T94" s="422">
        <f>T73</f>
        <v>3.9399999999999998E-4</v>
      </c>
      <c r="U94" s="474">
        <f>ROUND(R94*T94,2)</f>
        <v>94165.08</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1.7949999999999999E-3</v>
      </c>
      <c r="I96" s="101">
        <f t="shared" si="14"/>
        <v>0</v>
      </c>
      <c r="N96" s="572" t="s">
        <v>418</v>
      </c>
      <c r="O96" s="573"/>
      <c r="P96" s="573"/>
      <c r="Q96" s="44"/>
      <c r="R96" s="420">
        <f t="shared" si="15"/>
        <v>0</v>
      </c>
      <c r="S96" s="38" t="s">
        <v>6</v>
      </c>
      <c r="T96" s="422">
        <f>T73</f>
        <v>3.9399999999999998E-4</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475</v>
      </c>
      <c r="B98" s="512"/>
      <c r="C98" s="512"/>
      <c r="D98" s="512"/>
      <c r="E98" s="510" t="s">
        <v>3</v>
      </c>
      <c r="F98" s="291">
        <v>0</v>
      </c>
      <c r="G98" s="511" t="s">
        <v>6</v>
      </c>
      <c r="H98" s="423">
        <f>H70</f>
        <v>4.44E-4</v>
      </c>
      <c r="I98" s="101">
        <f t="shared" ref="I98" si="16">ROUND(F98*H98,2)</f>
        <v>0</v>
      </c>
      <c r="N98" s="516" t="s">
        <v>475</v>
      </c>
      <c r="O98" s="516"/>
      <c r="P98" s="516"/>
      <c r="Q98" s="44"/>
      <c r="R98" s="519">
        <f>F98</f>
        <v>0</v>
      </c>
      <c r="S98" s="517" t="s">
        <v>6</v>
      </c>
      <c r="T98" s="422">
        <f>T70</f>
        <v>4.44E-4</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232.59750000000003</v>
      </c>
      <c r="D104" s="568"/>
      <c r="E104" s="46">
        <f>H8</f>
        <v>1.0442</v>
      </c>
      <c r="F104" s="304">
        <f>'1461'!F104</f>
        <v>947.59</v>
      </c>
      <c r="G104" s="39" t="s">
        <v>12</v>
      </c>
      <c r="H104" s="101">
        <f>ROUND(C104*E104*F104,2)</f>
        <v>230149.06</v>
      </c>
      <c r="I104" s="104"/>
      <c r="N104" s="28" t="s">
        <v>17</v>
      </c>
      <c r="O104" s="47">
        <f>T14+T15+T20+T23+T26</f>
        <v>49.5</v>
      </c>
      <c r="P104" s="583">
        <f>T8</f>
        <v>1.0442</v>
      </c>
      <c r="Q104" s="583"/>
      <c r="R104" s="48">
        <f>F104</f>
        <v>947.59</v>
      </c>
      <c r="S104" s="40" t="s">
        <v>12</v>
      </c>
      <c r="T104" s="480">
        <f>ROUND(O104*P104*R104,2)</f>
        <v>48978.94</v>
      </c>
      <c r="U104" s="102"/>
    </row>
    <row r="105" spans="1:21" x14ac:dyDescent="0.25">
      <c r="A105" s="49"/>
      <c r="B105" s="49" t="s">
        <v>104</v>
      </c>
      <c r="C105" s="568">
        <f>H16+H17+H21+H24+H27</f>
        <v>175.1395</v>
      </c>
      <c r="D105" s="568"/>
      <c r="E105" s="46">
        <f>H8</f>
        <v>1.0442</v>
      </c>
      <c r="F105" s="304">
        <f>'1461'!F105</f>
        <v>904.74</v>
      </c>
      <c r="G105" s="39" t="s">
        <v>12</v>
      </c>
      <c r="H105" s="101">
        <f>ROUND(C105*E105*F105,2)</f>
        <v>165459.45000000001</v>
      </c>
      <c r="N105" s="50" t="s">
        <v>13</v>
      </c>
      <c r="O105" s="47">
        <f>T16+T17+T21+T24+T27</f>
        <v>40</v>
      </c>
      <c r="P105" s="583">
        <f>T8</f>
        <v>1.0442</v>
      </c>
      <c r="Q105" s="583"/>
      <c r="R105" s="48">
        <f>F105</f>
        <v>904.74</v>
      </c>
      <c r="S105" s="40" t="s">
        <v>12</v>
      </c>
      <c r="T105" s="480">
        <f>ROUND(O105*P105*R105,2)</f>
        <v>37789.18</v>
      </c>
      <c r="U105" s="51"/>
    </row>
    <row r="106" spans="1:21" ht="16.5" thickBot="1" x14ac:dyDescent="0.3">
      <c r="A106" s="52"/>
      <c r="B106" s="52" t="s">
        <v>103</v>
      </c>
      <c r="C106" s="568">
        <f>H18+H19+H22+H25+H28+H29</f>
        <v>0</v>
      </c>
      <c r="D106" s="568"/>
      <c r="E106" s="46">
        <f>H8</f>
        <v>1.0442</v>
      </c>
      <c r="F106" s="304">
        <f>'1461'!F106</f>
        <v>906.93</v>
      </c>
      <c r="G106" s="39" t="s">
        <v>12</v>
      </c>
      <c r="H106" s="94">
        <f>ROUND(C106*E106*F106,2)</f>
        <v>0</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407.73700000000002</v>
      </c>
      <c r="D107" s="558"/>
      <c r="E107" s="123"/>
      <c r="F107" s="123"/>
      <c r="G107" s="123"/>
      <c r="H107" s="124" t="s">
        <v>100</v>
      </c>
      <c r="I107" s="101">
        <f>IF(A1=75,0,H106+H105+H104)</f>
        <v>395608.51</v>
      </c>
      <c r="N107" s="56" t="s">
        <v>89</v>
      </c>
      <c r="O107" s="57">
        <f>SUM(O104:O106)</f>
        <v>89.5</v>
      </c>
      <c r="P107" s="584" t="s">
        <v>16</v>
      </c>
      <c r="Q107" s="585"/>
      <c r="R107" s="585"/>
      <c r="S107" s="585"/>
      <c r="T107" s="585"/>
      <c r="U107" s="474">
        <f>IF(N1=75,0,T106+T105+T104)</f>
        <v>86768.12</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7"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1</v>
      </c>
      <c r="D113" s="143">
        <v>0</v>
      </c>
      <c r="E113" s="144">
        <f>C113</f>
        <v>1</v>
      </c>
      <c r="F113" s="126" t="s">
        <v>30</v>
      </c>
      <c r="G113" s="305">
        <f>'1461'!G113</f>
        <v>548</v>
      </c>
      <c r="I113" s="101">
        <f>ROUND(G113*E113,2)</f>
        <v>548</v>
      </c>
      <c r="N113" s="602" t="s">
        <v>52</v>
      </c>
      <c r="O113" s="602"/>
      <c r="P113" s="582">
        <f>IF(H133=1,E113,0)</f>
        <v>1</v>
      </c>
      <c r="Q113" s="582"/>
      <c r="R113" s="582"/>
      <c r="S113" s="83" t="s">
        <v>30</v>
      </c>
      <c r="T113" s="58">
        <f>G113</f>
        <v>548</v>
      </c>
      <c r="U113" s="474">
        <f>ROUND(T113*P113,2)</f>
        <v>548</v>
      </c>
    </row>
    <row r="114" spans="1:21" x14ac:dyDescent="0.25">
      <c r="A114" s="529" t="s">
        <v>376</v>
      </c>
      <c r="B114" s="530"/>
      <c r="C114" s="143">
        <v>1</v>
      </c>
      <c r="D114" s="143">
        <v>0</v>
      </c>
      <c r="E114" s="144">
        <f>C114</f>
        <v>1</v>
      </c>
      <c r="F114" s="126" t="s">
        <v>30</v>
      </c>
      <c r="G114" s="305">
        <f>'1461'!G114</f>
        <v>1762</v>
      </c>
      <c r="I114" s="101">
        <f>ROUND(G114*E114,2)</f>
        <v>1762</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42">
        <f>IF(D30=0,C121*2,C121+D121)</f>
        <v>0</v>
      </c>
      <c r="F121" s="647">
        <v>0</v>
      </c>
      <c r="G121" s="647"/>
      <c r="H121" s="61">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44">
        <f>IF(D31=0,C122*2,C122+D122)</f>
        <v>0</v>
      </c>
      <c r="F122" s="570">
        <f>ROUND(F121/2,2)</f>
        <v>0</v>
      </c>
      <c r="G122" s="570"/>
      <c r="H122" s="61">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44">
        <f>IF(D32=0,C123*2,C123+D123)</f>
        <v>0</v>
      </c>
      <c r="F123" s="571"/>
      <c r="G123" s="571"/>
      <c r="H123" s="63">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3078981.8899999997</v>
      </c>
      <c r="N128" s="454"/>
      <c r="O128" s="453"/>
      <c r="P128" s="453"/>
      <c r="Q128" s="307"/>
      <c r="R128" s="307"/>
      <c r="S128" s="307"/>
      <c r="T128" s="307"/>
      <c r="U128" s="481">
        <f>SUM(U30,U85,U88,U90,U92,U94,U96,U107,U113,U114,U124,U126)</f>
        <v>694182.67999999993</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2949216.51</v>
      </c>
      <c r="N130" s="573" t="s">
        <v>429</v>
      </c>
      <c r="O130" s="573"/>
      <c r="P130" s="573"/>
      <c r="Q130" s="573"/>
      <c r="R130" s="573"/>
      <c r="S130" s="573"/>
      <c r="T130" s="573"/>
      <c r="U130" s="132">
        <f>U128-U53</f>
        <v>665698.62999999989</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f>IF(E30=0,"",IF((E15+E17+SUM(E19:E25))/E30&gt;0.75,1,""))</f>
        <v>1</v>
      </c>
      <c r="I133" s="116">
        <f>U130</f>
        <v>665698.62999999989</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665698.62999999989</v>
      </c>
      <c r="I135" s="94">
        <f>ROUND(IF(E30=0,0,IF(E30&gt;250,-(((250/E30)*H135)*IF(G135="H",0.02,0.05)),IF(G135="H",-0.02*H135,-0.05*H135))),2)</f>
        <v>-33284.93</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3045696.9599999995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-493844.18-242125.08-242125.08-242125.08-242125.08-260604.42-262233.98-263207.31</f>
        <v>-2248390.21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797306.74999999953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265768.92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22:B122"/>
    <mergeCell ref="F122:G122"/>
    <mergeCell ref="N122:O122"/>
    <mergeCell ref="P122:Q122"/>
    <mergeCell ref="R122:S122"/>
    <mergeCell ref="A123:B123"/>
    <mergeCell ref="F123:G123"/>
    <mergeCell ref="N123:O123"/>
    <mergeCell ref="P123:Q123"/>
    <mergeCell ref="R123:S123"/>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6">
    <tabColor rgb="FFFFCCCC"/>
  </sheetPr>
  <dimension ref="A1:V221"/>
  <sheetViews>
    <sheetView topLeftCell="A135" workbookViewId="0">
      <selection activeCell="F66" sqref="F66:H66"/>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284</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334">
        <v>45200</v>
      </c>
      <c r="D11" s="334">
        <v>45200</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7"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24.16</v>
      </c>
      <c r="D14" s="141">
        <v>19.55</v>
      </c>
      <c r="E14" s="187">
        <f>IF(D$30=0,C14*2,C14+D14)</f>
        <v>43.71</v>
      </c>
      <c r="F14" s="639">
        <f>'1461'!F14:G14</f>
        <v>1.1220000000000001</v>
      </c>
      <c r="G14" s="639"/>
      <c r="H14" s="145">
        <f>ROUND(E14*F14,4)</f>
        <v>49.0426</v>
      </c>
      <c r="I14" s="111">
        <f>ROUND(ROUND(ROUND(H14*$C$8,4)*($H$8),2)*(MAX($H$9,1)),2)</f>
        <v>263207.03000000003</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2.5</v>
      </c>
      <c r="D15" s="143">
        <v>1.5</v>
      </c>
      <c r="E15" s="116">
        <f t="shared" ref="E15:E29" si="1">IF(D$30=0,C15*2,C15+D15)</f>
        <v>4</v>
      </c>
      <c r="F15" s="635">
        <f>'1461'!F15:G15</f>
        <v>1.1220000000000001</v>
      </c>
      <c r="G15" s="635"/>
      <c r="H15" s="80">
        <f t="shared" ref="H15:H29" si="2">ROUND(E15*F15,4)</f>
        <v>4.4880000000000004</v>
      </c>
      <c r="I15" s="101">
        <f t="shared" ref="I15:I29" si="3">ROUND(ROUND(ROUND(H15*$C$8,4)*($H$8),2)*(MAX($H$9,1)),2)</f>
        <v>24086.67</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29.83</v>
      </c>
      <c r="D16" s="143">
        <v>23.07</v>
      </c>
      <c r="E16" s="116">
        <f t="shared" si="1"/>
        <v>52.9</v>
      </c>
      <c r="F16" s="635">
        <f>'1461'!F16:G16</f>
        <v>1</v>
      </c>
      <c r="G16" s="635"/>
      <c r="H16" s="80">
        <f t="shared" si="2"/>
        <v>52.9</v>
      </c>
      <c r="I16" s="101">
        <f t="shared" si="3"/>
        <v>283909.33</v>
      </c>
      <c r="N16" s="573" t="s">
        <v>22</v>
      </c>
      <c r="O16" s="573"/>
      <c r="P16" s="614">
        <f t="shared" si="0"/>
        <v>0</v>
      </c>
      <c r="Q16" s="614"/>
      <c r="R16" s="619">
        <v>1</v>
      </c>
      <c r="S16" s="619"/>
      <c r="T16" s="95">
        <f t="shared" si="4"/>
        <v>0</v>
      </c>
      <c r="U16" s="474">
        <f t="shared" si="5"/>
        <v>0</v>
      </c>
    </row>
    <row r="17" spans="1:21" x14ac:dyDescent="0.25">
      <c r="A17" s="550" t="s">
        <v>23</v>
      </c>
      <c r="B17" s="550"/>
      <c r="C17" s="143">
        <v>5</v>
      </c>
      <c r="D17" s="143">
        <v>5</v>
      </c>
      <c r="E17" s="116">
        <f t="shared" si="1"/>
        <v>10</v>
      </c>
      <c r="F17" s="635">
        <f>'1461'!F17:G17</f>
        <v>1</v>
      </c>
      <c r="G17" s="635"/>
      <c r="H17" s="80">
        <f t="shared" si="2"/>
        <v>10</v>
      </c>
      <c r="I17" s="101">
        <f t="shared" si="3"/>
        <v>53669.06</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0</v>
      </c>
      <c r="D18" s="143">
        <v>0</v>
      </c>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0</v>
      </c>
      <c r="D19" s="143">
        <v>0</v>
      </c>
      <c r="E19" s="116">
        <f t="shared" si="1"/>
        <v>0</v>
      </c>
      <c r="F19" s="635">
        <f>'1461'!F19:G19</f>
        <v>0.98799999999999999</v>
      </c>
      <c r="G19" s="635"/>
      <c r="H19" s="80">
        <f t="shared" si="2"/>
        <v>0</v>
      </c>
      <c r="I19" s="101">
        <f t="shared" si="3"/>
        <v>0</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3.84</v>
      </c>
      <c r="D26" s="143">
        <v>3.45</v>
      </c>
      <c r="E26" s="116">
        <f t="shared" si="1"/>
        <v>7.29</v>
      </c>
      <c r="F26" s="635">
        <f>'1461'!F26:G26</f>
        <v>1.208</v>
      </c>
      <c r="G26" s="635"/>
      <c r="H26" s="80">
        <f t="shared" si="2"/>
        <v>8.8063000000000002</v>
      </c>
      <c r="I26" s="101">
        <f t="shared" si="3"/>
        <v>47262.58</v>
      </c>
      <c r="N26" s="573" t="s">
        <v>85</v>
      </c>
      <c r="O26" s="573"/>
      <c r="P26" s="614">
        <f t="shared" si="0"/>
        <v>0</v>
      </c>
      <c r="Q26" s="614"/>
      <c r="R26" s="619">
        <v>1</v>
      </c>
      <c r="S26" s="619"/>
      <c r="T26" s="95">
        <f t="shared" si="4"/>
        <v>0</v>
      </c>
      <c r="U26" s="474">
        <f t="shared" si="5"/>
        <v>0</v>
      </c>
    </row>
    <row r="27" spans="1:21" x14ac:dyDescent="0.25">
      <c r="A27" s="550" t="s">
        <v>86</v>
      </c>
      <c r="B27" s="550"/>
      <c r="C27" s="143">
        <v>2.67</v>
      </c>
      <c r="D27" s="143">
        <v>1.91</v>
      </c>
      <c r="E27" s="116">
        <f t="shared" si="1"/>
        <v>4.58</v>
      </c>
      <c r="F27" s="635">
        <f>'1461'!F27:G27</f>
        <v>1.208</v>
      </c>
      <c r="G27" s="635"/>
      <c r="H27" s="80">
        <f t="shared" si="2"/>
        <v>5.5326000000000004</v>
      </c>
      <c r="I27" s="101">
        <f t="shared" si="3"/>
        <v>29692.94</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68</v>
      </c>
      <c r="D30" s="94">
        <f>SUM(D14:D29)</f>
        <v>54.480000000000004</v>
      </c>
      <c r="E30" s="94">
        <f>SUM(E14:E29)</f>
        <v>122.48</v>
      </c>
      <c r="F30" s="554"/>
      <c r="G30" s="554"/>
      <c r="H30" s="99">
        <f>SUM(H14:H29)</f>
        <v>130.76949999999999</v>
      </c>
      <c r="I30" s="94">
        <f>SUM(I14:I29)</f>
        <v>701827.61</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42">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44">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44">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44">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44">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36">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130.76949999999999</v>
      </c>
      <c r="F46" s="34"/>
      <c r="G46" s="106"/>
      <c r="H46" s="107" t="s">
        <v>98</v>
      </c>
      <c r="I46" s="94">
        <f>SUM(I44,I30)</f>
        <v>701827.61</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701827.61</v>
      </c>
      <c r="G51" s="109" t="s">
        <v>6</v>
      </c>
      <c r="H51" s="402">
        <v>4.5199999999999997E-2</v>
      </c>
      <c r="I51" s="101">
        <f>ROUND(F51*H51,2)</f>
        <v>31722.61</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701827.61</v>
      </c>
      <c r="G52" s="109" t="s">
        <v>6</v>
      </c>
      <c r="H52" s="402">
        <v>1.41E-2</v>
      </c>
      <c r="I52" s="101">
        <f>ROUND(F52*H52,2)</f>
        <v>9895.77</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41618.380000000005</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2</v>
      </c>
      <c r="D57" s="143">
        <v>1.2</v>
      </c>
      <c r="E57" s="116">
        <f t="shared" ref="E57:E65" si="10">IF(D$66=0,C57*2,C57+D57)</f>
        <v>3.2</v>
      </c>
      <c r="F57" s="444" t="s">
        <v>434</v>
      </c>
      <c r="G57" s="444">
        <v>251</v>
      </c>
      <c r="H57" s="458">
        <f>'1461'!H57</f>
        <v>1047</v>
      </c>
      <c r="I57" s="101">
        <f>ROUND(E57*H57,2)</f>
        <v>3350.4</v>
      </c>
      <c r="N57" s="590" t="s">
        <v>442</v>
      </c>
      <c r="O57" s="590"/>
      <c r="P57" s="593"/>
      <c r="Q57" s="593"/>
      <c r="R57" s="450" t="s">
        <v>434</v>
      </c>
      <c r="S57" s="450">
        <v>251</v>
      </c>
      <c r="T57" s="461">
        <f>H57</f>
        <v>1047</v>
      </c>
      <c r="U57" s="475">
        <f>ROUND(P57*T57,2)</f>
        <v>0</v>
      </c>
      <c r="V57" s="425"/>
    </row>
    <row r="58" spans="1:22" x14ac:dyDescent="0.25">
      <c r="A58" s="561"/>
      <c r="B58" s="561"/>
      <c r="C58" s="143">
        <v>0.5</v>
      </c>
      <c r="D58" s="143">
        <v>0.3</v>
      </c>
      <c r="E58" s="116">
        <f t="shared" si="10"/>
        <v>0.8</v>
      </c>
      <c r="F58" s="444" t="s">
        <v>434</v>
      </c>
      <c r="G58" s="444">
        <v>252</v>
      </c>
      <c r="H58" s="458">
        <f>'1461'!H58</f>
        <v>3380</v>
      </c>
      <c r="I58" s="101">
        <f t="shared" ref="I58:I65" si="11">ROUND(E58*H58,2)</f>
        <v>2704</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3.5</v>
      </c>
      <c r="D60" s="143">
        <v>3.5</v>
      </c>
      <c r="E60" s="116">
        <f t="shared" si="10"/>
        <v>7</v>
      </c>
      <c r="F60" s="445" t="s">
        <v>13</v>
      </c>
      <c r="G60" s="444">
        <v>251</v>
      </c>
      <c r="H60" s="458">
        <f>'1461'!H60</f>
        <v>1173</v>
      </c>
      <c r="I60" s="101">
        <f t="shared" si="11"/>
        <v>8211</v>
      </c>
      <c r="N60" s="591"/>
      <c r="O60" s="591"/>
      <c r="P60" s="594"/>
      <c r="Q60" s="594"/>
      <c r="R60" s="40" t="s">
        <v>13</v>
      </c>
      <c r="S60" s="450">
        <v>251</v>
      </c>
      <c r="T60" s="461">
        <f t="shared" si="12"/>
        <v>1173</v>
      </c>
      <c r="U60" s="475">
        <f t="shared" si="13"/>
        <v>0</v>
      </c>
      <c r="V60" s="425"/>
    </row>
    <row r="61" spans="1:22" x14ac:dyDescent="0.25">
      <c r="A61" s="561"/>
      <c r="B61" s="561"/>
      <c r="C61" s="143">
        <v>1.5</v>
      </c>
      <c r="D61" s="143">
        <v>1.5</v>
      </c>
      <c r="E61" s="116">
        <f t="shared" si="10"/>
        <v>3</v>
      </c>
      <c r="F61" s="445" t="s">
        <v>13</v>
      </c>
      <c r="G61" s="444">
        <v>252</v>
      </c>
      <c r="H61" s="458">
        <f>'1461'!H61</f>
        <v>3506</v>
      </c>
      <c r="I61" s="101">
        <f t="shared" si="11"/>
        <v>10518</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0</v>
      </c>
      <c r="D63" s="143">
        <v>0</v>
      </c>
      <c r="E63" s="116">
        <f t="shared" si="10"/>
        <v>0</v>
      </c>
      <c r="F63" s="445" t="s">
        <v>14</v>
      </c>
      <c r="G63" s="444">
        <v>251</v>
      </c>
      <c r="H63" s="458">
        <f>'1461'!H63</f>
        <v>835</v>
      </c>
      <c r="I63" s="101">
        <f t="shared" si="11"/>
        <v>0</v>
      </c>
      <c r="N63" s="591"/>
      <c r="O63" s="591"/>
      <c r="P63" s="594"/>
      <c r="Q63" s="594"/>
      <c r="R63" s="40" t="s">
        <v>14</v>
      </c>
      <c r="S63" s="450">
        <v>251</v>
      </c>
      <c r="T63" s="461">
        <f t="shared" si="12"/>
        <v>835</v>
      </c>
      <c r="U63" s="475">
        <f t="shared" si="13"/>
        <v>0</v>
      </c>
      <c r="V63" s="425"/>
    </row>
    <row r="64" spans="1:22" x14ac:dyDescent="0.25">
      <c r="A64" s="561"/>
      <c r="B64" s="561"/>
      <c r="C64" s="143">
        <v>0</v>
      </c>
      <c r="D64" s="143">
        <v>0</v>
      </c>
      <c r="E64" s="116">
        <f t="shared" si="10"/>
        <v>0</v>
      </c>
      <c r="F64" s="445" t="s">
        <v>14</v>
      </c>
      <c r="G64" s="444">
        <v>252</v>
      </c>
      <c r="H64" s="458">
        <f>'1461'!H64</f>
        <v>3168</v>
      </c>
      <c r="I64" s="101">
        <f t="shared" si="11"/>
        <v>0</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7.5</v>
      </c>
      <c r="D66" s="97">
        <f>SUM(D57:D65)</f>
        <v>6.5</v>
      </c>
      <c r="E66" s="97">
        <f>SUM(E57:E65)</f>
        <v>14</v>
      </c>
      <c r="F66" s="562" t="s">
        <v>443</v>
      </c>
      <c r="G66" s="562"/>
      <c r="H66" s="562"/>
      <c r="I66" s="97">
        <f>SUM(I57:I65)</f>
        <v>24783.4</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122.48</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6.0700000000000001E-4</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130.76949999999999</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5.7600000000000001E-4</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122.48</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6.5700000000000003E-4</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122.48</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6.0800000000000003E-4</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122.48</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6.5799999999999995E-4</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6.0800000000000003E-4</v>
      </c>
      <c r="I85" s="101">
        <f>ROUND(F85*H85,2)</f>
        <v>26940.05</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53"/>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6.0700000000000001E-4</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6.5799999999999995E-4</v>
      </c>
      <c r="I90" s="101">
        <f>ROUND(F90*H90,2)</f>
        <v>10709.4</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6.5700000000000003E-4</v>
      </c>
      <c r="I92" s="101">
        <f t="shared" ref="I92:I96" si="14">ROUND(F92*H92,2)</f>
        <v>6654.12</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5.7600000000000001E-4</v>
      </c>
      <c r="I94" s="101">
        <f t="shared" si="14"/>
        <v>137662.66</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5.7600000000000001E-4</v>
      </c>
      <c r="I96" s="101">
        <f t="shared" si="14"/>
        <v>0</v>
      </c>
      <c r="N96" s="572" t="s">
        <v>418</v>
      </c>
      <c r="O96" s="573"/>
      <c r="P96" s="573"/>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475</v>
      </c>
      <c r="B98" s="512"/>
      <c r="C98" s="512"/>
      <c r="D98" s="512"/>
      <c r="E98" s="510" t="s">
        <v>3</v>
      </c>
      <c r="F98" s="291">
        <v>0</v>
      </c>
      <c r="G98" s="511" t="s">
        <v>6</v>
      </c>
      <c r="H98" s="423">
        <f>H70</f>
        <v>6.0700000000000001E-4</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62.3369</v>
      </c>
      <c r="D104" s="568"/>
      <c r="E104" s="46">
        <f>H8</f>
        <v>1.0442</v>
      </c>
      <c r="F104" s="304">
        <f>'1461'!F104</f>
        <v>947.59</v>
      </c>
      <c r="G104" s="39" t="s">
        <v>12</v>
      </c>
      <c r="H104" s="101">
        <f>ROUND(C104*E104*F104,2)</f>
        <v>61680.71</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68.432599999999994</v>
      </c>
      <c r="D105" s="568"/>
      <c r="E105" s="46">
        <f>H8</f>
        <v>1.0442</v>
      </c>
      <c r="F105" s="304">
        <f>'1461'!F105</f>
        <v>904.74</v>
      </c>
      <c r="G105" s="39" t="s">
        <v>12</v>
      </c>
      <c r="H105" s="101">
        <f>ROUND(C105*E105*F105,2)</f>
        <v>64650.3</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0</v>
      </c>
      <c r="D106" s="568"/>
      <c r="E106" s="46">
        <f>H8</f>
        <v>1.0442</v>
      </c>
      <c r="F106" s="304">
        <f>'1461'!F106</f>
        <v>906.93</v>
      </c>
      <c r="G106" s="39" t="s">
        <v>12</v>
      </c>
      <c r="H106" s="94">
        <f>ROUND(C106*E106*F106,2)</f>
        <v>0</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130.76949999999999</v>
      </c>
      <c r="D107" s="558"/>
      <c r="E107" s="123"/>
      <c r="F107" s="123"/>
      <c r="G107" s="123"/>
      <c r="H107" s="124" t="s">
        <v>100</v>
      </c>
      <c r="I107" s="101">
        <f>IF(A1=75,0,H106+H105+H104)</f>
        <v>126331.01000000001</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7"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0</v>
      </c>
      <c r="D113" s="143">
        <v>0</v>
      </c>
      <c r="E113" s="144">
        <f>(C113+D113)/2</f>
        <v>0</v>
      </c>
      <c r="F113" s="126" t="s">
        <v>30</v>
      </c>
      <c r="G113" s="305">
        <f>'1461'!G113</f>
        <v>548</v>
      </c>
      <c r="I113" s="101">
        <f>ROUND(G113*E113,2)</f>
        <v>0</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44">
        <f>(C114+D114)/2</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42">
        <f>IF(D30=0,C121*2,C121+D121)</f>
        <v>0</v>
      </c>
      <c r="F121" s="647">
        <v>0</v>
      </c>
      <c r="G121" s="647"/>
      <c r="H121" s="61">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44">
        <f>IF(D31=0,C122*2,C122+D122)</f>
        <v>0</v>
      </c>
      <c r="F122" s="570">
        <f>ROUND(F121/2,2)</f>
        <v>0</v>
      </c>
      <c r="G122" s="570"/>
      <c r="H122" s="61">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44">
        <f>IF(D32=0,C123*2,C123+D123)</f>
        <v>0</v>
      </c>
      <c r="F123" s="571"/>
      <c r="G123" s="571"/>
      <c r="H123" s="63">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1034908.2500000001</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993289.87000000011</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993289.87000000011</v>
      </c>
      <c r="I135" s="94">
        <f>ROUND(IF(E30=0,0,IF(E30&gt;250,-(((250/E30)*H135)*IF(G135="H",0.02,0.05)),IF(G135="H",-0.02*H135,-0.05*H135))),2)</f>
        <v>-49664.49</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985243.76000000013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-232524.36-113692-113692-113692-74134.38-74099.21-73911.67-74250.96</f>
        <v>-869996.58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115247.18000000017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38415.730000000003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22:B122"/>
    <mergeCell ref="F122:G122"/>
    <mergeCell ref="N122:O122"/>
    <mergeCell ref="P122:Q122"/>
    <mergeCell ref="R122:S122"/>
    <mergeCell ref="A123:B123"/>
    <mergeCell ref="F123:G123"/>
    <mergeCell ref="N123:O123"/>
    <mergeCell ref="P123:Q123"/>
    <mergeCell ref="R123:S123"/>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1">
    <tabColor rgb="FFFFCCCC"/>
  </sheetPr>
  <dimension ref="A1:V221"/>
  <sheetViews>
    <sheetView topLeftCell="A132" workbookViewId="0">
      <selection activeCell="E23" sqref="E2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299</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7"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0</v>
      </c>
      <c r="D14" s="141">
        <v>0</v>
      </c>
      <c r="E14" s="187">
        <f>IF(D$30=0,C14*2,C14+D14)</f>
        <v>0</v>
      </c>
      <c r="F14" s="639">
        <f>'1461'!F14:G14</f>
        <v>1.1220000000000001</v>
      </c>
      <c r="G14" s="639"/>
      <c r="H14" s="145">
        <f>ROUND(E14*F14,4)</f>
        <v>0</v>
      </c>
      <c r="I14" s="111">
        <f>ROUND(ROUND(ROUND(H14*$C$8,4)*($H$8),2)*(MAX($H$9,1)),2)</f>
        <v>0</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0</v>
      </c>
      <c r="D15" s="143">
        <v>0</v>
      </c>
      <c r="E15" s="116">
        <f t="shared" ref="E15:E29" si="1">IF(D$30=0,C15*2,C15+D15)</f>
        <v>0</v>
      </c>
      <c r="F15" s="635">
        <f>'1461'!F15:G15</f>
        <v>1.1220000000000001</v>
      </c>
      <c r="G15" s="635"/>
      <c r="H15" s="80">
        <f t="shared" ref="H15:H29" si="2">ROUND(E15*F15,4)</f>
        <v>0</v>
      </c>
      <c r="I15" s="101">
        <f t="shared" ref="I15:I29" si="3">ROUND(ROUND(ROUND(H15*$C$8,4)*($H$8),2)*(MAX($H$9,1)),2)</f>
        <v>0</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184.72</v>
      </c>
      <c r="D16" s="143">
        <v>180.11</v>
      </c>
      <c r="E16" s="116">
        <f t="shared" si="1"/>
        <v>364.83000000000004</v>
      </c>
      <c r="F16" s="635">
        <f>'1461'!F16:G16</f>
        <v>1</v>
      </c>
      <c r="G16" s="635"/>
      <c r="H16" s="80">
        <f t="shared" si="2"/>
        <v>364.83</v>
      </c>
      <c r="I16" s="101">
        <f t="shared" si="3"/>
        <v>1958008.34</v>
      </c>
      <c r="N16" s="573" t="s">
        <v>22</v>
      </c>
      <c r="O16" s="573"/>
      <c r="P16" s="614">
        <f t="shared" si="0"/>
        <v>0</v>
      </c>
      <c r="Q16" s="614"/>
      <c r="R16" s="619">
        <v>1</v>
      </c>
      <c r="S16" s="619"/>
      <c r="T16" s="95">
        <f t="shared" si="4"/>
        <v>0</v>
      </c>
      <c r="U16" s="474">
        <f t="shared" si="5"/>
        <v>0</v>
      </c>
    </row>
    <row r="17" spans="1:21" x14ac:dyDescent="0.25">
      <c r="A17" s="550" t="s">
        <v>23</v>
      </c>
      <c r="B17" s="550"/>
      <c r="C17" s="143">
        <v>27.5</v>
      </c>
      <c r="D17" s="143">
        <v>29.01</v>
      </c>
      <c r="E17" s="116">
        <f t="shared" si="1"/>
        <v>56.510000000000005</v>
      </c>
      <c r="F17" s="635">
        <f>'1461'!F17:G17</f>
        <v>1</v>
      </c>
      <c r="G17" s="635"/>
      <c r="H17" s="80">
        <f t="shared" si="2"/>
        <v>56.51</v>
      </c>
      <c r="I17" s="101">
        <f t="shared" si="3"/>
        <v>303283.86</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171.42</v>
      </c>
      <c r="D18" s="143">
        <v>173.23</v>
      </c>
      <c r="E18" s="116">
        <f t="shared" si="1"/>
        <v>344.65</v>
      </c>
      <c r="F18" s="635">
        <f>'1461'!F18:G18</f>
        <v>0.98799999999999999</v>
      </c>
      <c r="G18" s="635"/>
      <c r="H18" s="80">
        <f t="shared" si="2"/>
        <v>340.51420000000002</v>
      </c>
      <c r="I18" s="101">
        <f t="shared" si="3"/>
        <v>1827507.73</v>
      </c>
      <c r="N18" s="573" t="s">
        <v>24</v>
      </c>
      <c r="O18" s="573"/>
      <c r="P18" s="614">
        <f t="shared" si="0"/>
        <v>0</v>
      </c>
      <c r="Q18" s="614"/>
      <c r="R18" s="619">
        <v>1</v>
      </c>
      <c r="S18" s="619"/>
      <c r="T18" s="95">
        <f t="shared" si="4"/>
        <v>0</v>
      </c>
      <c r="U18" s="474">
        <f t="shared" si="5"/>
        <v>0</v>
      </c>
    </row>
    <row r="19" spans="1:21" x14ac:dyDescent="0.25">
      <c r="A19" s="550" t="s">
        <v>25</v>
      </c>
      <c r="B19" s="550"/>
      <c r="C19" s="143">
        <v>23</v>
      </c>
      <c r="D19" s="143">
        <v>24</v>
      </c>
      <c r="E19" s="116">
        <f t="shared" si="1"/>
        <v>47</v>
      </c>
      <c r="F19" s="635">
        <f>'1461'!F19:G19</f>
        <v>0.98799999999999999</v>
      </c>
      <c r="G19" s="635"/>
      <c r="H19" s="80">
        <f t="shared" si="2"/>
        <v>46.436</v>
      </c>
      <c r="I19" s="101">
        <f t="shared" si="3"/>
        <v>249217.65</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0</v>
      </c>
      <c r="D26" s="143">
        <v>0</v>
      </c>
      <c r="E26" s="116">
        <f t="shared" si="1"/>
        <v>0</v>
      </c>
      <c r="F26" s="635">
        <f>'1461'!F26:G26</f>
        <v>1.208</v>
      </c>
      <c r="G26" s="635"/>
      <c r="H26" s="80">
        <f t="shared" si="2"/>
        <v>0</v>
      </c>
      <c r="I26" s="101">
        <f t="shared" si="3"/>
        <v>0</v>
      </c>
      <c r="N26" s="573" t="s">
        <v>85</v>
      </c>
      <c r="O26" s="573"/>
      <c r="P26" s="614">
        <f t="shared" si="0"/>
        <v>0</v>
      </c>
      <c r="Q26" s="614"/>
      <c r="R26" s="619">
        <v>1</v>
      </c>
      <c r="S26" s="619"/>
      <c r="T26" s="95">
        <f t="shared" si="4"/>
        <v>0</v>
      </c>
      <c r="U26" s="474">
        <f t="shared" si="5"/>
        <v>0</v>
      </c>
    </row>
    <row r="27" spans="1:21" x14ac:dyDescent="0.25">
      <c r="A27" s="550" t="s">
        <v>86</v>
      </c>
      <c r="B27" s="550"/>
      <c r="C27" s="143">
        <v>36.840000000000003</v>
      </c>
      <c r="D27" s="143">
        <v>39.72</v>
      </c>
      <c r="E27" s="116">
        <f t="shared" si="1"/>
        <v>76.56</v>
      </c>
      <c r="F27" s="635">
        <f>'1461'!F27:G27</f>
        <v>1.208</v>
      </c>
      <c r="G27" s="635"/>
      <c r="H27" s="80">
        <f t="shared" si="2"/>
        <v>92.484499999999997</v>
      </c>
      <c r="I27" s="101">
        <f t="shared" si="3"/>
        <v>496355.62</v>
      </c>
      <c r="N27" s="573" t="s">
        <v>86</v>
      </c>
      <c r="O27" s="573"/>
      <c r="P27" s="614">
        <f t="shared" si="0"/>
        <v>0</v>
      </c>
      <c r="Q27" s="614"/>
      <c r="R27" s="619">
        <v>1</v>
      </c>
      <c r="S27" s="619"/>
      <c r="T27" s="95">
        <f t="shared" si="4"/>
        <v>0</v>
      </c>
      <c r="U27" s="474">
        <f t="shared" si="5"/>
        <v>0</v>
      </c>
    </row>
    <row r="28" spans="1:21" x14ac:dyDescent="0.25">
      <c r="A28" s="550" t="s">
        <v>87</v>
      </c>
      <c r="B28" s="550"/>
      <c r="C28" s="143">
        <v>43.42</v>
      </c>
      <c r="D28" s="143">
        <v>44.33</v>
      </c>
      <c r="E28" s="116">
        <f t="shared" si="1"/>
        <v>87.75</v>
      </c>
      <c r="F28" s="635">
        <f>'1461'!F28:G28</f>
        <v>1.208</v>
      </c>
      <c r="G28" s="635"/>
      <c r="H28" s="80">
        <f t="shared" si="2"/>
        <v>106.002</v>
      </c>
      <c r="I28" s="101">
        <f t="shared" si="3"/>
        <v>568902.78</v>
      </c>
      <c r="N28" s="573" t="s">
        <v>87</v>
      </c>
      <c r="O28" s="573"/>
      <c r="P28" s="614">
        <f t="shared" si="0"/>
        <v>0</v>
      </c>
      <c r="Q28" s="614"/>
      <c r="R28" s="619">
        <v>1</v>
      </c>
      <c r="S28" s="619"/>
      <c r="T28" s="95">
        <f t="shared" si="4"/>
        <v>0</v>
      </c>
      <c r="U28" s="474">
        <f t="shared" si="5"/>
        <v>0</v>
      </c>
    </row>
    <row r="29" spans="1:21" x14ac:dyDescent="0.25">
      <c r="A29" s="550" t="s">
        <v>88</v>
      </c>
      <c r="B29" s="550"/>
      <c r="C29" s="110">
        <v>26.53</v>
      </c>
      <c r="D29" s="110">
        <v>29.92</v>
      </c>
      <c r="E29" s="154">
        <f t="shared" si="1"/>
        <v>56.45</v>
      </c>
      <c r="F29" s="635">
        <f>'1461'!F29:G29</f>
        <v>1.0720000000000001</v>
      </c>
      <c r="G29" s="635"/>
      <c r="H29" s="93">
        <f t="shared" si="2"/>
        <v>60.514400000000002</v>
      </c>
      <c r="I29" s="94">
        <f t="shared" si="3"/>
        <v>324775.09999999998</v>
      </c>
      <c r="N29" s="588" t="s">
        <v>88</v>
      </c>
      <c r="O29" s="588"/>
      <c r="P29" s="614">
        <f t="shared" si="0"/>
        <v>0</v>
      </c>
      <c r="Q29" s="614"/>
      <c r="R29" s="615">
        <v>1</v>
      </c>
      <c r="S29" s="615"/>
      <c r="T29" s="95">
        <f t="shared" si="4"/>
        <v>0</v>
      </c>
      <c r="U29" s="474">
        <f t="shared" si="5"/>
        <v>0</v>
      </c>
    </row>
    <row r="30" spans="1:21" x14ac:dyDescent="0.25">
      <c r="A30" s="562" t="s">
        <v>5</v>
      </c>
      <c r="B30" s="562"/>
      <c r="C30" s="94">
        <f>SUM(C14:C29)</f>
        <v>513.43000000000006</v>
      </c>
      <c r="D30" s="94">
        <f>SUM(D14:D29)</f>
        <v>520.32000000000005</v>
      </c>
      <c r="E30" s="94">
        <f>SUM(E14:E29)</f>
        <v>1033.75</v>
      </c>
      <c r="F30" s="554"/>
      <c r="G30" s="554"/>
      <c r="H30" s="99">
        <f>SUM(H14:H29)</f>
        <v>1067.2910999999999</v>
      </c>
      <c r="I30" s="94">
        <f>SUM(I14:I29)</f>
        <v>5728051.0800000001</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42">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44">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44">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44">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44">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36">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1067.2910999999999</v>
      </c>
      <c r="F46" s="34"/>
      <c r="G46" s="106"/>
      <c r="H46" s="107" t="s">
        <v>98</v>
      </c>
      <c r="I46" s="94">
        <f>SUM(I44,I30)</f>
        <v>5728051.0800000001</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5728051.0800000001</v>
      </c>
      <c r="G51" s="109" t="s">
        <v>6</v>
      </c>
      <c r="H51" s="402">
        <v>4.5199999999999997E-2</v>
      </c>
      <c r="I51" s="101">
        <f>ROUND(F51*H51,2)</f>
        <v>258907.91</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5728051.0800000001</v>
      </c>
      <c r="G52" s="109" t="s">
        <v>6</v>
      </c>
      <c r="H52" s="402">
        <v>1.41E-2</v>
      </c>
      <c r="I52" s="101">
        <f>ROUND(F52*H52,2)</f>
        <v>80765.52</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339673.43</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0</v>
      </c>
      <c r="D57" s="143">
        <v>0</v>
      </c>
      <c r="E57" s="116">
        <f t="shared" ref="E57:E65" si="10">IF(D$66=0,C57*2,C57+D57)</f>
        <v>0</v>
      </c>
      <c r="F57" s="444" t="s">
        <v>434</v>
      </c>
      <c r="G57" s="444">
        <v>251</v>
      </c>
      <c r="H57" s="458">
        <f>'1461'!H57</f>
        <v>1047</v>
      </c>
      <c r="I57" s="101">
        <f>ROUND(E57*H57,2)</f>
        <v>0</v>
      </c>
      <c r="N57" s="590" t="s">
        <v>442</v>
      </c>
      <c r="O57" s="590"/>
      <c r="P57" s="593"/>
      <c r="Q57" s="593"/>
      <c r="R57" s="450" t="s">
        <v>434</v>
      </c>
      <c r="S57" s="450">
        <v>251</v>
      </c>
      <c r="T57" s="461">
        <f>H57</f>
        <v>1047</v>
      </c>
      <c r="U57" s="475">
        <f>ROUND(P57*T57,2)</f>
        <v>0</v>
      </c>
      <c r="V57" s="425"/>
    </row>
    <row r="58" spans="1:22" x14ac:dyDescent="0.25">
      <c r="A58" s="561"/>
      <c r="B58" s="561"/>
      <c r="C58" s="143">
        <v>0</v>
      </c>
      <c r="D58" s="143">
        <v>0</v>
      </c>
      <c r="E58" s="116">
        <f t="shared" si="10"/>
        <v>0</v>
      </c>
      <c r="F58" s="444" t="s">
        <v>434</v>
      </c>
      <c r="G58" s="444">
        <v>252</v>
      </c>
      <c r="H58" s="458">
        <f>'1461'!H58</f>
        <v>3380</v>
      </c>
      <c r="I58" s="101">
        <f t="shared" ref="I58:I65" si="11">ROUND(E58*H58,2)</f>
        <v>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25</v>
      </c>
      <c r="D60" s="143">
        <v>26.37</v>
      </c>
      <c r="E60" s="116">
        <f t="shared" si="10"/>
        <v>51.370000000000005</v>
      </c>
      <c r="F60" s="445" t="s">
        <v>13</v>
      </c>
      <c r="G60" s="444">
        <v>251</v>
      </c>
      <c r="H60" s="458">
        <f>'1461'!H60</f>
        <v>1173</v>
      </c>
      <c r="I60" s="101">
        <f t="shared" si="11"/>
        <v>60257.01</v>
      </c>
      <c r="N60" s="591"/>
      <c r="O60" s="591"/>
      <c r="P60" s="594"/>
      <c r="Q60" s="594"/>
      <c r="R60" s="40" t="s">
        <v>13</v>
      </c>
      <c r="S60" s="450">
        <v>251</v>
      </c>
      <c r="T60" s="461">
        <f t="shared" si="12"/>
        <v>1173</v>
      </c>
      <c r="U60" s="475">
        <f t="shared" si="13"/>
        <v>0</v>
      </c>
      <c r="V60" s="425"/>
    </row>
    <row r="61" spans="1:22" x14ac:dyDescent="0.25">
      <c r="A61" s="561"/>
      <c r="B61" s="561"/>
      <c r="C61" s="143">
        <v>2.5</v>
      </c>
      <c r="D61" s="143">
        <v>2.64</v>
      </c>
      <c r="E61" s="116">
        <f t="shared" si="10"/>
        <v>5.1400000000000006</v>
      </c>
      <c r="F61" s="445" t="s">
        <v>13</v>
      </c>
      <c r="G61" s="444">
        <v>252</v>
      </c>
      <c r="H61" s="458">
        <f>'1461'!H61</f>
        <v>3506</v>
      </c>
      <c r="I61" s="101">
        <f t="shared" si="11"/>
        <v>18020.84</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19.5</v>
      </c>
      <c r="D63" s="143">
        <v>20.350000000000001</v>
      </c>
      <c r="E63" s="116">
        <f t="shared" si="10"/>
        <v>39.85</v>
      </c>
      <c r="F63" s="445" t="s">
        <v>14</v>
      </c>
      <c r="G63" s="444">
        <v>251</v>
      </c>
      <c r="H63" s="458">
        <f>'1461'!H63</f>
        <v>835</v>
      </c>
      <c r="I63" s="101">
        <f t="shared" si="11"/>
        <v>33274.75</v>
      </c>
      <c r="N63" s="591"/>
      <c r="O63" s="591"/>
      <c r="P63" s="594"/>
      <c r="Q63" s="594"/>
      <c r="R63" s="40" t="s">
        <v>14</v>
      </c>
      <c r="S63" s="450">
        <v>251</v>
      </c>
      <c r="T63" s="461">
        <f t="shared" si="12"/>
        <v>835</v>
      </c>
      <c r="U63" s="475">
        <f t="shared" si="13"/>
        <v>0</v>
      </c>
      <c r="V63" s="425"/>
    </row>
    <row r="64" spans="1:22" x14ac:dyDescent="0.25">
      <c r="A64" s="561"/>
      <c r="B64" s="561"/>
      <c r="C64" s="143">
        <v>3.5</v>
      </c>
      <c r="D64" s="143">
        <v>3.65</v>
      </c>
      <c r="E64" s="116">
        <f t="shared" si="10"/>
        <v>7.15</v>
      </c>
      <c r="F64" s="445" t="s">
        <v>14</v>
      </c>
      <c r="G64" s="444">
        <v>252</v>
      </c>
      <c r="H64" s="458">
        <f>'1461'!H64</f>
        <v>3168</v>
      </c>
      <c r="I64" s="101">
        <f t="shared" si="11"/>
        <v>22651.200000000001</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50.5</v>
      </c>
      <c r="D66" s="97">
        <f>SUM(D57:D65)</f>
        <v>53.01</v>
      </c>
      <c r="E66" s="97">
        <f>SUM(E57:E65)</f>
        <v>103.51000000000002</v>
      </c>
      <c r="F66" s="562" t="s">
        <v>443</v>
      </c>
      <c r="G66" s="562"/>
      <c r="H66" s="562"/>
      <c r="I66" s="97">
        <f>SUM(I57:I65)</f>
        <v>134203.80000000002</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1033.75</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5.1229999999999999E-3</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1067.2910999999999</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4.7000000000000002E-3</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1033.75</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5.5449999999999996E-3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1033.75</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5.1310000000000001E-3</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1033.75</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5.555E-3</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5.1310000000000001E-3</v>
      </c>
      <c r="I85" s="101">
        <f>ROUND(F85*H85,2)</f>
        <v>227350.96</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53"/>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5.1229999999999999E-3</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5.555E-3</v>
      </c>
      <c r="I90" s="101">
        <f>ROUND(F90*H90,2)</f>
        <v>90411.4</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5.5449999999999996E-3</v>
      </c>
      <c r="I92" s="101">
        <f t="shared" ref="I92:I96" si="14">ROUND(F92*H92,2)</f>
        <v>56159.98</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4.7000000000000002E-3</v>
      </c>
      <c r="I94" s="101">
        <f t="shared" si="14"/>
        <v>1123289.07</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4.7000000000000002E-3</v>
      </c>
      <c r="I96" s="101">
        <f t="shared" si="14"/>
        <v>0</v>
      </c>
      <c r="N96" s="572" t="s">
        <v>418</v>
      </c>
      <c r="O96" s="573"/>
      <c r="P96" s="573"/>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475</v>
      </c>
      <c r="B98" s="512"/>
      <c r="C98" s="512"/>
      <c r="D98" s="512"/>
      <c r="E98" s="510" t="s">
        <v>3</v>
      </c>
      <c r="F98" s="291">
        <v>0</v>
      </c>
      <c r="G98" s="511" t="s">
        <v>6</v>
      </c>
      <c r="H98" s="423">
        <f>H70</f>
        <v>5.1229999999999999E-3</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0</v>
      </c>
      <c r="D104" s="568"/>
      <c r="E104" s="46">
        <f>H8</f>
        <v>1.0442</v>
      </c>
      <c r="F104" s="304">
        <f>'1461'!F104</f>
        <v>947.59</v>
      </c>
      <c r="G104" s="39" t="s">
        <v>12</v>
      </c>
      <c r="H104" s="101">
        <f>ROUND(C104*E104*F104,2)</f>
        <v>0</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513.82449999999994</v>
      </c>
      <c r="D105" s="568"/>
      <c r="E105" s="46">
        <f>H8</f>
        <v>1.0442</v>
      </c>
      <c r="F105" s="304">
        <f>'1461'!F105</f>
        <v>904.74</v>
      </c>
      <c r="G105" s="39" t="s">
        <v>12</v>
      </c>
      <c r="H105" s="101">
        <f>ROUND(C105*E105*F105,2)</f>
        <v>485425.17</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553.46659999999997</v>
      </c>
      <c r="D106" s="568"/>
      <c r="E106" s="46">
        <f>H8</f>
        <v>1.0442</v>
      </c>
      <c r="F106" s="304">
        <f>'1461'!F106</f>
        <v>906.93</v>
      </c>
      <c r="G106" s="39" t="s">
        <v>12</v>
      </c>
      <c r="H106" s="94">
        <f>ROUND(C106*E106*F106,2)</f>
        <v>524141.9</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1067.2910999999999</v>
      </c>
      <c r="D107" s="558"/>
      <c r="E107" s="123"/>
      <c r="F107" s="123"/>
      <c r="G107" s="123"/>
      <c r="H107" s="124" t="s">
        <v>100</v>
      </c>
      <c r="I107" s="101">
        <f>IF(A1=75,0,H106+H105+H104)</f>
        <v>1009567.0700000001</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7"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7</v>
      </c>
      <c r="D113" s="143">
        <v>0</v>
      </c>
      <c r="E113" s="144">
        <f>C113</f>
        <v>7</v>
      </c>
      <c r="F113" s="126" t="s">
        <v>30</v>
      </c>
      <c r="G113" s="305">
        <f>'1461'!G113</f>
        <v>548</v>
      </c>
      <c r="I113" s="101">
        <f>ROUND(G113*E113,2)</f>
        <v>3836</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44">
        <f>C114</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42">
        <f>IF(D30=0,C121*2,C121+D121)</f>
        <v>0</v>
      </c>
      <c r="F121" s="647">
        <v>0</v>
      </c>
      <c r="G121" s="647"/>
      <c r="H121" s="61">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44">
        <f>IF(D31=0,C122*2,C122+D122)</f>
        <v>0</v>
      </c>
      <c r="F122" s="570">
        <f>ROUND(F121/2,2)</f>
        <v>0</v>
      </c>
      <c r="G122" s="570"/>
      <c r="H122" s="61">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44">
        <f>IF(D32=0,C123*2,C123+D123)</f>
        <v>0</v>
      </c>
      <c r="F123" s="571"/>
      <c r="G123" s="571"/>
      <c r="H123" s="63">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8372869.3600000013</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8033195.9300000016</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8033195.9300000016</v>
      </c>
      <c r="I135" s="94">
        <f>ROUND(IF(E30=0,0,IF(E30&gt;250,-(((250/E30)*H135)*IF(G135="H",0.02,0.05)),IF(G135="H",-0.02*H135,-0.05*H135))),2)</f>
        <v>-97136.59</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8275732.7700000014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-1365148.96-665322.06-665322.05-665322.06-665322.06-694314.4-696055-698770.65</f>
        <v>-6115577.2400000012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2160155.5300000003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720051.84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304523.21000000002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2">
    <tabColor rgb="FFFFCCCC"/>
  </sheetPr>
  <dimension ref="A1:V221"/>
  <sheetViews>
    <sheetView topLeftCell="A111" workbookViewId="0">
      <selection activeCell="I150" sqref="I150"/>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308</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7"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0</v>
      </c>
      <c r="D14" s="141">
        <v>0</v>
      </c>
      <c r="E14" s="187">
        <f>IF(D$30=0,C14*2,C14+D14)</f>
        <v>0</v>
      </c>
      <c r="F14" s="639">
        <f>'1461'!F14:G14</f>
        <v>1.1220000000000001</v>
      </c>
      <c r="G14" s="639"/>
      <c r="H14" s="145">
        <f>ROUND(E14*F14,4)</f>
        <v>0</v>
      </c>
      <c r="I14" s="111">
        <f>ROUND(ROUND(ROUND(H14*$C$8,4)*($H$8),2)*(MAX($H$9,1)),2)</f>
        <v>0</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0</v>
      </c>
      <c r="D15" s="143">
        <v>0</v>
      </c>
      <c r="E15" s="116">
        <f t="shared" ref="E15:E29" si="1">IF(D$30=0,C15*2,C15+D15)</f>
        <v>0</v>
      </c>
      <c r="F15" s="635">
        <f>'1461'!F15:G15</f>
        <v>1.1220000000000001</v>
      </c>
      <c r="G15" s="635"/>
      <c r="H15" s="80">
        <f t="shared" ref="H15:H29" si="2">ROUND(E15*F15,4)</f>
        <v>0</v>
      </c>
      <c r="I15" s="101">
        <f t="shared" ref="I15:I29" si="3">ROUND(ROUND(ROUND(H15*$C$8,4)*($H$8),2)*(MAX($H$9,1)),2)</f>
        <v>0</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0</v>
      </c>
      <c r="D16" s="143">
        <v>0</v>
      </c>
      <c r="E16" s="116">
        <f t="shared" si="1"/>
        <v>0</v>
      </c>
      <c r="F16" s="635">
        <f>'1461'!F16:G16</f>
        <v>1</v>
      </c>
      <c r="G16" s="635"/>
      <c r="H16" s="80">
        <f t="shared" si="2"/>
        <v>0</v>
      </c>
      <c r="I16" s="101">
        <f t="shared" si="3"/>
        <v>0</v>
      </c>
      <c r="N16" s="573" t="s">
        <v>22</v>
      </c>
      <c r="O16" s="573"/>
      <c r="P16" s="614">
        <f t="shared" si="0"/>
        <v>0</v>
      </c>
      <c r="Q16" s="614"/>
      <c r="R16" s="619">
        <v>1</v>
      </c>
      <c r="S16" s="619"/>
      <c r="T16" s="95">
        <f t="shared" si="4"/>
        <v>0</v>
      </c>
      <c r="U16" s="474">
        <f t="shared" si="5"/>
        <v>0</v>
      </c>
    </row>
    <row r="17" spans="1:21" x14ac:dyDescent="0.25">
      <c r="A17" s="550" t="s">
        <v>23</v>
      </c>
      <c r="B17" s="550"/>
      <c r="C17" s="143">
        <v>0</v>
      </c>
      <c r="D17" s="143">
        <v>0</v>
      </c>
      <c r="E17" s="116">
        <f t="shared" si="1"/>
        <v>0</v>
      </c>
      <c r="F17" s="635">
        <f>'1461'!F17:G17</f>
        <v>1</v>
      </c>
      <c r="G17" s="635"/>
      <c r="H17" s="80">
        <f t="shared" si="2"/>
        <v>0</v>
      </c>
      <c r="I17" s="101">
        <f t="shared" si="3"/>
        <v>0</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105.51</v>
      </c>
      <c r="D18" s="143">
        <v>107.27</v>
      </c>
      <c r="E18" s="116">
        <f t="shared" si="1"/>
        <v>212.78</v>
      </c>
      <c r="F18" s="635">
        <f>'1461'!F18:G18</f>
        <v>0.98799999999999999</v>
      </c>
      <c r="G18" s="635"/>
      <c r="H18" s="80">
        <f t="shared" si="2"/>
        <v>210.22659999999999</v>
      </c>
      <c r="I18" s="101">
        <f t="shared" si="3"/>
        <v>1128266.4099999999</v>
      </c>
      <c r="N18" s="573" t="s">
        <v>24</v>
      </c>
      <c r="O18" s="573"/>
      <c r="P18" s="614">
        <f t="shared" si="0"/>
        <v>0</v>
      </c>
      <c r="Q18" s="614"/>
      <c r="R18" s="619">
        <v>1</v>
      </c>
      <c r="S18" s="619"/>
      <c r="T18" s="95">
        <f t="shared" si="4"/>
        <v>0</v>
      </c>
      <c r="U18" s="474">
        <f t="shared" si="5"/>
        <v>0</v>
      </c>
    </row>
    <row r="19" spans="1:21" x14ac:dyDescent="0.25">
      <c r="A19" s="550" t="s">
        <v>25</v>
      </c>
      <c r="B19" s="550"/>
      <c r="C19" s="143">
        <v>23</v>
      </c>
      <c r="D19" s="143">
        <v>21.83</v>
      </c>
      <c r="E19" s="116">
        <f t="shared" si="1"/>
        <v>44.83</v>
      </c>
      <c r="F19" s="635">
        <f>'1461'!F19:G19</f>
        <v>0.98799999999999999</v>
      </c>
      <c r="G19" s="635"/>
      <c r="H19" s="80">
        <f t="shared" si="2"/>
        <v>44.292000000000002</v>
      </c>
      <c r="I19" s="101">
        <f t="shared" si="3"/>
        <v>237711</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0</v>
      </c>
      <c r="D26" s="143">
        <v>0</v>
      </c>
      <c r="E26" s="116">
        <f t="shared" si="1"/>
        <v>0</v>
      </c>
      <c r="F26" s="635">
        <f>'1461'!F26:G26</f>
        <v>1.208</v>
      </c>
      <c r="G26" s="635"/>
      <c r="H26" s="80">
        <f t="shared" si="2"/>
        <v>0</v>
      </c>
      <c r="I26" s="101">
        <f t="shared" si="3"/>
        <v>0</v>
      </c>
      <c r="N26" s="573" t="s">
        <v>85</v>
      </c>
      <c r="O26" s="573"/>
      <c r="P26" s="614">
        <f t="shared" si="0"/>
        <v>0</v>
      </c>
      <c r="Q26" s="614"/>
      <c r="R26" s="619">
        <v>1</v>
      </c>
      <c r="S26" s="619"/>
      <c r="T26" s="95">
        <f t="shared" si="4"/>
        <v>0</v>
      </c>
      <c r="U26" s="474">
        <f t="shared" si="5"/>
        <v>0</v>
      </c>
    </row>
    <row r="27" spans="1:21" x14ac:dyDescent="0.25">
      <c r="A27" s="550" t="s">
        <v>86</v>
      </c>
      <c r="B27" s="550"/>
      <c r="C27" s="143">
        <v>0</v>
      </c>
      <c r="D27" s="143">
        <v>0</v>
      </c>
      <c r="E27" s="116">
        <f t="shared" si="1"/>
        <v>0</v>
      </c>
      <c r="F27" s="635">
        <f>'1461'!F27:G27</f>
        <v>1.208</v>
      </c>
      <c r="G27" s="635"/>
      <c r="H27" s="80">
        <f t="shared" si="2"/>
        <v>0</v>
      </c>
      <c r="I27" s="101">
        <f t="shared" si="3"/>
        <v>0</v>
      </c>
      <c r="N27" s="573" t="s">
        <v>86</v>
      </c>
      <c r="O27" s="573"/>
      <c r="P27" s="614">
        <f t="shared" si="0"/>
        <v>0</v>
      </c>
      <c r="Q27" s="614"/>
      <c r="R27" s="619">
        <v>1</v>
      </c>
      <c r="S27" s="619"/>
      <c r="T27" s="95">
        <f t="shared" si="4"/>
        <v>0</v>
      </c>
      <c r="U27" s="474">
        <f t="shared" si="5"/>
        <v>0</v>
      </c>
    </row>
    <row r="28" spans="1:21" x14ac:dyDescent="0.25">
      <c r="A28" s="550" t="s">
        <v>87</v>
      </c>
      <c r="B28" s="550"/>
      <c r="C28" s="143">
        <v>19.649999999999999</v>
      </c>
      <c r="D28" s="143">
        <v>18.899999999999999</v>
      </c>
      <c r="E28" s="116">
        <f t="shared" si="1"/>
        <v>38.549999999999997</v>
      </c>
      <c r="F28" s="635">
        <f>'1461'!F28:G28</f>
        <v>1.208</v>
      </c>
      <c r="G28" s="635"/>
      <c r="H28" s="80">
        <f t="shared" si="2"/>
        <v>46.568399999999997</v>
      </c>
      <c r="I28" s="101">
        <f t="shared" si="3"/>
        <v>249928.23</v>
      </c>
      <c r="N28" s="573" t="s">
        <v>87</v>
      </c>
      <c r="O28" s="573"/>
      <c r="P28" s="614">
        <f t="shared" si="0"/>
        <v>0</v>
      </c>
      <c r="Q28" s="614"/>
      <c r="R28" s="619">
        <v>1</v>
      </c>
      <c r="S28" s="619"/>
      <c r="T28" s="95">
        <f t="shared" si="4"/>
        <v>0</v>
      </c>
      <c r="U28" s="474">
        <f t="shared" si="5"/>
        <v>0</v>
      </c>
    </row>
    <row r="29" spans="1:21" x14ac:dyDescent="0.25">
      <c r="A29" s="550" t="s">
        <v>88</v>
      </c>
      <c r="B29" s="550"/>
      <c r="C29" s="110">
        <v>7.28</v>
      </c>
      <c r="D29" s="110">
        <v>6.89</v>
      </c>
      <c r="E29" s="116">
        <f t="shared" si="1"/>
        <v>14.17</v>
      </c>
      <c r="F29" s="635">
        <f>'1461'!F29:G29</f>
        <v>1.0720000000000001</v>
      </c>
      <c r="G29" s="635"/>
      <c r="H29" s="93">
        <f t="shared" si="2"/>
        <v>15.190200000000001</v>
      </c>
      <c r="I29" s="94">
        <f t="shared" si="3"/>
        <v>81524.38</v>
      </c>
      <c r="N29" s="588" t="s">
        <v>88</v>
      </c>
      <c r="O29" s="588"/>
      <c r="P29" s="614">
        <f t="shared" si="0"/>
        <v>0</v>
      </c>
      <c r="Q29" s="614"/>
      <c r="R29" s="615">
        <v>1</v>
      </c>
      <c r="S29" s="615"/>
      <c r="T29" s="95">
        <f t="shared" si="4"/>
        <v>0</v>
      </c>
      <c r="U29" s="474">
        <f t="shared" si="5"/>
        <v>0</v>
      </c>
    </row>
    <row r="30" spans="1:21" x14ac:dyDescent="0.25">
      <c r="A30" s="562" t="s">
        <v>5</v>
      </c>
      <c r="B30" s="562"/>
      <c r="C30" s="94">
        <f>SUM(C14:C29)</f>
        <v>155.44</v>
      </c>
      <c r="D30" s="94">
        <f>SUM(D14:D29)</f>
        <v>154.88999999999999</v>
      </c>
      <c r="E30" s="97">
        <f>SUM(E14:E29)</f>
        <v>310.33000000000004</v>
      </c>
      <c r="F30" s="554"/>
      <c r="G30" s="554"/>
      <c r="H30" s="99">
        <f>SUM(H14:H29)</f>
        <v>316.27719999999999</v>
      </c>
      <c r="I30" s="94">
        <f>SUM(I14:I29)</f>
        <v>1697430.02</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42">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44">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44">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44">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44">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36">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316.27719999999999</v>
      </c>
      <c r="F46" s="34"/>
      <c r="G46" s="106"/>
      <c r="H46" s="107" t="s">
        <v>98</v>
      </c>
      <c r="I46" s="94">
        <f>SUM(I44,I30)</f>
        <v>1697430.02</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1697430.02</v>
      </c>
      <c r="G51" s="109" t="s">
        <v>6</v>
      </c>
      <c r="H51" s="402">
        <v>4.5199999999999997E-2</v>
      </c>
      <c r="I51" s="101">
        <f>ROUND(F51*H51,2)</f>
        <v>76723.839999999997</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1697430.02</v>
      </c>
      <c r="G52" s="109" t="s">
        <v>6</v>
      </c>
      <c r="H52" s="402">
        <v>1.41E-2</v>
      </c>
      <c r="I52" s="101">
        <f>ROUND(F52*H52,2)</f>
        <v>23933.759999999998</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100657.59999999999</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0</v>
      </c>
      <c r="D57" s="143">
        <v>0</v>
      </c>
      <c r="E57" s="116">
        <f t="shared" ref="E57:E65" si="10">IF(D$66=0,C57*2,C57+D57)</f>
        <v>0</v>
      </c>
      <c r="F57" s="444" t="s">
        <v>434</v>
      </c>
      <c r="G57" s="444">
        <v>251</v>
      </c>
      <c r="H57" s="458">
        <f>'1461'!H57</f>
        <v>1047</v>
      </c>
      <c r="I57" s="101">
        <f>ROUND(E57*H57,2)</f>
        <v>0</v>
      </c>
      <c r="N57" s="590" t="s">
        <v>442</v>
      </c>
      <c r="O57" s="590"/>
      <c r="P57" s="593"/>
      <c r="Q57" s="593"/>
      <c r="R57" s="450" t="s">
        <v>434</v>
      </c>
      <c r="S57" s="450">
        <v>251</v>
      </c>
      <c r="T57" s="461">
        <f>H57</f>
        <v>1047</v>
      </c>
      <c r="U57" s="475">
        <f>ROUND(P57*T57,2)</f>
        <v>0</v>
      </c>
      <c r="V57" s="425"/>
    </row>
    <row r="58" spans="1:22" x14ac:dyDescent="0.25">
      <c r="A58" s="561"/>
      <c r="B58" s="561"/>
      <c r="C58" s="143">
        <v>0</v>
      </c>
      <c r="D58" s="143">
        <v>0</v>
      </c>
      <c r="E58" s="116">
        <f t="shared" si="10"/>
        <v>0</v>
      </c>
      <c r="F58" s="444" t="s">
        <v>434</v>
      </c>
      <c r="G58" s="444">
        <v>252</v>
      </c>
      <c r="H58" s="458">
        <f>'1461'!H58</f>
        <v>3380</v>
      </c>
      <c r="I58" s="101">
        <f t="shared" ref="I58:I65" si="11">ROUND(E58*H58,2)</f>
        <v>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0</v>
      </c>
      <c r="D60" s="143">
        <v>0</v>
      </c>
      <c r="E60" s="116">
        <f t="shared" si="10"/>
        <v>0</v>
      </c>
      <c r="F60" s="445" t="s">
        <v>13</v>
      </c>
      <c r="G60" s="444">
        <v>251</v>
      </c>
      <c r="H60" s="458">
        <f>'1461'!H60</f>
        <v>1173</v>
      </c>
      <c r="I60" s="101">
        <f t="shared" si="11"/>
        <v>0</v>
      </c>
      <c r="N60" s="591"/>
      <c r="O60" s="591"/>
      <c r="P60" s="594"/>
      <c r="Q60" s="594"/>
      <c r="R60" s="40" t="s">
        <v>13</v>
      </c>
      <c r="S60" s="450">
        <v>251</v>
      </c>
      <c r="T60" s="461">
        <f t="shared" si="12"/>
        <v>1173</v>
      </c>
      <c r="U60" s="475">
        <f t="shared" si="13"/>
        <v>0</v>
      </c>
      <c r="V60" s="425"/>
    </row>
    <row r="61" spans="1:22" x14ac:dyDescent="0.25">
      <c r="A61" s="561"/>
      <c r="B61" s="561"/>
      <c r="C61" s="143">
        <v>0</v>
      </c>
      <c r="D61" s="143">
        <v>0</v>
      </c>
      <c r="E61" s="116">
        <f t="shared" si="10"/>
        <v>0</v>
      </c>
      <c r="F61" s="445" t="s">
        <v>13</v>
      </c>
      <c r="G61" s="444">
        <v>252</v>
      </c>
      <c r="H61" s="458">
        <f>'1461'!H61</f>
        <v>3506</v>
      </c>
      <c r="I61" s="101">
        <f t="shared" si="11"/>
        <v>0</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22.5</v>
      </c>
      <c r="D63" s="143">
        <v>21.36</v>
      </c>
      <c r="E63" s="116">
        <f t="shared" si="10"/>
        <v>43.86</v>
      </c>
      <c r="F63" s="445" t="s">
        <v>14</v>
      </c>
      <c r="G63" s="444">
        <v>251</v>
      </c>
      <c r="H63" s="458">
        <f>'1461'!H63</f>
        <v>835</v>
      </c>
      <c r="I63" s="101">
        <f t="shared" si="11"/>
        <v>36623.1</v>
      </c>
      <c r="N63" s="591"/>
      <c r="O63" s="591"/>
      <c r="P63" s="594"/>
      <c r="Q63" s="594"/>
      <c r="R63" s="40" t="s">
        <v>14</v>
      </c>
      <c r="S63" s="450">
        <v>251</v>
      </c>
      <c r="T63" s="461">
        <f t="shared" si="12"/>
        <v>835</v>
      </c>
      <c r="U63" s="475">
        <f t="shared" si="13"/>
        <v>0</v>
      </c>
      <c r="V63" s="425"/>
    </row>
    <row r="64" spans="1:22" x14ac:dyDescent="0.25">
      <c r="A64" s="561"/>
      <c r="B64" s="561"/>
      <c r="C64" s="143">
        <v>0.5</v>
      </c>
      <c r="D64" s="143">
        <v>0.47</v>
      </c>
      <c r="E64" s="116">
        <f t="shared" si="10"/>
        <v>0.97</v>
      </c>
      <c r="F64" s="445" t="s">
        <v>14</v>
      </c>
      <c r="G64" s="444">
        <v>252</v>
      </c>
      <c r="H64" s="458">
        <f>'1461'!H64</f>
        <v>3168</v>
      </c>
      <c r="I64" s="101">
        <f t="shared" si="11"/>
        <v>3072.96</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23</v>
      </c>
      <c r="D66" s="97">
        <f>SUM(D57:D65)</f>
        <v>21.83</v>
      </c>
      <c r="E66" s="97">
        <f>SUM(E57:E65)</f>
        <v>44.83</v>
      </c>
      <c r="F66" s="562" t="s">
        <v>443</v>
      </c>
      <c r="G66" s="562"/>
      <c r="H66" s="562"/>
      <c r="I66" s="97">
        <f>SUM(I57:I65)</f>
        <v>39696.06</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310.33000000000004</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1.5380000000000001E-3</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316.27719999999999</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1.3929999999999999E-3</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310.33000000000004</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1.665E-3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310.33000000000004</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1.5399999999999999E-3</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310.33000000000004</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1.668E-3</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1.5399999999999999E-3</v>
      </c>
      <c r="I85" s="101">
        <f>ROUND(F85*H85,2)</f>
        <v>68236.3</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53"/>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1.5380000000000001E-3</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1.668E-3</v>
      </c>
      <c r="I90" s="101">
        <f>ROUND(F90*H90,2)</f>
        <v>27147.83</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1.665E-3</v>
      </c>
      <c r="I92" s="101">
        <f t="shared" ref="I92:I96" si="14">ROUND(F92*H92,2)</f>
        <v>16863.18</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1.3929999999999999E-3</v>
      </c>
      <c r="I94" s="101">
        <f t="shared" si="14"/>
        <v>332923.76</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1.3929999999999999E-3</v>
      </c>
      <c r="I96" s="101">
        <f t="shared" si="14"/>
        <v>0</v>
      </c>
      <c r="N96" s="572" t="s">
        <v>418</v>
      </c>
      <c r="O96" s="573"/>
      <c r="P96" s="573"/>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475</v>
      </c>
      <c r="B98" s="512"/>
      <c r="C98" s="512"/>
      <c r="D98" s="512"/>
      <c r="E98" s="510" t="s">
        <v>3</v>
      </c>
      <c r="F98" s="291">
        <v>0</v>
      </c>
      <c r="G98" s="511" t="s">
        <v>6</v>
      </c>
      <c r="H98" s="423">
        <f>H70</f>
        <v>1.5380000000000001E-3</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0</v>
      </c>
      <c r="D104" s="568"/>
      <c r="E104" s="46">
        <f>H8</f>
        <v>1.0442</v>
      </c>
      <c r="F104" s="304">
        <f>'1461'!F104</f>
        <v>947.59</v>
      </c>
      <c r="G104" s="39" t="s">
        <v>12</v>
      </c>
      <c r="H104" s="101">
        <f>ROUND(C104*E104*F104,2)</f>
        <v>0</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0</v>
      </c>
      <c r="D105" s="568"/>
      <c r="E105" s="46">
        <f>H8</f>
        <v>1.0442</v>
      </c>
      <c r="F105" s="304">
        <f>'1461'!F105</f>
        <v>904.74</v>
      </c>
      <c r="G105" s="39" t="s">
        <v>12</v>
      </c>
      <c r="H105" s="101">
        <f>ROUND(C105*E105*F105,2)</f>
        <v>0</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316.27719999999999</v>
      </c>
      <c r="D106" s="568"/>
      <c r="E106" s="46">
        <f>H8</f>
        <v>1.0442</v>
      </c>
      <c r="F106" s="304">
        <f>'1461'!F106</f>
        <v>906.93</v>
      </c>
      <c r="G106" s="39" t="s">
        <v>12</v>
      </c>
      <c r="H106" s="94">
        <f>ROUND(C106*E106*F106,2)</f>
        <v>299519.67</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316.27719999999999</v>
      </c>
      <c r="D107" s="558"/>
      <c r="E107" s="123"/>
      <c r="F107" s="123"/>
      <c r="G107" s="123"/>
      <c r="H107" s="124" t="s">
        <v>100</v>
      </c>
      <c r="I107" s="101">
        <f>IF(A1=75,0,H106+H105+H104)</f>
        <v>299519.67</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7"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2</v>
      </c>
      <c r="D113" s="143">
        <v>0</v>
      </c>
      <c r="E113" s="144">
        <f>C113</f>
        <v>2</v>
      </c>
      <c r="F113" s="126" t="s">
        <v>30</v>
      </c>
      <c r="G113" s="305">
        <f>'1461'!G113</f>
        <v>548</v>
      </c>
      <c r="I113" s="101">
        <f>ROUND(G113*E113,2)</f>
        <v>1096</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44">
        <f>C114</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42">
        <f>IF(D30=0,C121*2,C121+D121)</f>
        <v>0</v>
      </c>
      <c r="F121" s="647">
        <v>0</v>
      </c>
      <c r="G121" s="647"/>
      <c r="H121" s="61">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44">
        <f>IF(D31=0,C122*2,C122+D122)</f>
        <v>0</v>
      </c>
      <c r="F122" s="570">
        <f>ROUND(F121/2,2)</f>
        <v>0</v>
      </c>
      <c r="G122" s="570"/>
      <c r="H122" s="61">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44">
        <f>IF(D32=0,C123*2,C123+D123)</f>
        <v>0</v>
      </c>
      <c r="F123" s="571"/>
      <c r="G123" s="571"/>
      <c r="H123" s="63">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2482912.8200000003</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2382255.2200000002</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2382255.2200000002</v>
      </c>
      <c r="I135" s="94">
        <f>ROUND(IF(E30=0,0,IF(E30&gt;250,-(((250/E30)*H135)*IF(G135="H",0.02,0.05)),IF(G135="H",-0.02*H135,-0.05*H135))),2)</f>
        <v>-95956.53</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2386956.2900000005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-414000.01-200600.78-200600.78-200600.78-200600.78-195974.03-195581.88-196388.93</f>
        <v>-1804347.97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582608.32000000053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194202.77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23156.23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369"/>
      <c r="Q149" s="73"/>
      <c r="R149" s="73"/>
      <c r="S149" s="73"/>
      <c r="T149" s="73"/>
      <c r="U149" s="73"/>
    </row>
    <row r="150" spans="1:21" x14ac:dyDescent="0.25">
      <c r="B150" s="69"/>
      <c r="C150" s="69"/>
      <c r="D150" s="69"/>
      <c r="E150" s="69"/>
      <c r="F150" s="69"/>
      <c r="G150" s="69"/>
      <c r="H150" s="65"/>
      <c r="I150" s="134"/>
      <c r="N150" s="73"/>
      <c r="O150" s="73"/>
      <c r="P150" s="369"/>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CCC"/>
  </sheetPr>
  <dimension ref="A1:V221"/>
  <sheetViews>
    <sheetView topLeftCell="A129" workbookViewId="0">
      <selection activeCell="F60" sqref="F60"/>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110</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0</v>
      </c>
      <c r="D14" s="141">
        <v>0</v>
      </c>
      <c r="E14" s="187">
        <f>IF(D$30=0,C14*2,C14+D14)</f>
        <v>0</v>
      </c>
      <c r="F14" s="639">
        <f>'1461'!F14:G14</f>
        <v>1.1220000000000001</v>
      </c>
      <c r="G14" s="639"/>
      <c r="H14" s="145">
        <f>ROUND(E14*F14,4)</f>
        <v>0</v>
      </c>
      <c r="I14" s="111">
        <f>ROUND(ROUND(ROUND(H14*$C$8,4)*($H$8),2)*(MAX($H$9,1)),2)</f>
        <v>0</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0</v>
      </c>
      <c r="D15" s="143">
        <v>0</v>
      </c>
      <c r="E15" s="116">
        <f t="shared" ref="E15:E29" si="1">IF(D$30=0,C15*2,C15+D15)</f>
        <v>0</v>
      </c>
      <c r="F15" s="635">
        <f>'1461'!F15:G15</f>
        <v>1.1220000000000001</v>
      </c>
      <c r="G15" s="635"/>
      <c r="H15" s="80">
        <f t="shared" ref="H15:H29" si="2">ROUND(E15*F15,4)</f>
        <v>0</v>
      </c>
      <c r="I15" s="101">
        <f t="shared" ref="I15:I29" si="3">ROUND(ROUND(ROUND(H15*$C$8,4)*($H$8),2)*(MAX($H$9,1)),2)</f>
        <v>0</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0</v>
      </c>
      <c r="D16" s="143">
        <v>0</v>
      </c>
      <c r="E16" s="116">
        <f t="shared" si="1"/>
        <v>0</v>
      </c>
      <c r="F16" s="635">
        <f>'1461'!F16:G16</f>
        <v>1</v>
      </c>
      <c r="G16" s="635"/>
      <c r="H16" s="80">
        <f t="shared" si="2"/>
        <v>0</v>
      </c>
      <c r="I16" s="101">
        <f t="shared" si="3"/>
        <v>0</v>
      </c>
      <c r="N16" s="573" t="s">
        <v>22</v>
      </c>
      <c r="O16" s="573"/>
      <c r="P16" s="614">
        <f t="shared" si="0"/>
        <v>0</v>
      </c>
      <c r="Q16" s="614"/>
      <c r="R16" s="619">
        <v>1</v>
      </c>
      <c r="S16" s="619"/>
      <c r="T16" s="95">
        <f t="shared" si="4"/>
        <v>0</v>
      </c>
      <c r="U16" s="474">
        <f t="shared" si="5"/>
        <v>0</v>
      </c>
    </row>
    <row r="17" spans="1:21" x14ac:dyDescent="0.25">
      <c r="A17" s="550" t="s">
        <v>23</v>
      </c>
      <c r="B17" s="550"/>
      <c r="C17" s="143">
        <v>0</v>
      </c>
      <c r="D17" s="143">
        <v>0</v>
      </c>
      <c r="E17" s="116">
        <f t="shared" si="1"/>
        <v>0</v>
      </c>
      <c r="F17" s="635">
        <f>'1461'!F17:G17</f>
        <v>1</v>
      </c>
      <c r="G17" s="635"/>
      <c r="H17" s="80">
        <f t="shared" si="2"/>
        <v>0</v>
      </c>
      <c r="I17" s="101">
        <f t="shared" si="3"/>
        <v>0</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302.58999999999997</v>
      </c>
      <c r="D18" s="143">
        <v>282.24</v>
      </c>
      <c r="E18" s="116">
        <f t="shared" si="1"/>
        <v>584.82999999999993</v>
      </c>
      <c r="F18" s="635">
        <f>'1461'!F18:G18</f>
        <v>0.98799999999999999</v>
      </c>
      <c r="G18" s="635"/>
      <c r="H18" s="80">
        <f t="shared" si="2"/>
        <v>577.81200000000001</v>
      </c>
      <c r="I18" s="101">
        <f t="shared" si="3"/>
        <v>3101062.73</v>
      </c>
      <c r="N18" s="573" t="s">
        <v>24</v>
      </c>
      <c r="O18" s="573"/>
      <c r="P18" s="614">
        <f t="shared" si="0"/>
        <v>0</v>
      </c>
      <c r="Q18" s="614"/>
      <c r="R18" s="619">
        <v>1</v>
      </c>
      <c r="S18" s="619"/>
      <c r="T18" s="95">
        <f t="shared" si="4"/>
        <v>0</v>
      </c>
      <c r="U18" s="474">
        <f t="shared" si="5"/>
        <v>0</v>
      </c>
    </row>
    <row r="19" spans="1:21" x14ac:dyDescent="0.25">
      <c r="A19" s="550" t="s">
        <v>25</v>
      </c>
      <c r="B19" s="550"/>
      <c r="C19" s="143">
        <v>114.3</v>
      </c>
      <c r="D19" s="143">
        <v>111.31</v>
      </c>
      <c r="E19" s="116">
        <f t="shared" si="1"/>
        <v>225.61</v>
      </c>
      <c r="F19" s="635">
        <f>'1461'!F19:G19</f>
        <v>0.98799999999999999</v>
      </c>
      <c r="G19" s="635"/>
      <c r="H19" s="80">
        <f t="shared" si="2"/>
        <v>222.90270000000001</v>
      </c>
      <c r="I19" s="101">
        <f t="shared" si="3"/>
        <v>1196297.8500000001</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0</v>
      </c>
      <c r="D26" s="143">
        <v>0</v>
      </c>
      <c r="E26" s="116">
        <f t="shared" si="1"/>
        <v>0</v>
      </c>
      <c r="F26" s="635">
        <f>'1461'!F26:G26</f>
        <v>1.208</v>
      </c>
      <c r="G26" s="635"/>
      <c r="H26" s="80">
        <f t="shared" si="2"/>
        <v>0</v>
      </c>
      <c r="I26" s="101">
        <f t="shared" si="3"/>
        <v>0</v>
      </c>
      <c r="N26" s="573" t="s">
        <v>85</v>
      </c>
      <c r="O26" s="573"/>
      <c r="P26" s="614">
        <f t="shared" si="0"/>
        <v>0</v>
      </c>
      <c r="Q26" s="614"/>
      <c r="R26" s="619">
        <v>1</v>
      </c>
      <c r="S26" s="619"/>
      <c r="T26" s="95">
        <f t="shared" si="4"/>
        <v>0</v>
      </c>
      <c r="U26" s="474">
        <f t="shared" si="5"/>
        <v>0</v>
      </c>
    </row>
    <row r="27" spans="1:21" x14ac:dyDescent="0.25">
      <c r="A27" s="550" t="s">
        <v>86</v>
      </c>
      <c r="B27" s="550"/>
      <c r="C27" s="143">
        <v>0</v>
      </c>
      <c r="D27" s="143">
        <v>0</v>
      </c>
      <c r="E27" s="116">
        <f t="shared" si="1"/>
        <v>0</v>
      </c>
      <c r="F27" s="635">
        <f>'1461'!F27:G27</f>
        <v>1.208</v>
      </c>
      <c r="G27" s="635"/>
      <c r="H27" s="80">
        <f t="shared" si="2"/>
        <v>0</v>
      </c>
      <c r="I27" s="101">
        <f t="shared" si="3"/>
        <v>0</v>
      </c>
      <c r="N27" s="573" t="s">
        <v>86</v>
      </c>
      <c r="O27" s="573"/>
      <c r="P27" s="614">
        <f t="shared" si="0"/>
        <v>0</v>
      </c>
      <c r="Q27" s="614"/>
      <c r="R27" s="619">
        <v>1</v>
      </c>
      <c r="S27" s="619"/>
      <c r="T27" s="95">
        <f t="shared" si="4"/>
        <v>0</v>
      </c>
      <c r="U27" s="474">
        <f t="shared" si="5"/>
        <v>0</v>
      </c>
    </row>
    <row r="28" spans="1:21" x14ac:dyDescent="0.25">
      <c r="A28" s="550" t="s">
        <v>87</v>
      </c>
      <c r="B28" s="550"/>
      <c r="C28" s="143">
        <v>1.7</v>
      </c>
      <c r="D28" s="143">
        <v>1.48</v>
      </c>
      <c r="E28" s="116">
        <f t="shared" si="1"/>
        <v>3.1799999999999997</v>
      </c>
      <c r="F28" s="635">
        <f>'1461'!F28:G28</f>
        <v>1.208</v>
      </c>
      <c r="G28" s="635"/>
      <c r="H28" s="80">
        <f t="shared" si="2"/>
        <v>3.8414000000000001</v>
      </c>
      <c r="I28" s="101">
        <f t="shared" si="3"/>
        <v>20616.43</v>
      </c>
      <c r="N28" s="573" t="s">
        <v>87</v>
      </c>
      <c r="O28" s="573"/>
      <c r="P28" s="614">
        <f t="shared" si="0"/>
        <v>0</v>
      </c>
      <c r="Q28" s="614"/>
      <c r="R28" s="619">
        <v>1</v>
      </c>
      <c r="S28" s="619"/>
      <c r="T28" s="95">
        <f t="shared" si="4"/>
        <v>0</v>
      </c>
      <c r="U28" s="474">
        <f t="shared" si="5"/>
        <v>0</v>
      </c>
    </row>
    <row r="29" spans="1:21" x14ac:dyDescent="0.25">
      <c r="A29" s="550" t="s">
        <v>88</v>
      </c>
      <c r="B29" s="550"/>
      <c r="C29" s="110">
        <v>112.63</v>
      </c>
      <c r="D29" s="110">
        <v>124.03</v>
      </c>
      <c r="E29" s="154">
        <f t="shared" si="1"/>
        <v>236.66</v>
      </c>
      <c r="F29" s="635">
        <f>'1461'!F29:G29</f>
        <v>1.0720000000000001</v>
      </c>
      <c r="G29" s="635"/>
      <c r="H29" s="93">
        <f t="shared" si="2"/>
        <v>253.6995</v>
      </c>
      <c r="I29" s="94">
        <f t="shared" si="3"/>
        <v>1361581.39</v>
      </c>
      <c r="N29" s="588" t="s">
        <v>88</v>
      </c>
      <c r="O29" s="588"/>
      <c r="P29" s="614">
        <f t="shared" si="0"/>
        <v>0</v>
      </c>
      <c r="Q29" s="614"/>
      <c r="R29" s="615">
        <v>1</v>
      </c>
      <c r="S29" s="615"/>
      <c r="T29" s="95">
        <f t="shared" si="4"/>
        <v>0</v>
      </c>
      <c r="U29" s="474">
        <f t="shared" si="5"/>
        <v>0</v>
      </c>
    </row>
    <row r="30" spans="1:21" x14ac:dyDescent="0.25">
      <c r="A30" s="562" t="s">
        <v>5</v>
      </c>
      <c r="B30" s="562"/>
      <c r="C30" s="94">
        <f>SUM(C14:C29)</f>
        <v>531.22</v>
      </c>
      <c r="D30" s="94">
        <f>SUM(D14:D29)</f>
        <v>519.06000000000006</v>
      </c>
      <c r="E30" s="94">
        <f>SUM(E14:E29)</f>
        <v>1050.28</v>
      </c>
      <c r="F30" s="554"/>
      <c r="G30" s="554"/>
      <c r="H30" s="99">
        <f>SUM(H14:H29)</f>
        <v>1058.2556</v>
      </c>
      <c r="I30" s="94">
        <f>SUM(I14:I29)</f>
        <v>5679558.3999999994</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1058.2556</v>
      </c>
      <c r="F46" s="34"/>
      <c r="G46" s="106"/>
      <c r="H46" s="107" t="s">
        <v>98</v>
      </c>
      <c r="I46" s="94">
        <f>SUM(I44,I30)</f>
        <v>5679558.3999999994</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5679558.3999999994</v>
      </c>
      <c r="G51" s="109" t="s">
        <v>6</v>
      </c>
      <c r="H51" s="402">
        <v>4.5199999999999997E-2</v>
      </c>
      <c r="I51" s="101">
        <f>ROUND(F51*H51,2)</f>
        <v>256716.04</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5679558.3999999994</v>
      </c>
      <c r="G52" s="109" t="s">
        <v>6</v>
      </c>
      <c r="H52" s="402">
        <v>1.41E-2</v>
      </c>
      <c r="I52" s="101">
        <f>ROUND(F52*H52,2)</f>
        <v>80081.77</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336797.81</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0</v>
      </c>
      <c r="D57" s="143">
        <v>0</v>
      </c>
      <c r="E57" s="116">
        <f t="shared" ref="E57:E62" si="10">IF(D$72=0,C57*2,C57+D57)</f>
        <v>0</v>
      </c>
      <c r="F57" s="444" t="s">
        <v>434</v>
      </c>
      <c r="G57" s="444">
        <v>251</v>
      </c>
      <c r="H57" s="458">
        <f>'1461'!H57</f>
        <v>1047</v>
      </c>
      <c r="I57" s="101">
        <f>ROUND(E57*H57,2)</f>
        <v>0</v>
      </c>
      <c r="N57" s="590" t="s">
        <v>442</v>
      </c>
      <c r="O57" s="590"/>
      <c r="P57" s="593"/>
      <c r="Q57" s="593"/>
      <c r="R57" s="450" t="s">
        <v>434</v>
      </c>
      <c r="S57" s="450">
        <v>251</v>
      </c>
      <c r="T57" s="461">
        <f>H57</f>
        <v>1047</v>
      </c>
      <c r="U57" s="475">
        <f>ROUND(P57*T57,2)</f>
        <v>0</v>
      </c>
      <c r="V57" s="425"/>
    </row>
    <row r="58" spans="1:22" x14ac:dyDescent="0.25">
      <c r="A58" s="561"/>
      <c r="B58" s="561"/>
      <c r="C58" s="143">
        <v>0</v>
      </c>
      <c r="D58" s="143">
        <v>0</v>
      </c>
      <c r="E58" s="116">
        <f t="shared" si="10"/>
        <v>0</v>
      </c>
      <c r="F58" s="444" t="s">
        <v>434</v>
      </c>
      <c r="G58" s="444">
        <v>252</v>
      </c>
      <c r="H58" s="458">
        <f>'1461'!H58</f>
        <v>3380</v>
      </c>
      <c r="I58" s="101">
        <f t="shared" ref="I58:I65" si="11">ROUND(E58*H58,2)</f>
        <v>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0</v>
      </c>
      <c r="D60" s="143">
        <v>0</v>
      </c>
      <c r="E60" s="116">
        <f t="shared" si="10"/>
        <v>0</v>
      </c>
      <c r="F60" s="445" t="s">
        <v>13</v>
      </c>
      <c r="G60" s="444">
        <v>251</v>
      </c>
      <c r="H60" s="458">
        <f>'1461'!H60</f>
        <v>1173</v>
      </c>
      <c r="I60" s="101">
        <f t="shared" si="11"/>
        <v>0</v>
      </c>
      <c r="N60" s="591"/>
      <c r="O60" s="591"/>
      <c r="P60" s="594"/>
      <c r="Q60" s="594"/>
      <c r="R60" s="40" t="s">
        <v>13</v>
      </c>
      <c r="S60" s="450">
        <v>251</v>
      </c>
      <c r="T60" s="461">
        <f t="shared" si="12"/>
        <v>1173</v>
      </c>
      <c r="U60" s="475">
        <f t="shared" si="13"/>
        <v>0</v>
      </c>
      <c r="V60" s="425"/>
    </row>
    <row r="61" spans="1:22" x14ac:dyDescent="0.25">
      <c r="A61" s="561"/>
      <c r="B61" s="561"/>
      <c r="C61" s="143">
        <v>0</v>
      </c>
      <c r="D61" s="143">
        <v>0</v>
      </c>
      <c r="E61" s="116">
        <f t="shared" si="10"/>
        <v>0</v>
      </c>
      <c r="F61" s="445" t="s">
        <v>13</v>
      </c>
      <c r="G61" s="444">
        <v>252</v>
      </c>
      <c r="H61" s="458">
        <f>'1461'!H61</f>
        <v>3506</v>
      </c>
      <c r="I61" s="101">
        <f t="shared" si="11"/>
        <v>0</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105.79</v>
      </c>
      <c r="D63" s="143">
        <v>103.02</v>
      </c>
      <c r="E63" s="116">
        <f>IF(D$66=0,C63*2,C63+D63)</f>
        <v>208.81</v>
      </c>
      <c r="F63" s="445" t="s">
        <v>14</v>
      </c>
      <c r="G63" s="444">
        <v>251</v>
      </c>
      <c r="H63" s="458">
        <f>'1461'!H63</f>
        <v>835</v>
      </c>
      <c r="I63" s="101">
        <f t="shared" si="11"/>
        <v>174356.35</v>
      </c>
      <c r="N63" s="591"/>
      <c r="O63" s="591"/>
      <c r="P63" s="594"/>
      <c r="Q63" s="594"/>
      <c r="R63" s="40" t="s">
        <v>14</v>
      </c>
      <c r="S63" s="450">
        <v>251</v>
      </c>
      <c r="T63" s="461">
        <f t="shared" si="12"/>
        <v>835</v>
      </c>
      <c r="U63" s="475">
        <f t="shared" si="13"/>
        <v>0</v>
      </c>
      <c r="V63" s="425"/>
    </row>
    <row r="64" spans="1:22" x14ac:dyDescent="0.25">
      <c r="A64" s="561"/>
      <c r="B64" s="561"/>
      <c r="C64" s="143">
        <v>8.01</v>
      </c>
      <c r="D64" s="143">
        <v>7.8</v>
      </c>
      <c r="E64" s="116">
        <f>IF(D$66=0,C64*2,C64+D64)</f>
        <v>15.809999999999999</v>
      </c>
      <c r="F64" s="445" t="s">
        <v>14</v>
      </c>
      <c r="G64" s="444">
        <v>252</v>
      </c>
      <c r="H64" s="458">
        <f>'1461'!H64</f>
        <v>3168</v>
      </c>
      <c r="I64" s="101">
        <f t="shared" si="11"/>
        <v>50086.080000000002</v>
      </c>
      <c r="N64" s="591"/>
      <c r="O64" s="591"/>
      <c r="P64" s="594"/>
      <c r="Q64" s="594"/>
      <c r="R64" s="40" t="s">
        <v>14</v>
      </c>
      <c r="S64" s="450">
        <v>252</v>
      </c>
      <c r="T64" s="461">
        <f t="shared" si="12"/>
        <v>3168</v>
      </c>
      <c r="U64" s="475">
        <f t="shared" si="13"/>
        <v>0</v>
      </c>
      <c r="V64" s="425"/>
    </row>
    <row r="65" spans="1:22" ht="16.5" thickBot="1" x14ac:dyDescent="0.3">
      <c r="A65" s="561"/>
      <c r="B65" s="561"/>
      <c r="C65" s="143">
        <v>0.5</v>
      </c>
      <c r="D65" s="143">
        <v>0.49</v>
      </c>
      <c r="E65" s="116">
        <f>IF(D$66=0,C65*2,C65+D65)</f>
        <v>0.99</v>
      </c>
      <c r="F65" s="445" t="s">
        <v>14</v>
      </c>
      <c r="G65" s="444">
        <v>253</v>
      </c>
      <c r="H65" s="458">
        <f>'1461'!H65</f>
        <v>6685</v>
      </c>
      <c r="I65" s="101">
        <f t="shared" si="11"/>
        <v>6618.15</v>
      </c>
      <c r="N65" s="591"/>
      <c r="O65" s="591"/>
      <c r="P65" s="595"/>
      <c r="Q65" s="595"/>
      <c r="R65" s="40" t="s">
        <v>14</v>
      </c>
      <c r="S65" s="450">
        <v>253</v>
      </c>
      <c r="T65" s="461">
        <f t="shared" si="12"/>
        <v>6685</v>
      </c>
      <c r="U65" s="476">
        <f t="shared" si="13"/>
        <v>0</v>
      </c>
      <c r="V65" s="425"/>
    </row>
    <row r="66" spans="1:22" ht="16.5" thickBot="1" x14ac:dyDescent="0.3">
      <c r="A66" s="441"/>
      <c r="C66" s="97">
        <f>SUM(C57:C65)</f>
        <v>114.30000000000001</v>
      </c>
      <c r="D66" s="97">
        <f>SUM(D57:D65)</f>
        <v>111.30999999999999</v>
      </c>
      <c r="E66" s="97">
        <f>SUM(E57:E65)</f>
        <v>225.61</v>
      </c>
      <c r="F66" s="562" t="s">
        <v>443</v>
      </c>
      <c r="G66" s="562"/>
      <c r="H66" s="562"/>
      <c r="I66" s="97">
        <f>SUM(I57:I65)</f>
        <v>231060.58</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1050.28</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5.2050000000000004E-3</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1058.2556</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4.6600000000000001E-3</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1050.28</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5.633E-3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1050.28</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5.2129999999999998E-3</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1050.28</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5.6439999999999997E-3</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5.2129999999999998E-3</v>
      </c>
      <c r="I85" s="101">
        <f>ROUND(F85*H85,2)</f>
        <v>230984.32000000001</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5.2050000000000004E-3</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5.6439999999999997E-3</v>
      </c>
      <c r="I90" s="101">
        <f>ROUND(F90*H90,2)</f>
        <v>91859.94</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5.633E-3</v>
      </c>
      <c r="I92" s="101">
        <f t="shared" ref="I92:I96" si="14">ROUND(F92*H92,2)</f>
        <v>57051.24</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4.6600000000000001E-3</v>
      </c>
      <c r="I94" s="101">
        <f t="shared" si="14"/>
        <v>1113729.1599999999</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4.6600000000000001E-3</v>
      </c>
      <c r="I96" s="101">
        <f t="shared" si="14"/>
        <v>0</v>
      </c>
      <c r="N96" s="572" t="s">
        <v>418</v>
      </c>
      <c r="O96" s="573"/>
      <c r="P96" s="573"/>
      <c r="Q96" s="44"/>
      <c r="R96" s="420">
        <f t="shared" si="15"/>
        <v>0</v>
      </c>
      <c r="S96" s="38" t="s">
        <v>6</v>
      </c>
      <c r="T96" s="422">
        <f>T73</f>
        <v>0</v>
      </c>
      <c r="U96" s="474">
        <f>ROUND(R96*T96,2)</f>
        <v>0</v>
      </c>
    </row>
    <row r="97" spans="1:21" x14ac:dyDescent="0.25">
      <c r="A97" s="513"/>
      <c r="B97" s="512"/>
      <c r="C97" s="512"/>
      <c r="D97" s="512"/>
      <c r="E97" s="510"/>
      <c r="F97" s="117"/>
      <c r="G97" s="511"/>
      <c r="H97" s="423"/>
      <c r="I97" s="101"/>
      <c r="N97" s="516"/>
      <c r="O97" s="515"/>
      <c r="P97" s="515"/>
      <c r="Q97" s="44"/>
      <c r="R97" s="518"/>
      <c r="S97" s="517"/>
      <c r="T97" s="422"/>
      <c r="U97" s="478"/>
    </row>
    <row r="98" spans="1:21" x14ac:dyDescent="0.25">
      <c r="A98" s="513" t="s">
        <v>475</v>
      </c>
      <c r="B98" s="512"/>
      <c r="C98" s="512"/>
      <c r="D98" s="512"/>
      <c r="E98" s="510" t="s">
        <v>3</v>
      </c>
      <c r="F98" s="291">
        <v>0</v>
      </c>
      <c r="G98" s="511" t="s">
        <v>6</v>
      </c>
      <c r="H98" s="423">
        <f>H70</f>
        <v>5.2050000000000004E-3</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0</v>
      </c>
      <c r="D104" s="568"/>
      <c r="E104" s="46">
        <f>H8</f>
        <v>1.0442</v>
      </c>
      <c r="F104" s="304">
        <f>'1461'!F104</f>
        <v>947.59</v>
      </c>
      <c r="G104" s="39" t="s">
        <v>12</v>
      </c>
      <c r="H104" s="101">
        <f>ROUND(C104*E104*F104,2)</f>
        <v>0</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0</v>
      </c>
      <c r="D105" s="568"/>
      <c r="E105" s="46">
        <f>H8</f>
        <v>1.0442</v>
      </c>
      <c r="F105" s="304">
        <f>'1461'!F105</f>
        <v>904.74</v>
      </c>
      <c r="G105" s="39" t="s">
        <v>12</v>
      </c>
      <c r="H105" s="101">
        <f>ROUND(C105*E105*F105,2)</f>
        <v>0</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1058.2556</v>
      </c>
      <c r="D106" s="568"/>
      <c r="E106" s="46">
        <f>H8</f>
        <v>1.0442</v>
      </c>
      <c r="F106" s="304">
        <f>'1461'!F106</f>
        <v>906.93</v>
      </c>
      <c r="G106" s="39" t="s">
        <v>12</v>
      </c>
      <c r="H106" s="94">
        <f>ROUND(C106*E106*F106,2)</f>
        <v>1002185.31</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1058.2556</v>
      </c>
      <c r="D107" s="558"/>
      <c r="E107" s="123"/>
      <c r="F107" s="123"/>
      <c r="G107" s="123"/>
      <c r="H107" s="124" t="s">
        <v>100</v>
      </c>
      <c r="I107" s="101">
        <f>IF(A1=75,0,H106+H105+H104)</f>
        <v>1002185.31</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8"/>
      <c r="D110" s="8"/>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710</v>
      </c>
      <c r="D113" s="143">
        <v>0</v>
      </c>
      <c r="E113" s="116">
        <f>C113</f>
        <v>710</v>
      </c>
      <c r="F113" s="126" t="s">
        <v>30</v>
      </c>
      <c r="G113" s="305">
        <f>'1461'!G113</f>
        <v>548</v>
      </c>
      <c r="I113" s="101">
        <f>ROUND(G113*E113,2)</f>
        <v>389080</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16">
        <f>(C114+D114)/2</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8795508.9500000011</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8458711.1400000006</v>
      </c>
      <c r="N130" s="575" t="s">
        <v>33</v>
      </c>
      <c r="O130" s="575"/>
      <c r="P130" s="575"/>
      <c r="Q130" s="575"/>
      <c r="R130" s="575"/>
      <c r="S130" s="575"/>
      <c r="T130" s="575"/>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430</v>
      </c>
      <c r="B132" s="550"/>
      <c r="C132" s="550"/>
      <c r="D132" s="550"/>
      <c r="E132" s="550"/>
      <c r="F132" s="550"/>
      <c r="G132" s="550"/>
      <c r="H132" s="81" t="s">
        <v>325</v>
      </c>
      <c r="I132" s="134"/>
      <c r="N132" s="28"/>
      <c r="O132" s="28"/>
      <c r="P132" s="28"/>
      <c r="Q132" s="28"/>
      <c r="R132" s="28"/>
      <c r="S132" s="28"/>
      <c r="T132" s="28"/>
      <c r="U132" s="138"/>
    </row>
    <row r="133" spans="1:21" x14ac:dyDescent="0.25">
      <c r="A133" s="550" t="s">
        <v>70</v>
      </c>
      <c r="B133" s="550"/>
      <c r="C133" s="550"/>
      <c r="D133" s="550"/>
      <c r="E133" s="550"/>
      <c r="F133" s="550"/>
      <c r="G133" s="550"/>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t="s">
        <v>240</v>
      </c>
      <c r="H135" s="139">
        <f>IF(H133=1,I133,I130)</f>
        <v>8458711.1400000006</v>
      </c>
      <c r="I135" s="94">
        <f>ROUND(IF(E30=0,0,IF(E30&gt;250,-(((250/E30)*H135)*IF(G135="H",0.02,0.05)),IF(G135="H",-0.02*H135,-0.05*H135))),2)</f>
        <v>-40268.839999999997</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8755240.1100000013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-1588639.75-768922.08-768922.08-768922.08-768922.08-689413.31-698338.3-698129.59</f>
        <v>-6750209.2700000005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2005030.8400000008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668343.61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128905.38280000002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46" t="str">
        <f>'1461'!A152</f>
        <v>(a) Additional FTE includes FTE earned through Advanced Placement, International Baccalaureate, Advanced International Certificate of Education, Industry Certified Career</v>
      </c>
      <c r="B152" s="347"/>
      <c r="C152" s="347"/>
      <c r="D152" s="347"/>
      <c r="E152" s="347"/>
      <c r="F152" s="347"/>
      <c r="G152" s="347"/>
      <c r="H152" s="347"/>
      <c r="I152" s="347"/>
      <c r="J152" s="77"/>
      <c r="K152" s="76"/>
      <c r="L152" s="76"/>
      <c r="M152" s="76"/>
      <c r="N152" s="73"/>
      <c r="O152" s="73"/>
      <c r="P152" s="73"/>
      <c r="Q152" s="73"/>
      <c r="R152" s="73"/>
      <c r="S152" s="73"/>
      <c r="T152" s="73"/>
      <c r="U152" s="73"/>
    </row>
    <row r="153" spans="1:21" ht="15.75" customHeight="1" x14ac:dyDescent="0.25">
      <c r="A153" s="352" t="s">
        <v>366</v>
      </c>
      <c r="B153" s="347"/>
      <c r="C153" s="347"/>
      <c r="D153" s="347"/>
      <c r="E153" s="347"/>
      <c r="F153" s="347"/>
      <c r="G153" s="347"/>
      <c r="H153" s="347"/>
      <c r="I153" s="347"/>
      <c r="J153" s="77"/>
      <c r="K153" s="76"/>
      <c r="L153" s="76"/>
      <c r="M153" s="76"/>
      <c r="N153" s="73"/>
      <c r="O153" s="73"/>
      <c r="P153" s="73"/>
      <c r="Q153" s="73"/>
      <c r="R153" s="73"/>
      <c r="S153" s="73"/>
      <c r="T153" s="73"/>
      <c r="U153" s="73"/>
    </row>
    <row r="154" spans="1:21" x14ac:dyDescent="0.25">
      <c r="A154" s="346" t="s">
        <v>367</v>
      </c>
      <c r="B154" s="348"/>
      <c r="C154" s="348"/>
      <c r="D154" s="348"/>
      <c r="E154" s="348"/>
      <c r="F154" s="348"/>
      <c r="G154" s="348"/>
      <c r="H154" s="348"/>
      <c r="I154" s="348"/>
      <c r="J154" s="76"/>
      <c r="K154" s="76"/>
      <c r="L154" s="76"/>
      <c r="M154" s="76"/>
      <c r="N154" s="73"/>
      <c r="O154" s="73"/>
      <c r="P154" s="73"/>
      <c r="Q154" s="73"/>
      <c r="R154" s="73"/>
      <c r="S154" s="73"/>
      <c r="T154" s="73"/>
      <c r="U154" s="73"/>
    </row>
    <row r="155" spans="1:21" s="76" customFormat="1" x14ac:dyDescent="0.2">
      <c r="A155" s="346" t="s">
        <v>368</v>
      </c>
      <c r="B155" s="348"/>
      <c r="C155" s="348"/>
      <c r="D155" s="348"/>
      <c r="E155" s="348"/>
      <c r="F155" s="348"/>
      <c r="G155" s="348"/>
      <c r="H155" s="348"/>
      <c r="I155" s="348"/>
      <c r="N155" s="597"/>
      <c r="O155" s="597"/>
      <c r="P155" s="597"/>
      <c r="Q155" s="597"/>
      <c r="R155" s="597"/>
      <c r="S155" s="597"/>
      <c r="T155" s="597"/>
      <c r="U155" s="597"/>
    </row>
    <row r="156" spans="1:21" s="76" customFormat="1" x14ac:dyDescent="0.2">
      <c r="A156" s="346" t="s">
        <v>369</v>
      </c>
      <c r="B156" s="348"/>
      <c r="C156" s="348"/>
      <c r="D156" s="348"/>
      <c r="E156" s="348"/>
      <c r="F156" s="348"/>
      <c r="G156" s="348"/>
      <c r="H156" s="348"/>
      <c r="I156" s="348"/>
      <c r="N156" s="73"/>
      <c r="O156" s="73"/>
      <c r="P156" s="73"/>
      <c r="Q156" s="73"/>
      <c r="R156" s="73"/>
      <c r="S156" s="73"/>
      <c r="T156" s="73"/>
      <c r="U156" s="73"/>
    </row>
    <row r="157" spans="1:21" s="76" customFormat="1" x14ac:dyDescent="0.2">
      <c r="A157" s="346" t="s">
        <v>370</v>
      </c>
      <c r="B157" s="348"/>
      <c r="C157" s="348"/>
      <c r="D157" s="348"/>
      <c r="E157" s="348"/>
      <c r="F157" s="348"/>
      <c r="G157" s="348"/>
      <c r="H157" s="348"/>
      <c r="I157" s="348"/>
      <c r="N157" s="78"/>
      <c r="O157" s="79"/>
      <c r="P157" s="79"/>
      <c r="Q157" s="79"/>
      <c r="R157" s="79"/>
      <c r="S157" s="79"/>
      <c r="T157" s="79"/>
      <c r="U157" s="79"/>
    </row>
    <row r="158" spans="1:21" s="76" customFormat="1" x14ac:dyDescent="0.2">
      <c r="A158" s="346" t="s">
        <v>371</v>
      </c>
      <c r="B158" s="348"/>
      <c r="C158" s="348"/>
      <c r="D158" s="348"/>
      <c r="E158" s="348"/>
      <c r="F158" s="348"/>
      <c r="G158" s="348"/>
      <c r="H158" s="348"/>
      <c r="I158" s="348"/>
      <c r="N158" s="78"/>
    </row>
    <row r="159" spans="1:21" s="76" customFormat="1" x14ac:dyDescent="0.2">
      <c r="A159" s="346" t="s">
        <v>373</v>
      </c>
      <c r="B159" s="348"/>
      <c r="C159" s="348"/>
      <c r="D159" s="348"/>
      <c r="E159" s="348"/>
      <c r="F159" s="348"/>
      <c r="G159" s="348"/>
      <c r="H159" s="348"/>
      <c r="I159" s="348"/>
      <c r="N159" s="78"/>
    </row>
    <row r="160" spans="1:21" s="76" customFormat="1" x14ac:dyDescent="0.2">
      <c r="A160" s="352" t="s">
        <v>372</v>
      </c>
      <c r="B160" s="348"/>
      <c r="C160" s="348"/>
      <c r="D160" s="348"/>
      <c r="E160" s="348"/>
      <c r="F160" s="348"/>
      <c r="G160" s="348"/>
      <c r="H160" s="348"/>
      <c r="I160" s="348"/>
      <c r="N160" s="78"/>
    </row>
    <row r="161" spans="1:14" s="76" customFormat="1" x14ac:dyDescent="0.2">
      <c r="A161" s="346" t="s">
        <v>374</v>
      </c>
      <c r="B161" s="348"/>
      <c r="C161" s="348"/>
      <c r="D161" s="348"/>
      <c r="E161" s="348"/>
      <c r="F161" s="348"/>
      <c r="G161" s="348"/>
      <c r="H161" s="348"/>
      <c r="I161" s="348"/>
      <c r="N161" s="78"/>
    </row>
    <row r="162" spans="1:14" s="76" customFormat="1" x14ac:dyDescent="0.2">
      <c r="A162" s="352" t="str">
        <f>'1461'!A162</f>
        <v>"All Adjusted ESE Riders" should include only ESE Riders.</v>
      </c>
      <c r="B162" s="348"/>
      <c r="C162" s="348"/>
      <c r="D162" s="348"/>
      <c r="E162" s="348"/>
      <c r="F162" s="348"/>
      <c r="G162" s="348"/>
      <c r="H162" s="348"/>
      <c r="I162" s="348"/>
      <c r="N162" s="78"/>
    </row>
    <row r="163" spans="1:14" s="76" customFormat="1" x14ac:dyDescent="0.2">
      <c r="A163" s="346" t="s">
        <v>377</v>
      </c>
      <c r="B163" s="348"/>
      <c r="C163" s="348"/>
      <c r="D163" s="348"/>
      <c r="E163" s="348"/>
      <c r="F163" s="348"/>
      <c r="G163" s="348"/>
      <c r="H163" s="348"/>
      <c r="I163" s="348"/>
      <c r="N163" s="78"/>
    </row>
    <row r="164" spans="1:14" s="76" customFormat="1" ht="15.75" customHeight="1" x14ac:dyDescent="0.2">
      <c r="A164" s="346" t="str">
        <f>'1461'!A164</f>
        <v xml:space="preserve">(j) Funding based on student eligibility and meals provided, if participating in the National School Lunch Program. </v>
      </c>
      <c r="B164" s="348"/>
      <c r="C164" s="348"/>
      <c r="D164" s="348"/>
      <c r="E164" s="348"/>
      <c r="F164" s="348"/>
      <c r="G164" s="348"/>
      <c r="H164" s="348"/>
      <c r="I164" s="348"/>
      <c r="N164" s="78"/>
    </row>
    <row r="165" spans="1:14" s="76" customFormat="1" ht="15.75" customHeight="1" x14ac:dyDescent="0.2">
      <c r="A165" s="346" t="s">
        <v>379</v>
      </c>
      <c r="B165" s="348"/>
      <c r="C165" s="348"/>
      <c r="D165" s="348"/>
      <c r="E165" s="348"/>
      <c r="F165" s="348"/>
      <c r="G165" s="348"/>
      <c r="H165" s="348"/>
      <c r="I165" s="348"/>
      <c r="N165" s="78"/>
    </row>
    <row r="166" spans="1:14" s="76" customFormat="1" ht="15.75" customHeight="1" x14ac:dyDescent="0.2">
      <c r="A166" s="352" t="s">
        <v>378</v>
      </c>
      <c r="B166" s="348"/>
      <c r="C166" s="348"/>
      <c r="D166" s="348"/>
      <c r="E166" s="348"/>
      <c r="F166" s="348"/>
      <c r="G166" s="348"/>
      <c r="H166" s="348"/>
      <c r="I166" s="348"/>
      <c r="N166" s="78"/>
    </row>
    <row r="167" spans="1:14" s="76" customFormat="1" ht="15.75" customHeight="1" x14ac:dyDescent="0.2">
      <c r="A167" s="346" t="s">
        <v>380</v>
      </c>
      <c r="B167" s="348"/>
      <c r="C167" s="348"/>
      <c r="D167" s="348"/>
      <c r="E167" s="348"/>
      <c r="F167" s="348"/>
      <c r="G167" s="348"/>
      <c r="H167" s="348"/>
      <c r="I167" s="348"/>
      <c r="N167" s="78"/>
    </row>
    <row r="168" spans="1:14" s="76" customFormat="1" ht="15.75" customHeight="1" x14ac:dyDescent="0.2">
      <c r="A168" s="352" t="str">
        <f>'1461'!A168</f>
        <v xml:space="preserve">unweighted full-time equivalent students. </v>
      </c>
      <c r="B168" s="348"/>
      <c r="C168" s="348"/>
      <c r="D168" s="348"/>
      <c r="E168" s="348"/>
      <c r="F168" s="348"/>
      <c r="G168" s="348"/>
      <c r="H168" s="348"/>
      <c r="I168" s="348"/>
      <c r="N168" s="78"/>
    </row>
    <row r="169" spans="1:14" s="76" customFormat="1" ht="15.75" customHeight="1" x14ac:dyDescent="0.2">
      <c r="A169" s="346" t="s">
        <v>382</v>
      </c>
      <c r="B169" s="348"/>
      <c r="C169" s="348"/>
      <c r="D169" s="348"/>
      <c r="E169" s="348"/>
      <c r="F169" s="348"/>
      <c r="G169" s="348"/>
      <c r="H169" s="348"/>
      <c r="I169" s="348"/>
      <c r="N169" s="78"/>
    </row>
    <row r="170" spans="1:14" s="76" customFormat="1" ht="15.75" customHeight="1" x14ac:dyDescent="0.2">
      <c r="A170" s="352" t="s">
        <v>381</v>
      </c>
      <c r="B170" s="348"/>
      <c r="C170" s="348"/>
      <c r="D170" s="348"/>
      <c r="E170" s="348"/>
      <c r="F170" s="348"/>
      <c r="G170" s="348"/>
      <c r="H170" s="348"/>
      <c r="I170" s="348"/>
      <c r="N170" s="78"/>
    </row>
    <row r="171" spans="1:14" s="76" customFormat="1" ht="15.75" customHeight="1" x14ac:dyDescent="0.2">
      <c r="A171" s="346"/>
      <c r="B171" s="348"/>
      <c r="C171" s="348"/>
      <c r="D171" s="348"/>
      <c r="E171" s="348"/>
      <c r="F171" s="348"/>
      <c r="G171" s="348"/>
      <c r="H171" s="348"/>
      <c r="I171" s="348"/>
      <c r="N171" s="78"/>
    </row>
    <row r="172" spans="1:14" s="76" customFormat="1" ht="15.75" customHeight="1" x14ac:dyDescent="0.25">
      <c r="A172" s="359" t="str">
        <f>'1461'!A172</f>
        <v>Administrative fees:</v>
      </c>
      <c r="B172" s="348"/>
      <c r="C172" s="348"/>
      <c r="D172" s="348"/>
      <c r="E172" s="348"/>
      <c r="F172" s="348"/>
      <c r="G172" s="348"/>
      <c r="H172" s="348"/>
      <c r="I172" s="348"/>
      <c r="J172" s="3"/>
      <c r="K172" s="3"/>
      <c r="L172" s="3"/>
      <c r="M172" s="3"/>
      <c r="N172" s="78"/>
    </row>
    <row r="173" spans="1:14" s="76" customFormat="1" ht="15.75" customHeight="1" x14ac:dyDescent="0.25">
      <c r="A173" s="363" t="str">
        <f>'1461'!A173</f>
        <v xml:space="preserve">Administrative fees charged by the school district pursuant to s. 1002.33(20)(a), F.S., shall be calculated based upon 5% of available funds from the FEFP and categorical </v>
      </c>
      <c r="B173" s="351"/>
      <c r="C173" s="351"/>
      <c r="D173" s="351"/>
      <c r="E173" s="351"/>
      <c r="F173" s="351"/>
      <c r="G173" s="351"/>
      <c r="H173" s="351"/>
      <c r="I173" s="351"/>
      <c r="J173" s="3"/>
      <c r="K173" s="3"/>
      <c r="L173" s="3"/>
      <c r="M173" s="3"/>
      <c r="N173" s="78"/>
    </row>
    <row r="174" spans="1:14" s="76" customFormat="1" ht="15.75" customHeight="1" x14ac:dyDescent="0.25">
      <c r="A174" s="364" t="str">
        <f>'1461'!A174</f>
        <v>funding for which charter students may be eligible.  To calculate the administrative fee to be withheld for schools with more than 250 students, divide the school</v>
      </c>
      <c r="B174" s="358"/>
      <c r="C174" s="358"/>
      <c r="D174" s="358"/>
      <c r="E174" s="358"/>
      <c r="F174" s="358"/>
      <c r="G174" s="358"/>
      <c r="H174" s="358"/>
      <c r="I174" s="358"/>
      <c r="J174" s="3"/>
      <c r="K174" s="3"/>
      <c r="L174" s="3"/>
      <c r="M174" s="3"/>
      <c r="N174" s="78"/>
    </row>
    <row r="175" spans="1:14" s="76" customFormat="1" ht="15.75" customHeight="1" x14ac:dyDescent="0.25">
      <c r="A175" s="364" t="s">
        <v>383</v>
      </c>
      <c r="B175" s="358"/>
      <c r="C175" s="358"/>
      <c r="D175" s="358"/>
      <c r="E175" s="358"/>
      <c r="F175" s="358"/>
      <c r="G175" s="358"/>
      <c r="H175" s="358"/>
      <c r="I175" s="358"/>
      <c r="J175" s="3"/>
      <c r="K175" s="3"/>
      <c r="L175" s="3"/>
      <c r="M175" s="3"/>
      <c r="N175" s="78"/>
    </row>
    <row r="176" spans="1:14" s="76" customFormat="1" ht="15.75" customHeight="1" x14ac:dyDescent="0.2">
      <c r="A176" s="364" t="s">
        <v>384</v>
      </c>
      <c r="B176" s="358"/>
      <c r="C176" s="358"/>
      <c r="D176" s="358"/>
      <c r="E176" s="358"/>
      <c r="F176" s="358"/>
      <c r="G176" s="358"/>
      <c r="H176" s="358"/>
      <c r="I176" s="358"/>
      <c r="N176" s="78"/>
    </row>
    <row r="177" spans="1:21" s="76" customFormat="1" ht="15.75" customHeight="1" x14ac:dyDescent="0.2">
      <c r="A177" s="363"/>
      <c r="B177" s="358"/>
      <c r="C177" s="358"/>
      <c r="D177" s="358"/>
      <c r="E177" s="358"/>
      <c r="F177" s="358"/>
      <c r="G177" s="358"/>
      <c r="H177" s="358"/>
      <c r="I177" s="358"/>
      <c r="N177" s="78"/>
    </row>
    <row r="178" spans="1:21" ht="15.75" customHeight="1" x14ac:dyDescent="0.25">
      <c r="A178" s="363" t="str">
        <f>'1461'!A178</f>
        <v xml:space="preserve">For high performing charter schools, administrative fees charged by the school district shall be calculated based upon 2% of available funds from the FEFP and categorical </v>
      </c>
      <c r="B178" s="351"/>
      <c r="C178" s="351"/>
      <c r="D178" s="351"/>
      <c r="E178" s="351"/>
      <c r="F178" s="351"/>
      <c r="G178" s="351"/>
      <c r="H178" s="351"/>
      <c r="I178" s="351"/>
      <c r="J178" s="76"/>
      <c r="K178" s="76"/>
      <c r="L178" s="76"/>
      <c r="M178" s="76"/>
      <c r="N178" s="78"/>
      <c r="O178" s="76"/>
      <c r="P178" s="76"/>
      <c r="Q178" s="76"/>
      <c r="R178" s="76"/>
      <c r="S178" s="76"/>
      <c r="T178" s="76"/>
      <c r="U178" s="76"/>
    </row>
    <row r="179" spans="1:21" ht="15.75" customHeight="1" x14ac:dyDescent="0.25">
      <c r="A179" s="364" t="str">
        <f>'1461'!A179</f>
        <v>funding for which charter students may be eligible.  To calculate the administrative fee to be withheld for schools with more than 250 students, divide the school</v>
      </c>
      <c r="B179" s="351"/>
      <c r="C179" s="351"/>
      <c r="D179" s="351"/>
      <c r="E179" s="351"/>
      <c r="F179" s="351"/>
      <c r="G179" s="351"/>
      <c r="H179" s="351"/>
      <c r="I179" s="351"/>
      <c r="J179" s="76"/>
      <c r="K179" s="76"/>
      <c r="L179" s="76"/>
      <c r="M179" s="76"/>
      <c r="N179" s="74"/>
    </row>
    <row r="180" spans="1:21" s="76" customFormat="1" ht="15.75" customHeight="1" x14ac:dyDescent="0.25">
      <c r="A180" s="364" t="str">
        <f>'1461'!A180</f>
        <v xml:space="preserve">population into 250. Multiply that fraction times the funds available, then times 2%.  </v>
      </c>
      <c r="B180" s="351"/>
      <c r="C180" s="351"/>
      <c r="D180" s="351"/>
      <c r="E180" s="351"/>
      <c r="F180" s="351"/>
      <c r="G180" s="351"/>
      <c r="H180" s="351"/>
      <c r="I180" s="351"/>
      <c r="N180" s="74"/>
      <c r="O180" s="3"/>
      <c r="P180" s="3"/>
      <c r="Q180" s="3"/>
      <c r="R180" s="3"/>
      <c r="S180" s="3"/>
      <c r="T180" s="3"/>
      <c r="U180" s="3"/>
    </row>
    <row r="181" spans="1:21" x14ac:dyDescent="0.25">
      <c r="A181" s="346"/>
      <c r="B181" s="351"/>
      <c r="C181" s="351"/>
      <c r="D181" s="351"/>
      <c r="E181" s="351"/>
      <c r="F181" s="351"/>
      <c r="G181" s="351"/>
      <c r="H181" s="351"/>
      <c r="I181" s="351"/>
      <c r="N181" s="78"/>
      <c r="O181" s="76"/>
      <c r="P181" s="76"/>
      <c r="Q181" s="76"/>
      <c r="R181" s="76"/>
      <c r="S181" s="76"/>
      <c r="T181" s="76"/>
      <c r="U181" s="76"/>
    </row>
    <row r="182" spans="1:21" x14ac:dyDescent="0.25">
      <c r="A182" s="359" t="str">
        <f>'1461'!A182</f>
        <v>Other:</v>
      </c>
      <c r="B182" s="357"/>
      <c r="C182" s="357"/>
      <c r="D182" s="357"/>
      <c r="E182" s="357"/>
      <c r="F182" s="357"/>
      <c r="G182" s="357"/>
      <c r="H182" s="357"/>
      <c r="I182" s="357"/>
      <c r="N182" s="78"/>
      <c r="O182" s="76"/>
      <c r="P182" s="76"/>
      <c r="Q182" s="76"/>
      <c r="R182" s="76"/>
      <c r="S182" s="76"/>
      <c r="T182" s="76"/>
      <c r="U182" s="76"/>
    </row>
    <row r="183" spans="1:21" x14ac:dyDescent="0.25">
      <c r="A183" s="363" t="str">
        <f>'1461'!A183</f>
        <v>FEFP and categorical funding are recalculated during the year to reflect the revised number of full-time equivalent students reported during the survey periods designated</v>
      </c>
      <c r="B183" s="351"/>
      <c r="C183" s="351"/>
      <c r="D183" s="351"/>
      <c r="E183" s="351"/>
      <c r="F183" s="351"/>
      <c r="G183" s="351"/>
      <c r="H183" s="351"/>
      <c r="I183" s="351"/>
      <c r="N183" s="78"/>
      <c r="O183" s="76"/>
      <c r="P183" s="76"/>
      <c r="Q183" s="76"/>
      <c r="R183" s="76"/>
      <c r="S183" s="76"/>
      <c r="T183" s="76"/>
      <c r="U183" s="76"/>
    </row>
    <row r="184" spans="1:21" x14ac:dyDescent="0.25">
      <c r="A184" s="364" t="str">
        <f>'1461'!A184</f>
        <v>by the Commissioner of Education.</v>
      </c>
      <c r="B184" s="358"/>
      <c r="C184" s="358"/>
      <c r="D184" s="358"/>
      <c r="E184" s="358"/>
      <c r="F184" s="358"/>
      <c r="G184" s="358"/>
      <c r="H184" s="358"/>
      <c r="I184" s="358"/>
      <c r="N184" s="74"/>
    </row>
    <row r="185" spans="1:21" x14ac:dyDescent="0.25">
      <c r="A185" s="363" t="str">
        <f>'1461'!A185</f>
        <v>Revenues flow to districts from state sources and from county tax collectors on various distribution schedules.</v>
      </c>
      <c r="B185" s="351"/>
      <c r="C185" s="351"/>
      <c r="D185" s="351"/>
      <c r="E185" s="351"/>
      <c r="F185" s="351"/>
      <c r="G185" s="351"/>
      <c r="H185" s="351"/>
      <c r="I185" s="351"/>
      <c r="N185" s="74"/>
    </row>
    <row r="186" spans="1:21" x14ac:dyDescent="0.25">
      <c r="A186" s="294"/>
      <c r="B186" s="294"/>
      <c r="C186" s="294"/>
      <c r="D186" s="294"/>
      <c r="E186" s="294"/>
      <c r="F186" s="294"/>
      <c r="G186" s="294"/>
      <c r="H186" s="294"/>
      <c r="I186" s="294"/>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58">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1">
    <tabColor rgb="FFFFCCCC"/>
  </sheetPr>
  <dimension ref="A1:V221"/>
  <sheetViews>
    <sheetView topLeftCell="A114" workbookViewId="0">
      <selection activeCell="G60" sqref="G60"/>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349</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151"/>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7"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0</v>
      </c>
      <c r="D14" s="141">
        <v>0</v>
      </c>
      <c r="E14" s="187">
        <f>IF(D$30=0,C14*2,C14+D14)</f>
        <v>0</v>
      </c>
      <c r="F14" s="639">
        <f>'1461'!F14:G14</f>
        <v>1.1220000000000001</v>
      </c>
      <c r="G14" s="639"/>
      <c r="H14" s="145">
        <f>ROUND(E14*F14,4)</f>
        <v>0</v>
      </c>
      <c r="I14" s="111">
        <f>ROUND(ROUND(ROUND(H14*$C$8,4)*($H$8),2)*(MAX($H$9,1)),2)</f>
        <v>0</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0</v>
      </c>
      <c r="D15" s="143">
        <v>0</v>
      </c>
      <c r="E15" s="116">
        <f t="shared" ref="E15:E29" si="1">IF(D$30=0,C15*2,C15+D15)</f>
        <v>0</v>
      </c>
      <c r="F15" s="635">
        <f>'1461'!F15:G15</f>
        <v>1.1220000000000001</v>
      </c>
      <c r="G15" s="635"/>
      <c r="H15" s="80">
        <f t="shared" ref="H15:H29" si="2">ROUND(E15*F15,4)</f>
        <v>0</v>
      </c>
      <c r="I15" s="101">
        <f t="shared" ref="I15:I29" si="3">ROUND(ROUND(ROUND(H15*$C$8,4)*($H$8),2)*(MAX($H$9,1)),2)</f>
        <v>0</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0</v>
      </c>
      <c r="D16" s="143">
        <v>0</v>
      </c>
      <c r="E16" s="116">
        <f t="shared" si="1"/>
        <v>0</v>
      </c>
      <c r="F16" s="635">
        <f>'1461'!F16:G16</f>
        <v>1</v>
      </c>
      <c r="G16" s="635"/>
      <c r="H16" s="80">
        <f t="shared" si="2"/>
        <v>0</v>
      </c>
      <c r="I16" s="101">
        <f t="shared" si="3"/>
        <v>0</v>
      </c>
      <c r="N16" s="573" t="s">
        <v>22</v>
      </c>
      <c r="O16" s="573"/>
      <c r="P16" s="614">
        <f t="shared" si="0"/>
        <v>0</v>
      </c>
      <c r="Q16" s="614"/>
      <c r="R16" s="619">
        <v>1</v>
      </c>
      <c r="S16" s="619"/>
      <c r="T16" s="95">
        <f t="shared" si="4"/>
        <v>0</v>
      </c>
      <c r="U16" s="474">
        <f t="shared" si="5"/>
        <v>0</v>
      </c>
    </row>
    <row r="17" spans="1:21" x14ac:dyDescent="0.25">
      <c r="A17" s="550" t="s">
        <v>23</v>
      </c>
      <c r="B17" s="550"/>
      <c r="C17" s="143">
        <v>0</v>
      </c>
      <c r="D17" s="143">
        <v>0</v>
      </c>
      <c r="E17" s="116">
        <f t="shared" si="1"/>
        <v>0</v>
      </c>
      <c r="F17" s="635">
        <f>'1461'!F17:G17</f>
        <v>1</v>
      </c>
      <c r="G17" s="635"/>
      <c r="H17" s="80">
        <f t="shared" si="2"/>
        <v>0</v>
      </c>
      <c r="I17" s="101">
        <f t="shared" si="3"/>
        <v>0</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25.88</v>
      </c>
      <c r="D18" s="143">
        <v>25.38</v>
      </c>
      <c r="E18" s="116">
        <f t="shared" si="1"/>
        <v>51.26</v>
      </c>
      <c r="F18" s="635">
        <f>'1461'!F18:G18</f>
        <v>0.98799999999999999</v>
      </c>
      <c r="G18" s="635"/>
      <c r="H18" s="80">
        <f t="shared" si="2"/>
        <v>50.6449</v>
      </c>
      <c r="I18" s="101">
        <f t="shared" si="3"/>
        <v>271806.42</v>
      </c>
      <c r="N18" s="573" t="s">
        <v>24</v>
      </c>
      <c r="O18" s="573"/>
      <c r="P18" s="614">
        <f t="shared" si="0"/>
        <v>0</v>
      </c>
      <c r="Q18" s="614"/>
      <c r="R18" s="619">
        <v>1</v>
      </c>
      <c r="S18" s="619"/>
      <c r="T18" s="95">
        <f t="shared" si="4"/>
        <v>0</v>
      </c>
      <c r="U18" s="474">
        <f t="shared" si="5"/>
        <v>0</v>
      </c>
    </row>
    <row r="19" spans="1:21" x14ac:dyDescent="0.25">
      <c r="A19" s="550" t="s">
        <v>25</v>
      </c>
      <c r="B19" s="550"/>
      <c r="C19" s="143">
        <v>3.5</v>
      </c>
      <c r="D19" s="143">
        <v>3.57</v>
      </c>
      <c r="E19" s="116">
        <f t="shared" si="1"/>
        <v>7.07</v>
      </c>
      <c r="F19" s="635">
        <f>'1461'!F19:G19</f>
        <v>0.98799999999999999</v>
      </c>
      <c r="G19" s="635"/>
      <c r="H19" s="80">
        <f t="shared" si="2"/>
        <v>6.9851999999999999</v>
      </c>
      <c r="I19" s="101">
        <f t="shared" si="3"/>
        <v>37488.910000000003</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0</v>
      </c>
      <c r="D26" s="143">
        <v>0</v>
      </c>
      <c r="E26" s="116">
        <f t="shared" si="1"/>
        <v>0</v>
      </c>
      <c r="F26" s="635">
        <f>'1461'!F26:G26</f>
        <v>1.208</v>
      </c>
      <c r="G26" s="635"/>
      <c r="H26" s="80">
        <f t="shared" si="2"/>
        <v>0</v>
      </c>
      <c r="I26" s="101">
        <f t="shared" si="3"/>
        <v>0</v>
      </c>
      <c r="N26" s="573" t="s">
        <v>85</v>
      </c>
      <c r="O26" s="573"/>
      <c r="P26" s="614">
        <f t="shared" si="0"/>
        <v>0</v>
      </c>
      <c r="Q26" s="614"/>
      <c r="R26" s="619">
        <v>1</v>
      </c>
      <c r="S26" s="619"/>
      <c r="T26" s="95">
        <f t="shared" si="4"/>
        <v>0</v>
      </c>
      <c r="U26" s="474">
        <f t="shared" si="5"/>
        <v>0</v>
      </c>
    </row>
    <row r="27" spans="1:21" x14ac:dyDescent="0.25">
      <c r="A27" s="550" t="s">
        <v>86</v>
      </c>
      <c r="B27" s="550"/>
      <c r="C27" s="143">
        <v>0</v>
      </c>
      <c r="D27" s="143">
        <v>0</v>
      </c>
      <c r="E27" s="116">
        <f t="shared" si="1"/>
        <v>0</v>
      </c>
      <c r="F27" s="635">
        <f>'1461'!F27:G27</f>
        <v>1.208</v>
      </c>
      <c r="G27" s="635"/>
      <c r="H27" s="80">
        <f t="shared" si="2"/>
        <v>0</v>
      </c>
      <c r="I27" s="101">
        <f t="shared" si="3"/>
        <v>0</v>
      </c>
      <c r="N27" s="573" t="s">
        <v>86</v>
      </c>
      <c r="O27" s="573"/>
      <c r="P27" s="614">
        <f t="shared" si="0"/>
        <v>0</v>
      </c>
      <c r="Q27" s="614"/>
      <c r="R27" s="619">
        <v>1</v>
      </c>
      <c r="S27" s="619"/>
      <c r="T27" s="95">
        <f t="shared" si="4"/>
        <v>0</v>
      </c>
      <c r="U27" s="474">
        <f t="shared" si="5"/>
        <v>0</v>
      </c>
    </row>
    <row r="28" spans="1:21" x14ac:dyDescent="0.25">
      <c r="A28" s="550" t="s">
        <v>87</v>
      </c>
      <c r="B28" s="550"/>
      <c r="C28" s="143">
        <v>3.17</v>
      </c>
      <c r="D28" s="143">
        <v>4.1100000000000003</v>
      </c>
      <c r="E28" s="116">
        <f t="shared" si="1"/>
        <v>7.28</v>
      </c>
      <c r="F28" s="635">
        <f>'1461'!F28:G28</f>
        <v>1.208</v>
      </c>
      <c r="G28" s="635"/>
      <c r="H28" s="80">
        <f t="shared" si="2"/>
        <v>8.7942</v>
      </c>
      <c r="I28" s="101">
        <f t="shared" si="3"/>
        <v>47197.65</v>
      </c>
      <c r="N28" s="573" t="s">
        <v>87</v>
      </c>
      <c r="O28" s="573"/>
      <c r="P28" s="614">
        <f t="shared" si="0"/>
        <v>0</v>
      </c>
      <c r="Q28" s="614"/>
      <c r="R28" s="619">
        <v>1</v>
      </c>
      <c r="S28" s="619"/>
      <c r="T28" s="95">
        <f t="shared" si="4"/>
        <v>0</v>
      </c>
      <c r="U28" s="474">
        <f t="shared" si="5"/>
        <v>0</v>
      </c>
    </row>
    <row r="29" spans="1:21" x14ac:dyDescent="0.25">
      <c r="A29" s="550" t="s">
        <v>88</v>
      </c>
      <c r="B29" s="550"/>
      <c r="C29" s="110">
        <v>1.78</v>
      </c>
      <c r="D29" s="110">
        <v>1.62</v>
      </c>
      <c r="E29" s="154">
        <f t="shared" si="1"/>
        <v>3.4000000000000004</v>
      </c>
      <c r="F29" s="635">
        <f>'1461'!F29:G29</f>
        <v>1.0720000000000001</v>
      </c>
      <c r="G29" s="635"/>
      <c r="H29" s="93">
        <f t="shared" si="2"/>
        <v>3.6448</v>
      </c>
      <c r="I29" s="94">
        <f t="shared" si="3"/>
        <v>19561.3</v>
      </c>
      <c r="N29" s="588" t="s">
        <v>88</v>
      </c>
      <c r="O29" s="588"/>
      <c r="P29" s="614">
        <f t="shared" si="0"/>
        <v>0</v>
      </c>
      <c r="Q29" s="614"/>
      <c r="R29" s="615">
        <v>1</v>
      </c>
      <c r="S29" s="615"/>
      <c r="T29" s="95">
        <f t="shared" si="4"/>
        <v>0</v>
      </c>
      <c r="U29" s="474">
        <f t="shared" si="5"/>
        <v>0</v>
      </c>
    </row>
    <row r="30" spans="1:21" x14ac:dyDescent="0.25">
      <c r="A30" s="562" t="s">
        <v>5</v>
      </c>
      <c r="B30" s="562"/>
      <c r="C30" s="94">
        <f>SUM(C14:C29)</f>
        <v>34.33</v>
      </c>
      <c r="D30" s="94">
        <f>SUM(D14:D29)</f>
        <v>34.68</v>
      </c>
      <c r="E30" s="94">
        <f>SUM(E14:E29)</f>
        <v>69.010000000000005</v>
      </c>
      <c r="F30" s="554"/>
      <c r="G30" s="554"/>
      <c r="H30" s="99">
        <f>SUM(H14:H29)</f>
        <v>70.069100000000006</v>
      </c>
      <c r="I30" s="94">
        <f>SUM(I14:I29)</f>
        <v>376054.27999999997</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70.069100000000006</v>
      </c>
      <c r="F46" s="34"/>
      <c r="G46" s="106"/>
      <c r="H46" s="107" t="s">
        <v>98</v>
      </c>
      <c r="I46" s="94">
        <f>SUM(I44,I30)</f>
        <v>376054.27999999997</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376054.27999999997</v>
      </c>
      <c r="G51" s="109" t="s">
        <v>6</v>
      </c>
      <c r="H51" s="402">
        <v>4.5199999999999997E-2</v>
      </c>
      <c r="I51" s="101">
        <f>ROUND(F51*H51,2)</f>
        <v>16997.650000000001</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376054.27999999997</v>
      </c>
      <c r="G52" s="109" t="s">
        <v>6</v>
      </c>
      <c r="H52" s="402">
        <v>1.41E-2</v>
      </c>
      <c r="I52" s="101">
        <f>ROUND(F52*H52,2)</f>
        <v>5302.37</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22300.02</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0</v>
      </c>
      <c r="D57" s="143">
        <v>0</v>
      </c>
      <c r="E57" s="116">
        <f t="shared" ref="E57:E65" si="10">IF(D$66=0,C57*2,C57+D57)</f>
        <v>0</v>
      </c>
      <c r="F57" s="444" t="s">
        <v>434</v>
      </c>
      <c r="G57" s="444">
        <v>251</v>
      </c>
      <c r="H57" s="458">
        <f>'1461'!H57</f>
        <v>1047</v>
      </c>
      <c r="I57" s="101">
        <f>ROUND(E57*H57,2)</f>
        <v>0</v>
      </c>
      <c r="N57" s="590" t="s">
        <v>442</v>
      </c>
      <c r="O57" s="590"/>
      <c r="P57" s="593"/>
      <c r="Q57" s="593"/>
      <c r="R57" s="450" t="s">
        <v>434</v>
      </c>
      <c r="S57" s="450">
        <v>251</v>
      </c>
      <c r="T57" s="461">
        <f>H57</f>
        <v>1047</v>
      </c>
      <c r="U57" s="475">
        <f>ROUND(P57*T57,2)</f>
        <v>0</v>
      </c>
      <c r="V57" s="425"/>
    </row>
    <row r="58" spans="1:22" x14ac:dyDescent="0.25">
      <c r="A58" s="561"/>
      <c r="B58" s="561"/>
      <c r="C58" s="143">
        <v>0</v>
      </c>
      <c r="D58" s="143">
        <v>0</v>
      </c>
      <c r="E58" s="116">
        <f t="shared" si="10"/>
        <v>0</v>
      </c>
      <c r="F58" s="444" t="s">
        <v>434</v>
      </c>
      <c r="G58" s="444">
        <v>252</v>
      </c>
      <c r="H58" s="458">
        <f>'1461'!H58</f>
        <v>3380</v>
      </c>
      <c r="I58" s="101">
        <f t="shared" ref="I58:I65" si="11">ROUND(E58*H58,2)</f>
        <v>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0</v>
      </c>
      <c r="D60" s="143">
        <v>0</v>
      </c>
      <c r="E60" s="116">
        <f t="shared" si="10"/>
        <v>0</v>
      </c>
      <c r="F60" s="445" t="s">
        <v>13</v>
      </c>
      <c r="G60" s="444">
        <v>251</v>
      </c>
      <c r="H60" s="458">
        <f>'1461'!H60</f>
        <v>1173</v>
      </c>
      <c r="I60" s="101">
        <f t="shared" si="11"/>
        <v>0</v>
      </c>
      <c r="N60" s="591"/>
      <c r="O60" s="591"/>
      <c r="P60" s="594"/>
      <c r="Q60" s="594"/>
      <c r="R60" s="40" t="s">
        <v>13</v>
      </c>
      <c r="S60" s="450">
        <v>251</v>
      </c>
      <c r="T60" s="461">
        <f t="shared" si="12"/>
        <v>1173</v>
      </c>
      <c r="U60" s="475">
        <f t="shared" si="13"/>
        <v>0</v>
      </c>
      <c r="V60" s="425"/>
    </row>
    <row r="61" spans="1:22" x14ac:dyDescent="0.25">
      <c r="A61" s="561"/>
      <c r="B61" s="561"/>
      <c r="C61" s="143">
        <v>0</v>
      </c>
      <c r="D61" s="143">
        <v>0</v>
      </c>
      <c r="E61" s="116">
        <f t="shared" si="10"/>
        <v>0</v>
      </c>
      <c r="F61" s="445" t="s">
        <v>13</v>
      </c>
      <c r="G61" s="444">
        <v>252</v>
      </c>
      <c r="H61" s="458">
        <f>'1461'!H61</f>
        <v>3506</v>
      </c>
      <c r="I61" s="101">
        <f t="shared" si="11"/>
        <v>0</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3</v>
      </c>
      <c r="D63" s="143">
        <v>3.06</v>
      </c>
      <c r="E63" s="116">
        <f t="shared" si="10"/>
        <v>6.0600000000000005</v>
      </c>
      <c r="F63" s="445" t="s">
        <v>14</v>
      </c>
      <c r="G63" s="444">
        <v>251</v>
      </c>
      <c r="H63" s="458">
        <f>'1461'!H63</f>
        <v>835</v>
      </c>
      <c r="I63" s="101">
        <f t="shared" si="11"/>
        <v>5060.1000000000004</v>
      </c>
      <c r="N63" s="591"/>
      <c r="O63" s="591"/>
      <c r="P63" s="594"/>
      <c r="Q63" s="594"/>
      <c r="R63" s="40" t="s">
        <v>14</v>
      </c>
      <c r="S63" s="450">
        <v>251</v>
      </c>
      <c r="T63" s="461">
        <f t="shared" si="12"/>
        <v>835</v>
      </c>
      <c r="U63" s="475">
        <f t="shared" si="13"/>
        <v>0</v>
      </c>
      <c r="V63" s="425"/>
    </row>
    <row r="64" spans="1:22" x14ac:dyDescent="0.25">
      <c r="A64" s="561"/>
      <c r="B64" s="561"/>
      <c r="C64" s="143">
        <v>0.5</v>
      </c>
      <c r="D64" s="143">
        <v>0.51</v>
      </c>
      <c r="E64" s="116">
        <f t="shared" si="10"/>
        <v>1.01</v>
      </c>
      <c r="F64" s="445" t="s">
        <v>14</v>
      </c>
      <c r="G64" s="444">
        <v>252</v>
      </c>
      <c r="H64" s="458">
        <f>'1461'!H64</f>
        <v>3168</v>
      </c>
      <c r="I64" s="101">
        <f t="shared" si="11"/>
        <v>3199.68</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3.5</v>
      </c>
      <c r="D66" s="97">
        <f>SUM(D57:D65)</f>
        <v>3.5700000000000003</v>
      </c>
      <c r="E66" s="97">
        <f>SUM(E57:E65)</f>
        <v>7.07</v>
      </c>
      <c r="F66" s="562" t="s">
        <v>443</v>
      </c>
      <c r="G66" s="562"/>
      <c r="H66" s="562"/>
      <c r="I66" s="97">
        <f>SUM(I57:I65)</f>
        <v>8259.7800000000007</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69.010000000000005</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3.4200000000000002E-4</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70.069100000000006</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3.0899999999999998E-4</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69.010000000000005</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3.6999999999999999E-4</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69.010000000000005</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3.4299999999999999E-4</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69.010000000000005</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3.7100000000000002E-4</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3.4299999999999999E-4</v>
      </c>
      <c r="I85" s="101">
        <f>ROUND(F85*H85,2)</f>
        <v>15198.09</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3.4200000000000002E-4</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3.7100000000000002E-4</v>
      </c>
      <c r="I90" s="101">
        <f>ROUND(F90*H90,2)</f>
        <v>6038.28</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3.6999999999999999E-4</v>
      </c>
      <c r="I92" s="101">
        <f t="shared" ref="I92:I96" si="14">ROUND(F92*H92,2)</f>
        <v>3747.37</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3.0899999999999998E-4</v>
      </c>
      <c r="I94" s="101">
        <f t="shared" si="14"/>
        <v>73850.28</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3.0899999999999998E-4</v>
      </c>
      <c r="I96" s="101">
        <f t="shared" si="14"/>
        <v>0</v>
      </c>
      <c r="N96" s="572" t="s">
        <v>418</v>
      </c>
      <c r="O96" s="573"/>
      <c r="P96" s="573"/>
      <c r="Q96" s="44"/>
      <c r="R96" s="420">
        <f t="shared" si="15"/>
        <v>0</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513" t="s">
        <v>475</v>
      </c>
      <c r="B98" s="512"/>
      <c r="C98" s="512"/>
      <c r="D98" s="512"/>
      <c r="E98" s="510" t="s">
        <v>3</v>
      </c>
      <c r="F98" s="291">
        <v>0</v>
      </c>
      <c r="G98" s="511" t="s">
        <v>6</v>
      </c>
      <c r="H98" s="423">
        <f>H70</f>
        <v>3.4200000000000002E-4</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0</v>
      </c>
      <c r="D104" s="568"/>
      <c r="E104" s="46">
        <f>H8</f>
        <v>1.0442</v>
      </c>
      <c r="F104" s="304">
        <f>'1461'!F104</f>
        <v>947.59</v>
      </c>
      <c r="G104" s="39" t="s">
        <v>12</v>
      </c>
      <c r="H104" s="101">
        <f>ROUND(C104*E104*F104,2)</f>
        <v>0</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0</v>
      </c>
      <c r="D105" s="568"/>
      <c r="E105" s="46">
        <f>H8</f>
        <v>1.0442</v>
      </c>
      <c r="F105" s="304">
        <f>'1461'!F105</f>
        <v>904.74</v>
      </c>
      <c r="G105" s="39" t="s">
        <v>12</v>
      </c>
      <c r="H105" s="101">
        <f>ROUND(C105*E105*F105,2)</f>
        <v>0</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70.069100000000006</v>
      </c>
      <c r="D106" s="568"/>
      <c r="E106" s="46">
        <f>H8</f>
        <v>1.0442</v>
      </c>
      <c r="F106" s="304">
        <f>'1461'!F106</f>
        <v>906.93</v>
      </c>
      <c r="G106" s="39" t="s">
        <v>12</v>
      </c>
      <c r="H106" s="94">
        <f>ROUND(C106*E106*F106,2)</f>
        <v>66356.58</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70.069100000000006</v>
      </c>
      <c r="D107" s="558"/>
      <c r="E107" s="123"/>
      <c r="F107" s="123"/>
      <c r="G107" s="123"/>
      <c r="H107" s="124" t="s">
        <v>100</v>
      </c>
      <c r="I107" s="101">
        <f>IF(A1=75,0,H106+H105+H104)</f>
        <v>66356.58</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7"/>
      <c r="D112" s="325"/>
      <c r="E112" s="325" t="s">
        <v>2</v>
      </c>
      <c r="F112" s="43"/>
      <c r="G112" s="43"/>
      <c r="H112" s="43"/>
      <c r="I112" s="43"/>
      <c r="N112" s="45"/>
      <c r="O112" s="45"/>
      <c r="P112" s="45"/>
      <c r="Q112" s="125"/>
      <c r="R112" s="125"/>
      <c r="S112" s="125"/>
      <c r="T112" s="125"/>
      <c r="U112" s="103"/>
    </row>
    <row r="113" spans="1:21" x14ac:dyDescent="0.25">
      <c r="A113" s="529" t="s">
        <v>375</v>
      </c>
      <c r="B113" s="530"/>
      <c r="C113" s="143">
        <v>0</v>
      </c>
      <c r="D113" s="143">
        <v>0</v>
      </c>
      <c r="E113" s="116">
        <f>(C113+D113)/2</f>
        <v>0</v>
      </c>
      <c r="F113" s="126" t="s">
        <v>30</v>
      </c>
      <c r="G113" s="305">
        <f>'1461'!G113</f>
        <v>548</v>
      </c>
      <c r="I113" s="101">
        <f>ROUND(G113*E113,2)</f>
        <v>0</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16">
        <f>(C114+D114)/2</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549504.66</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527204.64</v>
      </c>
      <c r="N130" s="573"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527204.64</v>
      </c>
      <c r="I135" s="94">
        <f>ROUND(IF(E30=0,0,IF(E30&gt;250,-(((250/E30)*H135)*IF(G135="H",0.02,0.05)),IF(G135="H",-0.02*H135,-0.05*H135))),2)</f>
        <v>-26360.23</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523144.43000000005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-49713.85-24354.32-24354.32-24354.32-24354.32-66139.27-61033.45-61176.14</f>
        <v>-335479.99000000005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187664.44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62554.81</v>
      </c>
      <c r="J145" s="237"/>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7"/>
  <dimension ref="A1:K42"/>
  <sheetViews>
    <sheetView workbookViewId="0"/>
  </sheetViews>
  <sheetFormatPr defaultColWidth="9.140625" defaultRowHeight="15.75" x14ac:dyDescent="0.25"/>
  <cols>
    <col min="1" max="1" width="9.140625" style="135"/>
    <col min="2" max="2" width="47.85546875" style="135" bestFit="1" customWidth="1"/>
    <col min="3" max="3" width="8.42578125" style="135" bestFit="1" customWidth="1"/>
    <col min="4" max="4" width="5.5703125" style="135" customWidth="1"/>
    <col min="5" max="5" width="17.42578125" style="135" customWidth="1"/>
    <col min="6" max="6" width="10.140625" style="135" bestFit="1" customWidth="1"/>
    <col min="7" max="16384" width="9.140625" style="135"/>
  </cols>
  <sheetData>
    <row r="1" spans="1:11" x14ac:dyDescent="0.25">
      <c r="A1" s="158"/>
      <c r="B1" s="159"/>
      <c r="C1" s="180"/>
      <c r="D1" s="180"/>
      <c r="E1" s="160">
        <v>50</v>
      </c>
      <c r="F1" s="158"/>
      <c r="G1" s="158"/>
      <c r="H1" s="158"/>
    </row>
    <row r="2" spans="1:11" ht="21" x14ac:dyDescent="0.35">
      <c r="A2" s="161"/>
      <c r="B2" s="171" t="s">
        <v>274</v>
      </c>
      <c r="C2" s="171"/>
      <c r="D2" s="171"/>
      <c r="E2" s="161"/>
      <c r="F2" s="161"/>
      <c r="G2" s="161"/>
      <c r="H2" s="161"/>
    </row>
    <row r="3" spans="1:11" x14ac:dyDescent="0.25">
      <c r="B3" s="172" t="s">
        <v>259</v>
      </c>
      <c r="C3" s="172"/>
      <c r="D3" s="172"/>
      <c r="E3" s="284" t="str">
        <f>'1461'!F4</f>
        <v>Apr 2024</v>
      </c>
      <c r="F3" s="157"/>
      <c r="G3" s="157"/>
      <c r="H3" s="157"/>
    </row>
    <row r="4" spans="1:11" x14ac:dyDescent="0.25">
      <c r="A4" s="158"/>
      <c r="B4" s="158"/>
      <c r="C4" s="158"/>
      <c r="D4" s="158"/>
      <c r="E4" s="158"/>
      <c r="F4" s="158"/>
      <c r="G4" s="158"/>
      <c r="H4" s="158"/>
    </row>
    <row r="5" spans="1:11" x14ac:dyDescent="0.25">
      <c r="A5" s="158"/>
      <c r="B5" s="162" t="s">
        <v>136</v>
      </c>
      <c r="C5" s="162"/>
      <c r="D5" s="162"/>
      <c r="E5" s="163" t="s">
        <v>9</v>
      </c>
      <c r="F5" s="158"/>
      <c r="G5" s="158"/>
      <c r="H5" s="158"/>
    </row>
    <row r="6" spans="1:11" x14ac:dyDescent="0.25">
      <c r="A6" s="158"/>
      <c r="B6" s="158"/>
      <c r="C6" s="158"/>
      <c r="D6" s="158"/>
      <c r="E6" s="158"/>
      <c r="F6" s="158"/>
      <c r="G6" s="158"/>
      <c r="H6" s="158"/>
    </row>
    <row r="7" spans="1:11" x14ac:dyDescent="0.25">
      <c r="A7" s="158"/>
      <c r="B7" s="164"/>
      <c r="C7" s="181"/>
      <c r="D7" s="181"/>
      <c r="E7" s="165" t="s">
        <v>137</v>
      </c>
      <c r="F7" s="158"/>
      <c r="G7" s="158"/>
      <c r="H7" s="158"/>
    </row>
    <row r="8" spans="1:11" x14ac:dyDescent="0.25">
      <c r="A8" s="158"/>
      <c r="B8" s="173" t="s">
        <v>149</v>
      </c>
      <c r="C8" s="173"/>
      <c r="D8" s="173"/>
      <c r="E8" s="245">
        <v>885681905</v>
      </c>
      <c r="F8" s="158"/>
      <c r="G8" s="158"/>
      <c r="H8" s="158"/>
      <c r="K8" s="249" t="s">
        <v>267</v>
      </c>
    </row>
    <row r="9" spans="1:11" x14ac:dyDescent="0.25">
      <c r="A9" s="158"/>
      <c r="B9" s="173" t="s">
        <v>237</v>
      </c>
      <c r="C9" s="173"/>
      <c r="D9" s="173"/>
      <c r="E9" s="245">
        <v>0</v>
      </c>
      <c r="F9" s="158"/>
      <c r="G9" s="158"/>
      <c r="H9" s="158"/>
      <c r="K9" s="249" t="s">
        <v>267</v>
      </c>
    </row>
    <row r="10" spans="1:11" x14ac:dyDescent="0.25">
      <c r="A10" s="158"/>
      <c r="B10" s="162" t="s">
        <v>138</v>
      </c>
      <c r="C10" s="162"/>
      <c r="D10" s="162"/>
      <c r="E10" s="245">
        <v>126865223</v>
      </c>
      <c r="F10" s="158"/>
      <c r="G10" s="158"/>
      <c r="H10" s="158"/>
      <c r="K10" s="249" t="s">
        <v>267</v>
      </c>
    </row>
    <row r="11" spans="1:11" x14ac:dyDescent="0.25">
      <c r="A11" s="158"/>
      <c r="B11" s="162" t="s">
        <v>139</v>
      </c>
      <c r="C11" s="162"/>
      <c r="D11" s="162"/>
      <c r="E11" s="245">
        <v>0</v>
      </c>
      <c r="F11" s="158"/>
      <c r="G11" s="158"/>
      <c r="H11" s="158"/>
      <c r="K11" s="249" t="s">
        <v>267</v>
      </c>
    </row>
    <row r="12" spans="1:11" x14ac:dyDescent="0.25">
      <c r="A12" s="158"/>
      <c r="B12" s="162" t="s">
        <v>140</v>
      </c>
      <c r="C12" s="162"/>
      <c r="D12" s="162"/>
      <c r="E12" s="245">
        <v>8613749</v>
      </c>
      <c r="F12" s="158"/>
      <c r="G12" s="158"/>
      <c r="H12" s="158"/>
      <c r="K12" s="249" t="s">
        <v>267</v>
      </c>
    </row>
    <row r="13" spans="1:11" x14ac:dyDescent="0.25">
      <c r="A13" s="158"/>
      <c r="B13" s="162" t="s">
        <v>141</v>
      </c>
      <c r="C13" s="162"/>
      <c r="D13" s="162"/>
      <c r="E13" s="245">
        <v>14865036</v>
      </c>
      <c r="F13" s="158"/>
      <c r="G13" s="158"/>
      <c r="H13" s="158"/>
      <c r="K13" s="249" t="s">
        <v>267</v>
      </c>
    </row>
    <row r="14" spans="1:11" x14ac:dyDescent="0.25">
      <c r="A14" s="158"/>
      <c r="B14" s="184" t="s">
        <v>8</v>
      </c>
      <c r="C14" s="162" t="s">
        <v>151</v>
      </c>
      <c r="D14" s="162"/>
      <c r="E14" s="177">
        <f>SUM(E8:E13)</f>
        <v>1036025913</v>
      </c>
      <c r="F14" s="158"/>
      <c r="G14" s="158"/>
      <c r="H14" s="158"/>
    </row>
    <row r="15" spans="1:11" x14ac:dyDescent="0.25">
      <c r="A15" s="158"/>
      <c r="B15" s="162"/>
      <c r="C15" s="162"/>
      <c r="D15" s="162"/>
      <c r="E15" s="178"/>
      <c r="F15" s="158"/>
      <c r="G15" s="158"/>
      <c r="H15" s="158"/>
    </row>
    <row r="16" spans="1:11" x14ac:dyDescent="0.25">
      <c r="A16" s="158"/>
      <c r="B16" s="173" t="s">
        <v>150</v>
      </c>
      <c r="C16" s="173" t="s">
        <v>3</v>
      </c>
      <c r="D16" s="173"/>
      <c r="E16" s="246">
        <v>187935.23</v>
      </c>
      <c r="F16" s="158"/>
      <c r="G16" s="158"/>
      <c r="H16" s="158"/>
      <c r="K16" s="249" t="s">
        <v>267</v>
      </c>
    </row>
    <row r="17" spans="1:8" x14ac:dyDescent="0.25">
      <c r="A17" s="158"/>
      <c r="B17" s="173"/>
      <c r="C17" s="173"/>
      <c r="D17" s="173"/>
      <c r="E17" s="175"/>
      <c r="F17" s="158"/>
      <c r="G17" s="158"/>
      <c r="H17" s="158"/>
    </row>
    <row r="18" spans="1:8" x14ac:dyDescent="0.25">
      <c r="A18" s="158"/>
      <c r="B18" s="162" t="s">
        <v>142</v>
      </c>
      <c r="C18" s="162" t="s">
        <v>152</v>
      </c>
      <c r="D18" s="162"/>
      <c r="E18" s="176">
        <f>ROUND(E14/E16,2)</f>
        <v>5512.68</v>
      </c>
      <c r="F18" s="158"/>
      <c r="G18" s="158"/>
      <c r="H18" s="158"/>
    </row>
    <row r="19" spans="1:8" x14ac:dyDescent="0.25">
      <c r="A19" s="158"/>
      <c r="B19" s="162" t="s">
        <v>143</v>
      </c>
      <c r="C19" s="162"/>
      <c r="D19" s="162"/>
      <c r="E19" s="179">
        <f>IF(E18&gt;5230,0,5230-E18)</f>
        <v>0</v>
      </c>
      <c r="F19" s="158"/>
      <c r="G19" s="158"/>
      <c r="H19" s="158"/>
    </row>
    <row r="20" spans="1:8" x14ac:dyDescent="0.25">
      <c r="A20" s="158"/>
      <c r="B20" s="162" t="s">
        <v>144</v>
      </c>
      <c r="C20" s="162"/>
      <c r="D20" s="162"/>
      <c r="E20" s="174">
        <f>E18+E19</f>
        <v>5512.68</v>
      </c>
      <c r="F20" s="158"/>
      <c r="G20" s="158"/>
      <c r="H20" s="158"/>
    </row>
    <row r="21" spans="1:8" x14ac:dyDescent="0.25">
      <c r="A21" s="158"/>
      <c r="B21" s="158"/>
      <c r="C21" s="158"/>
      <c r="D21" s="158"/>
      <c r="E21" s="158"/>
      <c r="F21" s="158"/>
      <c r="G21" s="158"/>
      <c r="H21" s="158"/>
    </row>
    <row r="22" spans="1:8" x14ac:dyDescent="0.25">
      <c r="A22" s="158"/>
      <c r="B22" s="259" t="s">
        <v>245</v>
      </c>
      <c r="C22" s="167"/>
      <c r="D22" s="167"/>
      <c r="E22" s="247">
        <v>0</v>
      </c>
      <c r="F22" s="158"/>
      <c r="G22" s="158"/>
      <c r="H22" s="158"/>
    </row>
    <row r="23" spans="1:8" x14ac:dyDescent="0.25">
      <c r="A23" s="158"/>
      <c r="B23" s="259" t="s">
        <v>246</v>
      </c>
      <c r="C23" s="167"/>
      <c r="D23" s="167"/>
      <c r="E23" s="248">
        <v>0</v>
      </c>
      <c r="F23" s="158"/>
      <c r="G23" s="158"/>
      <c r="H23" s="158"/>
    </row>
    <row r="24" spans="1:8" x14ac:dyDescent="0.25">
      <c r="A24" s="158"/>
      <c r="B24" s="167" t="s">
        <v>145</v>
      </c>
      <c r="C24" s="167"/>
      <c r="D24" s="167"/>
      <c r="E24" s="168">
        <f>+E22+E23</f>
        <v>0</v>
      </c>
      <c r="F24" s="158"/>
      <c r="G24" s="158"/>
      <c r="H24" s="158"/>
    </row>
    <row r="25" spans="1:8" x14ac:dyDescent="0.25">
      <c r="A25" s="158"/>
      <c r="B25" s="167"/>
      <c r="C25" s="167"/>
      <c r="D25" s="167"/>
      <c r="E25" s="182"/>
      <c r="F25" s="158"/>
      <c r="G25" s="158"/>
      <c r="H25" s="158"/>
    </row>
    <row r="26" spans="1:8" x14ac:dyDescent="0.25">
      <c r="A26" s="158"/>
      <c r="B26" s="162" t="s">
        <v>146</v>
      </c>
      <c r="C26" s="162"/>
      <c r="D26" s="162"/>
      <c r="E26" s="183">
        <f>E20*E24</f>
        <v>0</v>
      </c>
      <c r="F26" s="158"/>
      <c r="G26" s="158"/>
      <c r="H26" s="158"/>
    </row>
    <row r="27" spans="1:8" x14ac:dyDescent="0.25">
      <c r="A27" s="158"/>
      <c r="B27" s="173" t="s">
        <v>153</v>
      </c>
      <c r="C27" s="162"/>
      <c r="D27" s="162"/>
      <c r="E27" s="169">
        <v>0.7</v>
      </c>
      <c r="F27" s="158"/>
      <c r="G27" s="158"/>
      <c r="H27" s="158"/>
    </row>
    <row r="28" spans="1:8" x14ac:dyDescent="0.25">
      <c r="A28" s="158"/>
      <c r="B28" s="162" t="s">
        <v>147</v>
      </c>
      <c r="C28" s="162"/>
      <c r="D28" s="162"/>
      <c r="E28" s="183">
        <f>ROUND(E26*E27,2)</f>
        <v>0</v>
      </c>
      <c r="F28" s="158"/>
      <c r="G28" s="158"/>
      <c r="H28" s="158"/>
    </row>
    <row r="29" spans="1:8" x14ac:dyDescent="0.25">
      <c r="A29" s="158"/>
      <c r="B29" s="162" t="s">
        <v>148</v>
      </c>
      <c r="C29" s="162"/>
      <c r="D29" s="162"/>
      <c r="E29" s="170">
        <f>-ROUND(E28*0.05,2)</f>
        <v>0</v>
      </c>
      <c r="F29" s="158"/>
      <c r="G29" s="158"/>
      <c r="H29" s="158"/>
    </row>
    <row r="30" spans="1:8" x14ac:dyDescent="0.25">
      <c r="A30" s="158"/>
      <c r="B30" s="162" t="s">
        <v>74</v>
      </c>
      <c r="C30" s="162"/>
      <c r="D30" s="162"/>
      <c r="E30" s="186">
        <f>E28+E29</f>
        <v>0</v>
      </c>
      <c r="F30" s="158"/>
      <c r="G30" s="158"/>
      <c r="H30" s="158"/>
    </row>
    <row r="31" spans="1:8" x14ac:dyDescent="0.25">
      <c r="A31" s="158"/>
      <c r="B31" s="158"/>
      <c r="C31" s="158"/>
      <c r="D31" s="158"/>
      <c r="E31" s="158"/>
      <c r="F31" s="158"/>
      <c r="G31" s="166"/>
      <c r="H31" s="158"/>
    </row>
    <row r="32" spans="1:8" x14ac:dyDescent="0.25">
      <c r="A32" s="158"/>
      <c r="B32" s="3" t="s">
        <v>75</v>
      </c>
      <c r="C32" s="162"/>
      <c r="D32" s="162"/>
      <c r="E32" s="250">
        <v>0</v>
      </c>
      <c r="F32" s="158"/>
      <c r="G32" s="166"/>
      <c r="H32" s="158"/>
    </row>
    <row r="33" spans="1:8" x14ac:dyDescent="0.25">
      <c r="A33" s="158"/>
      <c r="B33" s="3"/>
      <c r="C33" s="162"/>
      <c r="D33" s="162"/>
      <c r="E33" s="268"/>
      <c r="F33" s="158"/>
      <c r="G33" s="166"/>
      <c r="H33" s="158"/>
    </row>
    <row r="34" spans="1:8" x14ac:dyDescent="0.25">
      <c r="A34" s="158"/>
      <c r="B34" s="3" t="s">
        <v>247</v>
      </c>
      <c r="C34" s="162"/>
      <c r="D34" s="162"/>
      <c r="E34" s="268">
        <f>E30+E32</f>
        <v>0</v>
      </c>
      <c r="F34" s="158"/>
      <c r="G34" s="166"/>
      <c r="H34" s="158"/>
    </row>
    <row r="35" spans="1:8" x14ac:dyDescent="0.25">
      <c r="A35" s="158"/>
      <c r="B35" s="3"/>
      <c r="C35" s="162"/>
      <c r="D35" s="162"/>
      <c r="E35" s="268"/>
      <c r="F35" s="158"/>
      <c r="G35" s="166"/>
      <c r="H35" s="158"/>
    </row>
    <row r="36" spans="1:8" x14ac:dyDescent="0.25">
      <c r="A36" s="158"/>
      <c r="B36" s="3" t="s">
        <v>249</v>
      </c>
      <c r="C36" s="185"/>
      <c r="D36" s="185"/>
      <c r="E36" s="276">
        <v>11</v>
      </c>
      <c r="F36" s="158"/>
      <c r="G36" s="166"/>
      <c r="H36" s="158"/>
    </row>
    <row r="37" spans="1:8" x14ac:dyDescent="0.25">
      <c r="A37" s="158"/>
      <c r="B37" s="3"/>
      <c r="C37" s="162"/>
      <c r="D37" s="162"/>
      <c r="E37" s="186"/>
      <c r="F37" s="158"/>
      <c r="G37" s="166"/>
      <c r="H37" s="158"/>
    </row>
    <row r="38" spans="1:8" ht="16.5" thickBot="1" x14ac:dyDescent="0.3">
      <c r="A38" s="158"/>
      <c r="B38" s="3" t="s">
        <v>76</v>
      </c>
      <c r="C38" s="162"/>
      <c r="D38" s="162"/>
      <c r="E38" s="269">
        <f>IF(E36=0,0,ROUND(E34/E36,2))</f>
        <v>0</v>
      </c>
      <c r="F38" s="158"/>
      <c r="G38" s="158"/>
      <c r="H38" s="158"/>
    </row>
    <row r="39" spans="1:8" ht="16.5" thickTop="1" x14ac:dyDescent="0.25"/>
    <row r="41" spans="1:8" x14ac:dyDescent="0.25">
      <c r="A41" s="295" t="s">
        <v>270</v>
      </c>
      <c r="B41" s="296"/>
      <c r="C41" s="296"/>
      <c r="D41" s="296"/>
      <c r="E41" s="296"/>
    </row>
    <row r="42" spans="1:8" x14ac:dyDescent="0.25">
      <c r="A42" s="295" t="s">
        <v>271</v>
      </c>
      <c r="B42" s="296"/>
      <c r="C42" s="296"/>
      <c r="D42" s="296"/>
      <c r="E42" s="296"/>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CCC"/>
  </sheetPr>
  <dimension ref="A1:V221"/>
  <sheetViews>
    <sheetView topLeftCell="A126" workbookViewId="0">
      <selection activeCell="C63" sqref="C63:D6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111</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0</v>
      </c>
      <c r="D14" s="141">
        <v>0</v>
      </c>
      <c r="E14" s="187">
        <f>IF(D$30=0,C14*2,C14+D14)</f>
        <v>0</v>
      </c>
      <c r="F14" s="639">
        <f>'1461'!F14:G14</f>
        <v>1.1220000000000001</v>
      </c>
      <c r="G14" s="639"/>
      <c r="H14" s="145">
        <f>ROUND(E14*F14,4)</f>
        <v>0</v>
      </c>
      <c r="I14" s="111">
        <f>ROUND(ROUND(ROUND(H14*$C$8,4)*($H$8),2)*(MAX($H$9,1)),2)</f>
        <v>0</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0</v>
      </c>
      <c r="D15" s="143">
        <v>0</v>
      </c>
      <c r="E15" s="116">
        <f t="shared" ref="E15:E29" si="1">IF(D$30=0,C15*2,C15+D15)</f>
        <v>0</v>
      </c>
      <c r="F15" s="635">
        <f>'1461'!F15:G15</f>
        <v>1.1220000000000001</v>
      </c>
      <c r="G15" s="635"/>
      <c r="H15" s="80">
        <f t="shared" ref="H15:H29" si="2">ROUND(E15*F15,4)</f>
        <v>0</v>
      </c>
      <c r="I15" s="101">
        <f t="shared" ref="I15:I29" si="3">ROUND(ROUND(ROUND(H15*$C$8,4)*($H$8),2)*(MAX($H$9,1)),2)</f>
        <v>0</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0</v>
      </c>
      <c r="D16" s="143">
        <v>0</v>
      </c>
      <c r="E16" s="116">
        <f t="shared" si="1"/>
        <v>0</v>
      </c>
      <c r="F16" s="635">
        <f>'1461'!F16:G16</f>
        <v>1</v>
      </c>
      <c r="G16" s="635"/>
      <c r="H16" s="80">
        <f t="shared" si="2"/>
        <v>0</v>
      </c>
      <c r="I16" s="101">
        <f t="shared" si="3"/>
        <v>0</v>
      </c>
      <c r="N16" s="573" t="s">
        <v>22</v>
      </c>
      <c r="O16" s="573"/>
      <c r="P16" s="614">
        <f t="shared" si="0"/>
        <v>0</v>
      </c>
      <c r="Q16" s="614"/>
      <c r="R16" s="619">
        <v>1</v>
      </c>
      <c r="S16" s="619"/>
      <c r="T16" s="95">
        <f t="shared" si="4"/>
        <v>0</v>
      </c>
      <c r="U16" s="474">
        <f t="shared" si="5"/>
        <v>0</v>
      </c>
    </row>
    <row r="17" spans="1:21" x14ac:dyDescent="0.25">
      <c r="A17" s="550" t="s">
        <v>23</v>
      </c>
      <c r="B17" s="550"/>
      <c r="C17" s="143">
        <v>0</v>
      </c>
      <c r="D17" s="143">
        <v>0</v>
      </c>
      <c r="E17" s="116">
        <f t="shared" si="1"/>
        <v>0</v>
      </c>
      <c r="F17" s="635">
        <f>'1461'!F17:G17</f>
        <v>1</v>
      </c>
      <c r="G17" s="635"/>
      <c r="H17" s="80">
        <f t="shared" si="2"/>
        <v>0</v>
      </c>
      <c r="I17" s="101">
        <f t="shared" si="3"/>
        <v>0</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0</v>
      </c>
      <c r="D18" s="143">
        <v>0</v>
      </c>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30.18</v>
      </c>
      <c r="D19" s="143">
        <v>31.76</v>
      </c>
      <c r="E19" s="116">
        <f t="shared" si="1"/>
        <v>61.94</v>
      </c>
      <c r="F19" s="635">
        <f>'1461'!F19:G19</f>
        <v>0.98799999999999999</v>
      </c>
      <c r="G19" s="635"/>
      <c r="H19" s="80">
        <f t="shared" si="2"/>
        <v>61.1967</v>
      </c>
      <c r="I19" s="101">
        <f t="shared" si="3"/>
        <v>328436.94</v>
      </c>
      <c r="J19" s="65" t="str">
        <f>IF(ROUND(E19,2)=ROUND(SUM(E63:E65),2)," ","CHECK 4-8 LINES BELOW")</f>
        <v xml:space="preserve"> </v>
      </c>
      <c r="N19" s="573" t="s">
        <v>25</v>
      </c>
      <c r="O19" s="573"/>
      <c r="P19" s="614">
        <f t="shared" si="0"/>
        <v>61.94</v>
      </c>
      <c r="Q19" s="614"/>
      <c r="R19" s="619">
        <v>1</v>
      </c>
      <c r="S19" s="619"/>
      <c r="T19" s="95">
        <f t="shared" si="4"/>
        <v>61.94</v>
      </c>
      <c r="U19" s="473">
        <f t="shared" si="5"/>
        <v>332426.15999999997</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5.21</v>
      </c>
      <c r="D22" s="143">
        <v>4.8</v>
      </c>
      <c r="E22" s="116">
        <f t="shared" si="1"/>
        <v>10.01</v>
      </c>
      <c r="F22" s="635">
        <f>'1461'!F22:G22</f>
        <v>3.706</v>
      </c>
      <c r="G22" s="635"/>
      <c r="H22" s="80">
        <f t="shared" si="2"/>
        <v>37.097099999999998</v>
      </c>
      <c r="I22" s="101">
        <f t="shared" si="3"/>
        <v>199096.65</v>
      </c>
      <c r="N22" s="573" t="s">
        <v>81</v>
      </c>
      <c r="O22" s="573"/>
      <c r="P22" s="614">
        <f t="shared" si="0"/>
        <v>10.01</v>
      </c>
      <c r="Q22" s="614"/>
      <c r="R22" s="619">
        <v>1</v>
      </c>
      <c r="S22" s="619"/>
      <c r="T22" s="95">
        <f t="shared" si="4"/>
        <v>10.01</v>
      </c>
      <c r="U22" s="474">
        <f t="shared" si="5"/>
        <v>53722.73</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0</v>
      </c>
      <c r="D26" s="143">
        <v>0</v>
      </c>
      <c r="E26" s="116">
        <f t="shared" si="1"/>
        <v>0</v>
      </c>
      <c r="F26" s="635">
        <f>'1461'!F26:G26</f>
        <v>1.208</v>
      </c>
      <c r="G26" s="635"/>
      <c r="H26" s="80">
        <f t="shared" si="2"/>
        <v>0</v>
      </c>
      <c r="I26" s="101">
        <f t="shared" si="3"/>
        <v>0</v>
      </c>
      <c r="N26" s="573" t="s">
        <v>85</v>
      </c>
      <c r="O26" s="573"/>
      <c r="P26" s="614">
        <f t="shared" si="0"/>
        <v>0</v>
      </c>
      <c r="Q26" s="614"/>
      <c r="R26" s="619">
        <v>1</v>
      </c>
      <c r="S26" s="619"/>
      <c r="T26" s="95">
        <f t="shared" si="4"/>
        <v>0</v>
      </c>
      <c r="U26" s="474">
        <f t="shared" si="5"/>
        <v>0</v>
      </c>
    </row>
    <row r="27" spans="1:21" x14ac:dyDescent="0.25">
      <c r="A27" s="550" t="s">
        <v>86</v>
      </c>
      <c r="B27" s="550"/>
      <c r="C27" s="143">
        <v>0</v>
      </c>
      <c r="D27" s="143">
        <v>0</v>
      </c>
      <c r="E27" s="116">
        <f t="shared" si="1"/>
        <v>0</v>
      </c>
      <c r="F27" s="635">
        <f>'1461'!F27:G27</f>
        <v>1.208</v>
      </c>
      <c r="G27" s="635"/>
      <c r="H27" s="80">
        <f t="shared" si="2"/>
        <v>0</v>
      </c>
      <c r="I27" s="101">
        <f t="shared" si="3"/>
        <v>0</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35.39</v>
      </c>
      <c r="D30" s="94">
        <f>SUM(D14:D29)</f>
        <v>36.56</v>
      </c>
      <c r="E30" s="94">
        <f>SUM(E14:E29)</f>
        <v>71.95</v>
      </c>
      <c r="F30" s="554"/>
      <c r="G30" s="554"/>
      <c r="H30" s="99">
        <f>SUM(H14:H29)</f>
        <v>98.293800000000005</v>
      </c>
      <c r="I30" s="94">
        <f>SUM(I14:I29)</f>
        <v>527533.59</v>
      </c>
      <c r="N30" s="616" t="s">
        <v>5</v>
      </c>
      <c r="O30" s="616"/>
      <c r="P30" s="617">
        <f>SUM(P14:P29)</f>
        <v>71.95</v>
      </c>
      <c r="Q30" s="617"/>
      <c r="R30" s="589"/>
      <c r="S30" s="589"/>
      <c r="T30" s="100">
        <f>SUM(T14:T29)</f>
        <v>71.95</v>
      </c>
      <c r="U30" s="474">
        <f>SUM(U14:U29)</f>
        <v>386148.88999999996</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98.293800000000005</v>
      </c>
      <c r="F46" s="34"/>
      <c r="G46" s="106"/>
      <c r="H46" s="107" t="s">
        <v>98</v>
      </c>
      <c r="I46" s="94">
        <f>SUM(I44,I30)</f>
        <v>527533.59</v>
      </c>
      <c r="N46" s="575" t="s">
        <v>44</v>
      </c>
      <c r="O46" s="575"/>
      <c r="P46" s="575"/>
      <c r="Q46" s="575"/>
      <c r="R46" s="35">
        <f>R44+T30</f>
        <v>71.95</v>
      </c>
      <c r="S46" s="589" t="s">
        <v>42</v>
      </c>
      <c r="T46" s="589"/>
      <c r="U46" s="108">
        <f>SUM(U44,U30)</f>
        <v>386148.88999999996</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527533.59</v>
      </c>
      <c r="G51" s="109" t="s">
        <v>6</v>
      </c>
      <c r="H51" s="402">
        <v>4.5199999999999997E-2</v>
      </c>
      <c r="I51" s="101">
        <f>ROUND(F51*H51,2)</f>
        <v>23844.52</v>
      </c>
      <c r="N51" s="407"/>
      <c r="O51" s="408" t="s">
        <v>394</v>
      </c>
      <c r="P51" s="28"/>
      <c r="Q51" s="44" t="s">
        <v>395</v>
      </c>
      <c r="R51" s="409">
        <f>U30</f>
        <v>386148.88999999996</v>
      </c>
      <c r="S51" s="410" t="s">
        <v>6</v>
      </c>
      <c r="T51" s="411">
        <v>4.5199999999999997E-2</v>
      </c>
      <c r="U51" s="403">
        <f>ROUND(R51*T51,2)</f>
        <v>17453.93</v>
      </c>
    </row>
    <row r="52" spans="1:22" x14ac:dyDescent="0.25">
      <c r="A52" s="26"/>
      <c r="B52" s="81" t="s">
        <v>396</v>
      </c>
      <c r="C52" s="26"/>
      <c r="D52" s="26"/>
      <c r="E52" s="43" t="s">
        <v>395</v>
      </c>
      <c r="F52" s="401">
        <f>I46</f>
        <v>527533.59</v>
      </c>
      <c r="G52" s="109" t="s">
        <v>6</v>
      </c>
      <c r="H52" s="402">
        <v>1.41E-2</v>
      </c>
      <c r="I52" s="101">
        <f>ROUND(F52*H52,2)</f>
        <v>7438.22</v>
      </c>
      <c r="N52" s="28"/>
      <c r="O52" s="384" t="s">
        <v>396</v>
      </c>
      <c r="P52" s="28"/>
      <c r="Q52" s="44" t="s">
        <v>395</v>
      </c>
      <c r="R52" s="409">
        <f>U30</f>
        <v>386148.88999999996</v>
      </c>
      <c r="S52" s="410" t="s">
        <v>6</v>
      </c>
      <c r="T52" s="411">
        <v>1.41E-2</v>
      </c>
      <c r="U52" s="412">
        <f>ROUND(R52*T52,2)</f>
        <v>5444.7</v>
      </c>
    </row>
    <row r="53" spans="1:22" x14ac:dyDescent="0.25">
      <c r="A53" s="26"/>
      <c r="B53" s="81" t="s">
        <v>397</v>
      </c>
      <c r="C53" s="26"/>
      <c r="D53" s="26"/>
      <c r="E53" s="43"/>
      <c r="F53" s="401"/>
      <c r="G53" s="109"/>
      <c r="H53" s="402"/>
      <c r="I53" s="97">
        <f>SUM(I51:I52)</f>
        <v>31282.74</v>
      </c>
      <c r="N53" s="28"/>
      <c r="O53" s="384" t="s">
        <v>397</v>
      </c>
      <c r="P53" s="28"/>
      <c r="Q53" s="44"/>
      <c r="R53" s="409"/>
      <c r="S53" s="410"/>
      <c r="T53" s="411"/>
      <c r="U53" s="403">
        <f>SUM(U51:U52)</f>
        <v>22898.63</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0</v>
      </c>
      <c r="D57" s="143">
        <v>0</v>
      </c>
      <c r="E57" s="116">
        <f t="shared" ref="E57:E62" si="10">IF(D$72=0,C57*2,C57+D57)</f>
        <v>0</v>
      </c>
      <c r="F57" s="444" t="s">
        <v>434</v>
      </c>
      <c r="G57" s="444">
        <v>251</v>
      </c>
      <c r="H57" s="458">
        <f>'1461'!H57</f>
        <v>1047</v>
      </c>
      <c r="I57" s="101">
        <f>ROUND(E57*H57,2)</f>
        <v>0</v>
      </c>
      <c r="N57" s="590" t="s">
        <v>442</v>
      </c>
      <c r="O57" s="590"/>
      <c r="P57" s="593"/>
      <c r="Q57" s="593"/>
      <c r="R57" s="450" t="s">
        <v>434</v>
      </c>
      <c r="S57" s="450">
        <v>251</v>
      </c>
      <c r="T57" s="461">
        <f>H57</f>
        <v>1047</v>
      </c>
      <c r="U57" s="475">
        <f>ROUND(P57*T57,2)</f>
        <v>0</v>
      </c>
      <c r="V57" s="425"/>
    </row>
    <row r="58" spans="1:22" x14ac:dyDescent="0.25">
      <c r="A58" s="561"/>
      <c r="B58" s="561"/>
      <c r="C58" s="143">
        <v>0</v>
      </c>
      <c r="D58" s="143">
        <v>0</v>
      </c>
      <c r="E58" s="116">
        <f t="shared" si="10"/>
        <v>0</v>
      </c>
      <c r="F58" s="444" t="s">
        <v>434</v>
      </c>
      <c r="G58" s="444">
        <v>252</v>
      </c>
      <c r="H58" s="458">
        <f>'1461'!H58</f>
        <v>3380</v>
      </c>
      <c r="I58" s="101">
        <f t="shared" ref="I58:I65" si="11">ROUND(E58*H58,2)</f>
        <v>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0</v>
      </c>
      <c r="D60" s="143">
        <v>0</v>
      </c>
      <c r="E60" s="116">
        <f t="shared" si="10"/>
        <v>0</v>
      </c>
      <c r="F60" s="445" t="s">
        <v>13</v>
      </c>
      <c r="G60" s="444">
        <v>251</v>
      </c>
      <c r="H60" s="458">
        <f>'1461'!H60</f>
        <v>1173</v>
      </c>
      <c r="I60" s="101">
        <f t="shared" si="11"/>
        <v>0</v>
      </c>
      <c r="N60" s="591"/>
      <c r="O60" s="591"/>
      <c r="P60" s="594"/>
      <c r="Q60" s="594"/>
      <c r="R60" s="40" t="s">
        <v>13</v>
      </c>
      <c r="S60" s="450">
        <v>251</v>
      </c>
      <c r="T60" s="461">
        <f t="shared" si="12"/>
        <v>1173</v>
      </c>
      <c r="U60" s="475">
        <f t="shared" si="13"/>
        <v>0</v>
      </c>
      <c r="V60" s="425"/>
    </row>
    <row r="61" spans="1:22" x14ac:dyDescent="0.25">
      <c r="A61" s="561"/>
      <c r="B61" s="561"/>
      <c r="C61" s="143">
        <v>0</v>
      </c>
      <c r="D61" s="143">
        <v>0</v>
      </c>
      <c r="E61" s="116">
        <f t="shared" si="10"/>
        <v>0</v>
      </c>
      <c r="F61" s="445" t="s">
        <v>13</v>
      </c>
      <c r="G61" s="444">
        <v>252</v>
      </c>
      <c r="H61" s="458">
        <f>'1461'!H61</f>
        <v>3506</v>
      </c>
      <c r="I61" s="101">
        <f t="shared" si="11"/>
        <v>0</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0.7</v>
      </c>
      <c r="D63" s="143">
        <v>0.74</v>
      </c>
      <c r="E63" s="116">
        <f>IF(D$66=0,C63*2,C63+D63)</f>
        <v>1.44</v>
      </c>
      <c r="F63" s="445" t="s">
        <v>14</v>
      </c>
      <c r="G63" s="444">
        <v>251</v>
      </c>
      <c r="H63" s="458">
        <f>'1461'!H63</f>
        <v>835</v>
      </c>
      <c r="I63" s="101">
        <f t="shared" si="11"/>
        <v>1202.4000000000001</v>
      </c>
      <c r="N63" s="591"/>
      <c r="O63" s="591"/>
      <c r="P63" s="594"/>
      <c r="Q63" s="594"/>
      <c r="R63" s="40" t="s">
        <v>14</v>
      </c>
      <c r="S63" s="450">
        <v>251</v>
      </c>
      <c r="T63" s="461">
        <f t="shared" si="12"/>
        <v>835</v>
      </c>
      <c r="U63" s="475">
        <f t="shared" si="13"/>
        <v>0</v>
      </c>
      <c r="V63" s="425"/>
    </row>
    <row r="64" spans="1:22" x14ac:dyDescent="0.25">
      <c r="A64" s="561"/>
      <c r="B64" s="561"/>
      <c r="C64" s="143">
        <v>0.5</v>
      </c>
      <c r="D64" s="143">
        <v>0.53</v>
      </c>
      <c r="E64" s="116">
        <f>IF(D$66=0,C64*2,C64+D64)</f>
        <v>1.03</v>
      </c>
      <c r="F64" s="445" t="s">
        <v>14</v>
      </c>
      <c r="G64" s="444">
        <v>252</v>
      </c>
      <c r="H64" s="458">
        <f>'1461'!H64</f>
        <v>3168</v>
      </c>
      <c r="I64" s="101">
        <f t="shared" si="11"/>
        <v>3263.04</v>
      </c>
      <c r="N64" s="591"/>
      <c r="O64" s="591"/>
      <c r="P64" s="594"/>
      <c r="Q64" s="594"/>
      <c r="R64" s="40" t="s">
        <v>14</v>
      </c>
      <c r="S64" s="450">
        <v>252</v>
      </c>
      <c r="T64" s="461">
        <f t="shared" si="12"/>
        <v>3168</v>
      </c>
      <c r="U64" s="475">
        <f t="shared" si="13"/>
        <v>0</v>
      </c>
      <c r="V64" s="425"/>
    </row>
    <row r="65" spans="1:22" ht="16.5" thickBot="1" x14ac:dyDescent="0.3">
      <c r="A65" s="561"/>
      <c r="B65" s="561"/>
      <c r="C65" s="143">
        <v>28.98</v>
      </c>
      <c r="D65" s="143">
        <v>30.49</v>
      </c>
      <c r="E65" s="116">
        <f>IF(D$66=0,C65*2,C65+D65)</f>
        <v>59.47</v>
      </c>
      <c r="F65" s="445" t="s">
        <v>14</v>
      </c>
      <c r="G65" s="444">
        <v>253</v>
      </c>
      <c r="H65" s="458">
        <f>'1461'!H65</f>
        <v>6685</v>
      </c>
      <c r="I65" s="101">
        <f t="shared" si="11"/>
        <v>397556.95</v>
      </c>
      <c r="N65" s="591"/>
      <c r="O65" s="591"/>
      <c r="P65" s="595"/>
      <c r="Q65" s="595"/>
      <c r="R65" s="40" t="s">
        <v>14</v>
      </c>
      <c r="S65" s="450">
        <v>253</v>
      </c>
      <c r="T65" s="461">
        <f t="shared" si="12"/>
        <v>6685</v>
      </c>
      <c r="U65" s="476">
        <f t="shared" si="13"/>
        <v>0</v>
      </c>
      <c r="V65" s="425"/>
    </row>
    <row r="66" spans="1:22" ht="16.5" thickBot="1" x14ac:dyDescent="0.3">
      <c r="A66" s="441"/>
      <c r="C66" s="97">
        <f>SUM(C57:C65)</f>
        <v>30.18</v>
      </c>
      <c r="D66" s="97">
        <f>SUM(D57:D65)</f>
        <v>31.759999999999998</v>
      </c>
      <c r="E66" s="97">
        <f>SUM(E57:E65)</f>
        <v>61.94</v>
      </c>
      <c r="F66" s="562" t="s">
        <v>443</v>
      </c>
      <c r="G66" s="562"/>
      <c r="H66" s="562"/>
      <c r="I66" s="97">
        <f>SUM(I57:I65)</f>
        <v>402022.39</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71.95</v>
      </c>
      <c r="D69" s="537" t="s">
        <v>409</v>
      </c>
      <c r="E69" s="537"/>
      <c r="F69" s="537"/>
      <c r="G69" s="537"/>
      <c r="H69" s="301">
        <f>'1461'!H69</f>
        <v>201799.89</v>
      </c>
      <c r="I69" s="113"/>
      <c r="N69" s="572" t="s">
        <v>402</v>
      </c>
      <c r="O69" s="573"/>
      <c r="P69" s="41">
        <f>P30</f>
        <v>71.95</v>
      </c>
      <c r="Q69" s="578" t="s">
        <v>404</v>
      </c>
      <c r="R69" s="579"/>
      <c r="S69" s="579"/>
      <c r="T69" s="576">
        <f>H69</f>
        <v>201799.89</v>
      </c>
      <c r="U69" s="576"/>
    </row>
    <row r="70" spans="1:22" x14ac:dyDescent="0.25">
      <c r="B70" s="69"/>
      <c r="G70" s="42" t="s">
        <v>12</v>
      </c>
      <c r="H70" s="114">
        <f>ROUND(C69/H69,6)</f>
        <v>3.57E-4</v>
      </c>
      <c r="I70" s="115"/>
      <c r="N70" s="573"/>
      <c r="O70" s="573"/>
      <c r="P70" s="573"/>
      <c r="Q70" s="573"/>
      <c r="R70" s="573"/>
      <c r="S70" s="573"/>
      <c r="T70" s="577">
        <f>ROUND(P69/T69,6)</f>
        <v>3.57E-4</v>
      </c>
      <c r="U70" s="577"/>
    </row>
    <row r="71" spans="1:22" x14ac:dyDescent="0.25">
      <c r="A71" s="443" t="s">
        <v>446</v>
      </c>
      <c r="N71" s="454" t="s">
        <v>454</v>
      </c>
      <c r="O71" s="51"/>
      <c r="P71" s="51"/>
      <c r="Q71" s="51"/>
      <c r="R71" s="51"/>
      <c r="S71" s="51"/>
      <c r="T71" s="51"/>
      <c r="U71" s="51"/>
    </row>
    <row r="72" spans="1:22" x14ac:dyDescent="0.25">
      <c r="A72" s="556" t="s">
        <v>399</v>
      </c>
      <c r="B72" s="550"/>
      <c r="C72" s="112">
        <f>H30</f>
        <v>98.293800000000005</v>
      </c>
      <c r="D72" s="537" t="s">
        <v>410</v>
      </c>
      <c r="E72" s="537"/>
      <c r="F72" s="537"/>
      <c r="G72" s="537"/>
      <c r="H72" s="302">
        <f>'1461'!H72</f>
        <v>227090.59</v>
      </c>
      <c r="I72" s="116"/>
      <c r="N72" s="572" t="s">
        <v>403</v>
      </c>
      <c r="O72" s="573"/>
      <c r="P72" s="41">
        <f>T30</f>
        <v>71.95</v>
      </c>
      <c r="Q72" s="578" t="s">
        <v>405</v>
      </c>
      <c r="R72" s="579"/>
      <c r="S72" s="579"/>
      <c r="T72" s="576">
        <f>H72</f>
        <v>227090.59</v>
      </c>
      <c r="U72" s="576"/>
    </row>
    <row r="73" spans="1:22" x14ac:dyDescent="0.25">
      <c r="G73" s="42" t="s">
        <v>12</v>
      </c>
      <c r="H73" s="114">
        <f>ROUND(C72/H72,6)</f>
        <v>4.3300000000000001E-4</v>
      </c>
      <c r="I73" s="114"/>
      <c r="N73" s="573"/>
      <c r="O73" s="573"/>
      <c r="P73" s="573"/>
      <c r="Q73" s="573"/>
      <c r="R73" s="573"/>
      <c r="S73" s="573"/>
      <c r="T73" s="577">
        <f>ROUND(P72/T72,6)</f>
        <v>3.1700000000000001E-4</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71.95</v>
      </c>
      <c r="D75" s="529" t="s">
        <v>411</v>
      </c>
      <c r="E75" s="529"/>
      <c r="F75" s="529"/>
      <c r="G75" s="529"/>
      <c r="H75" s="301">
        <f>'1461'!H75</f>
        <v>186438.39</v>
      </c>
      <c r="I75" s="113"/>
      <c r="N75" s="572" t="s">
        <v>401</v>
      </c>
      <c r="O75" s="573"/>
      <c r="P75" s="41">
        <f>P30</f>
        <v>71.95</v>
      </c>
      <c r="Q75" s="608" t="s">
        <v>406</v>
      </c>
      <c r="R75" s="609"/>
      <c r="S75" s="609"/>
      <c r="T75" s="576">
        <f>H75</f>
        <v>186438.39</v>
      </c>
      <c r="U75" s="576"/>
    </row>
    <row r="76" spans="1:22" x14ac:dyDescent="0.25">
      <c r="B76" s="69"/>
      <c r="G76" s="42" t="s">
        <v>12</v>
      </c>
      <c r="H76" s="114">
        <f>ROUND(C75/H75,6)</f>
        <v>3.86E-4</v>
      </c>
      <c r="I76" s="115"/>
      <c r="N76" s="573"/>
      <c r="O76" s="573"/>
      <c r="P76" s="573"/>
      <c r="Q76" s="573"/>
      <c r="R76" s="573"/>
      <c r="S76" s="573"/>
      <c r="T76" s="577">
        <f>ROUND(P75/T75,6)</f>
        <v>3.86E-4</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71.95</v>
      </c>
      <c r="D78" s="557" t="s">
        <v>412</v>
      </c>
      <c r="E78" s="557"/>
      <c r="F78" s="557"/>
      <c r="G78" s="557"/>
      <c r="H78" s="301">
        <f>'1461'!H78</f>
        <v>201460.8</v>
      </c>
      <c r="I78" s="113"/>
      <c r="N78" s="572" t="s">
        <v>401</v>
      </c>
      <c r="O78" s="573"/>
      <c r="P78" s="41">
        <f>P30</f>
        <v>71.95</v>
      </c>
      <c r="Q78" s="606" t="s">
        <v>407</v>
      </c>
      <c r="R78" s="607"/>
      <c r="S78" s="607"/>
      <c r="T78" s="576">
        <f>H78</f>
        <v>201460.8</v>
      </c>
      <c r="U78" s="576"/>
    </row>
    <row r="79" spans="1:22" x14ac:dyDescent="0.25">
      <c r="B79" s="69"/>
      <c r="G79" s="42" t="s">
        <v>12</v>
      </c>
      <c r="H79" s="114">
        <f>ROUND(C78/H78,6)</f>
        <v>3.57E-4</v>
      </c>
      <c r="I79" s="115"/>
      <c r="N79" s="573"/>
      <c r="O79" s="573"/>
      <c r="P79" s="573"/>
      <c r="Q79" s="573"/>
      <c r="R79" s="573"/>
      <c r="S79" s="573"/>
      <c r="T79" s="577">
        <f>ROUND(P78/T78,6)</f>
        <v>3.57E-4</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71.95</v>
      </c>
      <c r="D81" s="529" t="s">
        <v>413</v>
      </c>
      <c r="E81" s="529"/>
      <c r="F81" s="529"/>
      <c r="G81" s="529"/>
      <c r="H81" s="301">
        <f>'1461'!H81</f>
        <v>186099.3</v>
      </c>
      <c r="I81" s="113"/>
      <c r="N81" s="572" t="s">
        <v>414</v>
      </c>
      <c r="O81" s="573"/>
      <c r="P81" s="41">
        <f>P30</f>
        <v>71.95</v>
      </c>
      <c r="Q81" s="608" t="s">
        <v>415</v>
      </c>
      <c r="R81" s="609"/>
      <c r="S81" s="609"/>
      <c r="T81" s="576">
        <f>H81</f>
        <v>186099.3</v>
      </c>
      <c r="U81" s="576"/>
    </row>
    <row r="82" spans="1:21" x14ac:dyDescent="0.25">
      <c r="B82" s="69"/>
      <c r="G82" s="42" t="s">
        <v>12</v>
      </c>
      <c r="H82" s="114">
        <f>ROUND(C81/H81,6)</f>
        <v>3.8699999999999997E-4</v>
      </c>
      <c r="I82" s="115"/>
      <c r="N82" s="573"/>
      <c r="O82" s="573"/>
      <c r="P82" s="573"/>
      <c r="Q82" s="573"/>
      <c r="R82" s="573"/>
      <c r="S82" s="573"/>
      <c r="T82" s="577">
        <f>ROUND(P81/T81,6)</f>
        <v>3.8699999999999997E-4</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3.57E-4</v>
      </c>
      <c r="I85" s="101">
        <f>ROUND(F85*H85,2)</f>
        <v>15818.42</v>
      </c>
      <c r="N85" s="454" t="s">
        <v>450</v>
      </c>
      <c r="O85" s="51"/>
      <c r="P85" s="51"/>
      <c r="Q85" s="44"/>
      <c r="R85" s="420">
        <f>F85</f>
        <v>44309288</v>
      </c>
      <c r="S85" s="38" t="s">
        <v>6</v>
      </c>
      <c r="T85" s="422">
        <f>T79</f>
        <v>3.57E-4</v>
      </c>
      <c r="U85" s="474">
        <f>ROUND(R85*T85,2)</f>
        <v>15818.42</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3.57E-4</v>
      </c>
      <c r="I88" s="101">
        <f>ROUND(F88*H88,2)</f>
        <v>0</v>
      </c>
      <c r="N88" s="610" t="s">
        <v>99</v>
      </c>
      <c r="O88" s="573"/>
      <c r="P88" s="573"/>
      <c r="Q88" s="44"/>
      <c r="R88" s="420">
        <f>F88</f>
        <v>0</v>
      </c>
      <c r="S88" s="38" t="s">
        <v>6</v>
      </c>
      <c r="T88" s="422">
        <f>T70</f>
        <v>3.57E-4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3.8699999999999997E-4</v>
      </c>
      <c r="I90" s="101">
        <f>ROUND(F90*H90,2)</f>
        <v>6298.69</v>
      </c>
      <c r="N90" s="454" t="s">
        <v>451</v>
      </c>
      <c r="O90" s="51"/>
      <c r="P90" s="51"/>
      <c r="Q90" s="44"/>
      <c r="R90" s="420">
        <f>F90</f>
        <v>16275680</v>
      </c>
      <c r="S90" s="38" t="s">
        <v>6</v>
      </c>
      <c r="T90" s="422">
        <f>T82</f>
        <v>3.8699999999999997E-4</v>
      </c>
      <c r="U90" s="474">
        <f>ROUND(R90*T90,2)</f>
        <v>6298.69</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3.86E-4</v>
      </c>
      <c r="I92" s="101">
        <f t="shared" ref="I92:I96" si="14">ROUND(F92*H92,2)</f>
        <v>3909.42</v>
      </c>
      <c r="N92" s="454" t="s">
        <v>452</v>
      </c>
      <c r="O92" s="51"/>
      <c r="P92" s="51"/>
      <c r="Q92" s="44"/>
      <c r="R92" s="420">
        <f t="shared" ref="R92:R96" si="15">F92</f>
        <v>10128039</v>
      </c>
      <c r="S92" s="38" t="s">
        <v>6</v>
      </c>
      <c r="T92" s="422">
        <f>T76</f>
        <v>3.86E-4</v>
      </c>
      <c r="U92" s="474">
        <f>ROUND(R92*T92,2)</f>
        <v>3909.42</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4.3300000000000001E-4</v>
      </c>
      <c r="I94" s="101">
        <f t="shared" si="14"/>
        <v>103485.99</v>
      </c>
      <c r="N94" s="573" t="s">
        <v>417</v>
      </c>
      <c r="O94" s="573"/>
      <c r="P94" s="573"/>
      <c r="Q94" s="44"/>
      <c r="R94" s="420">
        <f t="shared" si="15"/>
        <v>238997674</v>
      </c>
      <c r="S94" s="38" t="s">
        <v>6</v>
      </c>
      <c r="T94" s="422">
        <f>T73</f>
        <v>3.1700000000000001E-4</v>
      </c>
      <c r="U94" s="474">
        <f>ROUND(R94*T94,2)</f>
        <v>75762.259999999995</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4.3300000000000001E-4</v>
      </c>
      <c r="I96" s="101">
        <f t="shared" si="14"/>
        <v>0</v>
      </c>
      <c r="N96" s="572" t="s">
        <v>418</v>
      </c>
      <c r="O96" s="573"/>
      <c r="P96" s="573"/>
      <c r="Q96" s="44"/>
      <c r="R96" s="420">
        <f t="shared" si="15"/>
        <v>0</v>
      </c>
      <c r="S96" s="38" t="s">
        <v>6</v>
      </c>
      <c r="T96" s="422">
        <f>T73</f>
        <v>3.1700000000000001E-4</v>
      </c>
      <c r="U96" s="474">
        <f>ROUND(R96*T96,2)</f>
        <v>0</v>
      </c>
    </row>
    <row r="97" spans="1:21" x14ac:dyDescent="0.25">
      <c r="A97" s="513"/>
      <c r="B97" s="512"/>
      <c r="C97" s="512"/>
      <c r="D97" s="512"/>
      <c r="E97" s="510"/>
      <c r="F97" s="117"/>
      <c r="G97" s="511"/>
      <c r="H97" s="423"/>
      <c r="I97" s="101"/>
      <c r="N97" s="516"/>
      <c r="O97" s="515"/>
      <c r="P97" s="515"/>
      <c r="Q97" s="44"/>
      <c r="R97" s="518"/>
      <c r="S97" s="517"/>
      <c r="T97" s="422"/>
      <c r="U97" s="478"/>
    </row>
    <row r="98" spans="1:21" x14ac:dyDescent="0.25">
      <c r="A98" s="513" t="s">
        <v>475</v>
      </c>
      <c r="B98" s="512"/>
      <c r="C98" s="512"/>
      <c r="D98" s="512"/>
      <c r="E98" s="510" t="s">
        <v>3</v>
      </c>
      <c r="F98" s="291">
        <v>0</v>
      </c>
      <c r="G98" s="511" t="s">
        <v>6</v>
      </c>
      <c r="H98" s="423">
        <f>H70</f>
        <v>3.57E-4</v>
      </c>
      <c r="I98" s="101">
        <f t="shared" ref="I98" si="16">ROUND(F98*H98,2)</f>
        <v>0</v>
      </c>
      <c r="N98" s="516" t="s">
        <v>475</v>
      </c>
      <c r="O98" s="516"/>
      <c r="P98" s="516"/>
      <c r="Q98" s="44"/>
      <c r="R98" s="519">
        <f>F98</f>
        <v>0</v>
      </c>
      <c r="S98" s="517" t="s">
        <v>6</v>
      </c>
      <c r="T98" s="422">
        <f>T70</f>
        <v>3.57E-4</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81"/>
      <c r="B100" s="69"/>
      <c r="C100" s="69"/>
      <c r="D100" s="69"/>
      <c r="E100" s="43"/>
      <c r="F100" s="117"/>
      <c r="G100" s="37"/>
      <c r="H100" s="423"/>
      <c r="I100" s="101"/>
      <c r="N100" s="384"/>
      <c r="O100" s="45"/>
      <c r="P100" s="45"/>
      <c r="Q100" s="44"/>
      <c r="R100" s="421"/>
      <c r="S100" s="38"/>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0</v>
      </c>
      <c r="D104" s="568"/>
      <c r="E104" s="46">
        <f>H8</f>
        <v>1.0442</v>
      </c>
      <c r="F104" s="304">
        <f>'1461'!F104</f>
        <v>947.59</v>
      </c>
      <c r="G104" s="39" t="s">
        <v>12</v>
      </c>
      <c r="H104" s="101">
        <f>ROUND(C104*E104*F104,2)</f>
        <v>0</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0</v>
      </c>
      <c r="D105" s="568"/>
      <c r="E105" s="46">
        <f>H8</f>
        <v>1.0442</v>
      </c>
      <c r="F105" s="304">
        <f>'1461'!F105</f>
        <v>904.74</v>
      </c>
      <c r="G105" s="39" t="s">
        <v>12</v>
      </c>
      <c r="H105" s="101">
        <f>ROUND(C105*E105*F105,2)</f>
        <v>0</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98.293800000000005</v>
      </c>
      <c r="D106" s="568"/>
      <c r="E106" s="46">
        <f>H8</f>
        <v>1.0442</v>
      </c>
      <c r="F106" s="304">
        <f>'1461'!F106</f>
        <v>906.93</v>
      </c>
      <c r="G106" s="39" t="s">
        <v>12</v>
      </c>
      <c r="H106" s="94">
        <f>ROUND(C106*E106*F106,2)</f>
        <v>93085.83</v>
      </c>
      <c r="N106" s="53" t="s">
        <v>14</v>
      </c>
      <c r="O106" s="54">
        <f>T18+T19+T22+T25+T28+T29</f>
        <v>71.95</v>
      </c>
      <c r="P106" s="583">
        <f>T8</f>
        <v>1.0442</v>
      </c>
      <c r="Q106" s="583"/>
      <c r="R106" s="48">
        <f>F106</f>
        <v>906.93</v>
      </c>
      <c r="S106" s="40" t="s">
        <v>12</v>
      </c>
      <c r="T106" s="480">
        <f>ROUND(O106*P106*R106,2)</f>
        <v>68137.820000000007</v>
      </c>
      <c r="U106" s="51"/>
    </row>
    <row r="107" spans="1:21" ht="16.5" thickBot="1" x14ac:dyDescent="0.3">
      <c r="A107" s="55"/>
      <c r="B107" s="122" t="s">
        <v>102</v>
      </c>
      <c r="C107" s="558">
        <f>SUM(C104:C106)</f>
        <v>98.293800000000005</v>
      </c>
      <c r="D107" s="558"/>
      <c r="E107" s="123"/>
      <c r="F107" s="123"/>
      <c r="G107" s="123"/>
      <c r="H107" s="124" t="s">
        <v>100</v>
      </c>
      <c r="I107" s="101">
        <f>IF(A1=75,0,H106+H105+H104)</f>
        <v>93085.83</v>
      </c>
      <c r="N107" s="56" t="s">
        <v>89</v>
      </c>
      <c r="O107" s="57">
        <f>SUM(O104:O106)</f>
        <v>71.95</v>
      </c>
      <c r="P107" s="584" t="s">
        <v>16</v>
      </c>
      <c r="Q107" s="585"/>
      <c r="R107" s="585"/>
      <c r="S107" s="585"/>
      <c r="T107" s="585"/>
      <c r="U107" s="474">
        <f>IF(N1=75,0,T106+T105+T104)</f>
        <v>68137.820000000007</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8"/>
      <c r="D110" s="8"/>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34</v>
      </c>
      <c r="D113" s="143">
        <v>0</v>
      </c>
      <c r="E113" s="116">
        <f>C113</f>
        <v>34</v>
      </c>
      <c r="F113" s="126" t="s">
        <v>30</v>
      </c>
      <c r="G113" s="305">
        <f>'1461'!G113</f>
        <v>548</v>
      </c>
      <c r="I113" s="101">
        <f>ROUND(G113*E113,2)</f>
        <v>18632</v>
      </c>
      <c r="N113" s="602" t="s">
        <v>52</v>
      </c>
      <c r="O113" s="602"/>
      <c r="P113" s="582">
        <f>IF(H133=1,E113,0)</f>
        <v>34</v>
      </c>
      <c r="Q113" s="582"/>
      <c r="R113" s="582"/>
      <c r="S113" s="83" t="s">
        <v>30</v>
      </c>
      <c r="T113" s="58">
        <f>G113</f>
        <v>548</v>
      </c>
      <c r="U113" s="474">
        <f>ROUND(T113*P113,2)</f>
        <v>18632</v>
      </c>
    </row>
    <row r="114" spans="1:21" x14ac:dyDescent="0.25">
      <c r="A114" s="529" t="s">
        <v>376</v>
      </c>
      <c r="B114" s="530"/>
      <c r="C114" s="143">
        <v>0</v>
      </c>
      <c r="D114" s="143">
        <v>0</v>
      </c>
      <c r="E114" s="116">
        <f>(C114+D114)/2</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1170786.33</v>
      </c>
      <c r="N128" s="454"/>
      <c r="O128" s="453"/>
      <c r="P128" s="453"/>
      <c r="Q128" s="307"/>
      <c r="R128" s="307"/>
      <c r="S128" s="307"/>
      <c r="T128" s="307"/>
      <c r="U128" s="481">
        <f>SUM(U30,U85,U88,U90,U92,U94,U96,U107,U113,U114,U124,U126)</f>
        <v>574707.5</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1139503.5900000001</v>
      </c>
      <c r="N130" s="573" t="s">
        <v>429</v>
      </c>
      <c r="O130" s="573"/>
      <c r="P130" s="573"/>
      <c r="Q130" s="573"/>
      <c r="R130" s="573"/>
      <c r="S130" s="573"/>
      <c r="T130" s="573"/>
      <c r="U130" s="132">
        <f>U128-U53</f>
        <v>551808.87</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f>IF(E30=0,"",IF((E15+E17+SUM(E19:E25))/E30&gt;0.75,1,""))</f>
        <v>1</v>
      </c>
      <c r="I133" s="116">
        <f>U130</f>
        <v>551808.87</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551808.87</v>
      </c>
      <c r="I135" s="94">
        <f>ROUND(IF(E30=0,0,IF(E30&gt;250,-(((250/E30)*H135)*IF(G135="H",0.02,0.05)),IF(G135="H",-0.02*H135,-0.05*H135))),2)</f>
        <v>-27590.44</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1143195.8900000001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-202338.12-109048.72-109048.72-109048.73-109048.73-82925.52-82167.53-82269.09</f>
        <v>-885895.15999999992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257300.73000000021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85766.91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46" t="str">
        <f>'1461'!A152</f>
        <v>(a) Additional FTE includes FTE earned through Advanced Placement, International Baccalaureate, Advanced International Certificate of Education, Industry Certified Career</v>
      </c>
      <c r="B152" s="347"/>
      <c r="C152" s="347"/>
      <c r="D152" s="347"/>
      <c r="E152" s="347"/>
      <c r="F152" s="347"/>
      <c r="G152" s="347"/>
      <c r="H152" s="347"/>
      <c r="I152" s="347"/>
      <c r="J152" s="77"/>
      <c r="K152" s="76"/>
      <c r="L152" s="76"/>
      <c r="M152" s="76"/>
      <c r="N152" s="73"/>
      <c r="O152" s="73"/>
      <c r="P152" s="73"/>
      <c r="Q152" s="73"/>
      <c r="R152" s="73"/>
      <c r="S152" s="73"/>
      <c r="T152" s="73"/>
      <c r="U152" s="73"/>
    </row>
    <row r="153" spans="1:21" ht="15.75" customHeight="1" x14ac:dyDescent="0.25">
      <c r="A153" s="352" t="s">
        <v>366</v>
      </c>
      <c r="B153" s="347"/>
      <c r="C153" s="347"/>
      <c r="D153" s="347"/>
      <c r="E153" s="347"/>
      <c r="F153" s="347"/>
      <c r="G153" s="347"/>
      <c r="H153" s="347"/>
      <c r="I153" s="347"/>
      <c r="J153" s="77"/>
      <c r="K153" s="76"/>
      <c r="L153" s="76"/>
      <c r="M153" s="76"/>
      <c r="N153" s="73"/>
      <c r="O153" s="73"/>
      <c r="P153" s="73"/>
      <c r="Q153" s="73"/>
      <c r="R153" s="73"/>
      <c r="S153" s="73"/>
      <c r="T153" s="73"/>
      <c r="U153" s="73"/>
    </row>
    <row r="154" spans="1:21" x14ac:dyDescent="0.25">
      <c r="A154" s="346" t="s">
        <v>367</v>
      </c>
      <c r="B154" s="348"/>
      <c r="C154" s="348"/>
      <c r="D154" s="348"/>
      <c r="E154" s="348"/>
      <c r="F154" s="348"/>
      <c r="G154" s="348"/>
      <c r="H154" s="348"/>
      <c r="I154" s="348"/>
      <c r="J154" s="76"/>
      <c r="K154" s="76"/>
      <c r="L154" s="76"/>
      <c r="M154" s="76"/>
      <c r="N154" s="73"/>
      <c r="O154" s="73"/>
      <c r="P154" s="73"/>
      <c r="Q154" s="73"/>
      <c r="R154" s="73"/>
      <c r="S154" s="73"/>
      <c r="T154" s="73"/>
      <c r="U154" s="73"/>
    </row>
    <row r="155" spans="1:21" s="76" customFormat="1" x14ac:dyDescent="0.2">
      <c r="A155" s="346" t="s">
        <v>368</v>
      </c>
      <c r="B155" s="348"/>
      <c r="C155" s="348"/>
      <c r="D155" s="348"/>
      <c r="E155" s="348"/>
      <c r="F155" s="348"/>
      <c r="G155" s="348"/>
      <c r="H155" s="348"/>
      <c r="I155" s="348"/>
      <c r="N155" s="597"/>
      <c r="O155" s="597"/>
      <c r="P155" s="597"/>
      <c r="Q155" s="597"/>
      <c r="R155" s="597"/>
      <c r="S155" s="597"/>
      <c r="T155" s="597"/>
      <c r="U155" s="597"/>
    </row>
    <row r="156" spans="1:21" s="76" customFormat="1" x14ac:dyDescent="0.2">
      <c r="A156" s="346" t="s">
        <v>369</v>
      </c>
      <c r="B156" s="348"/>
      <c r="C156" s="348"/>
      <c r="D156" s="348"/>
      <c r="E156" s="348"/>
      <c r="F156" s="348"/>
      <c r="G156" s="348"/>
      <c r="H156" s="348"/>
      <c r="I156" s="348"/>
      <c r="N156" s="73"/>
      <c r="O156" s="73"/>
      <c r="P156" s="73"/>
      <c r="Q156" s="73"/>
      <c r="R156" s="73"/>
      <c r="S156" s="73"/>
      <c r="T156" s="73"/>
      <c r="U156" s="73"/>
    </row>
    <row r="157" spans="1:21" s="76" customFormat="1" x14ac:dyDescent="0.2">
      <c r="A157" s="346" t="s">
        <v>370</v>
      </c>
      <c r="B157" s="348"/>
      <c r="C157" s="348"/>
      <c r="D157" s="348"/>
      <c r="E157" s="348"/>
      <c r="F157" s="348"/>
      <c r="G157" s="348"/>
      <c r="H157" s="348"/>
      <c r="I157" s="348"/>
      <c r="N157" s="78"/>
      <c r="O157" s="79"/>
      <c r="P157" s="79"/>
      <c r="Q157" s="79"/>
      <c r="R157" s="79"/>
      <c r="S157" s="79"/>
      <c r="T157" s="79"/>
      <c r="U157" s="79"/>
    </row>
    <row r="158" spans="1:21" s="76" customFormat="1" x14ac:dyDescent="0.2">
      <c r="A158" s="346" t="s">
        <v>371</v>
      </c>
      <c r="B158" s="348"/>
      <c r="C158" s="348"/>
      <c r="D158" s="348"/>
      <c r="E158" s="348"/>
      <c r="F158" s="348"/>
      <c r="G158" s="348"/>
      <c r="H158" s="348"/>
      <c r="I158" s="348"/>
      <c r="N158" s="78"/>
    </row>
    <row r="159" spans="1:21" s="76" customFormat="1" x14ac:dyDescent="0.2">
      <c r="A159" s="346" t="s">
        <v>373</v>
      </c>
      <c r="B159" s="348"/>
      <c r="C159" s="348"/>
      <c r="D159" s="348"/>
      <c r="E159" s="348"/>
      <c r="F159" s="348"/>
      <c r="G159" s="348"/>
      <c r="H159" s="348"/>
      <c r="I159" s="348"/>
      <c r="N159" s="78"/>
    </row>
    <row r="160" spans="1:21" s="76" customFormat="1" x14ac:dyDescent="0.2">
      <c r="A160" s="352" t="s">
        <v>372</v>
      </c>
      <c r="B160" s="348"/>
      <c r="C160" s="348"/>
      <c r="D160" s="348"/>
      <c r="E160" s="348"/>
      <c r="F160" s="348"/>
      <c r="G160" s="348"/>
      <c r="H160" s="348"/>
      <c r="I160" s="348"/>
      <c r="N160" s="78"/>
    </row>
    <row r="161" spans="1:14" s="76" customFormat="1" x14ac:dyDescent="0.2">
      <c r="A161" s="346" t="s">
        <v>374</v>
      </c>
      <c r="B161" s="348"/>
      <c r="C161" s="348"/>
      <c r="D161" s="348"/>
      <c r="E161" s="348"/>
      <c r="F161" s="348"/>
      <c r="G161" s="348"/>
      <c r="H161" s="348"/>
      <c r="I161" s="348"/>
      <c r="N161" s="78"/>
    </row>
    <row r="162" spans="1:14" s="76" customFormat="1" x14ac:dyDescent="0.2">
      <c r="A162" s="352" t="str">
        <f>'1461'!A162</f>
        <v>"All Adjusted ESE Riders" should include only ESE Riders.</v>
      </c>
      <c r="B162" s="348"/>
      <c r="C162" s="348"/>
      <c r="D162" s="348"/>
      <c r="E162" s="348"/>
      <c r="F162" s="348"/>
      <c r="G162" s="348"/>
      <c r="H162" s="348"/>
      <c r="I162" s="348"/>
      <c r="N162" s="78"/>
    </row>
    <row r="163" spans="1:14" s="76" customFormat="1" x14ac:dyDescent="0.2">
      <c r="A163" s="346" t="s">
        <v>377</v>
      </c>
      <c r="B163" s="348"/>
      <c r="C163" s="348"/>
      <c r="D163" s="348"/>
      <c r="E163" s="348"/>
      <c r="F163" s="348"/>
      <c r="G163" s="348"/>
      <c r="H163" s="348"/>
      <c r="I163" s="348"/>
      <c r="N163" s="78"/>
    </row>
    <row r="164" spans="1:14" s="76" customFormat="1" ht="15.75" customHeight="1" x14ac:dyDescent="0.2">
      <c r="A164" s="346" t="str">
        <f>'1461'!A164</f>
        <v xml:space="preserve">(j) Funding based on student eligibility and meals provided, if participating in the National School Lunch Program. </v>
      </c>
      <c r="B164" s="348"/>
      <c r="C164" s="348"/>
      <c r="D164" s="348"/>
      <c r="E164" s="348"/>
      <c r="F164" s="348"/>
      <c r="G164" s="348"/>
      <c r="H164" s="348"/>
      <c r="I164" s="348"/>
      <c r="N164" s="78"/>
    </row>
    <row r="165" spans="1:14" s="76" customFormat="1" ht="15.75" customHeight="1" x14ac:dyDescent="0.2">
      <c r="A165" s="346" t="s">
        <v>379</v>
      </c>
      <c r="B165" s="348"/>
      <c r="C165" s="348"/>
      <c r="D165" s="348"/>
      <c r="E165" s="348"/>
      <c r="F165" s="348"/>
      <c r="G165" s="348"/>
      <c r="H165" s="348"/>
      <c r="I165" s="348"/>
      <c r="N165" s="78"/>
    </row>
    <row r="166" spans="1:14" s="76" customFormat="1" ht="15.75" customHeight="1" x14ac:dyDescent="0.2">
      <c r="A166" s="352" t="s">
        <v>378</v>
      </c>
      <c r="B166" s="348"/>
      <c r="C166" s="348"/>
      <c r="D166" s="348"/>
      <c r="E166" s="348"/>
      <c r="F166" s="348"/>
      <c r="G166" s="348"/>
      <c r="H166" s="348"/>
      <c r="I166" s="348"/>
      <c r="N166" s="78"/>
    </row>
    <row r="167" spans="1:14" s="76" customFormat="1" ht="15.75" customHeight="1" x14ac:dyDescent="0.2">
      <c r="A167" s="346" t="s">
        <v>380</v>
      </c>
      <c r="B167" s="348"/>
      <c r="C167" s="348"/>
      <c r="D167" s="348"/>
      <c r="E167" s="348"/>
      <c r="F167" s="348"/>
      <c r="G167" s="348"/>
      <c r="H167" s="348"/>
      <c r="I167" s="348"/>
      <c r="N167" s="78"/>
    </row>
    <row r="168" spans="1:14" s="76" customFormat="1" ht="15.75" customHeight="1" x14ac:dyDescent="0.2">
      <c r="A168" s="352" t="str">
        <f>'1461'!A168</f>
        <v xml:space="preserve">unweighted full-time equivalent students. </v>
      </c>
      <c r="B168" s="348"/>
      <c r="C168" s="348"/>
      <c r="D168" s="348"/>
      <c r="E168" s="348"/>
      <c r="F168" s="348"/>
      <c r="G168" s="348"/>
      <c r="H168" s="348"/>
      <c r="I168" s="348"/>
      <c r="N168" s="78"/>
    </row>
    <row r="169" spans="1:14" s="76" customFormat="1" ht="15.75" customHeight="1" x14ac:dyDescent="0.2">
      <c r="A169" s="346" t="s">
        <v>382</v>
      </c>
      <c r="B169" s="348"/>
      <c r="C169" s="348"/>
      <c r="D169" s="348"/>
      <c r="E169" s="348"/>
      <c r="F169" s="348"/>
      <c r="G169" s="348"/>
      <c r="H169" s="348"/>
      <c r="I169" s="348"/>
      <c r="N169" s="78"/>
    </row>
    <row r="170" spans="1:14" s="76" customFormat="1" ht="15.75" customHeight="1" x14ac:dyDescent="0.2">
      <c r="A170" s="352" t="s">
        <v>381</v>
      </c>
      <c r="B170" s="348"/>
      <c r="C170" s="348"/>
      <c r="D170" s="348"/>
      <c r="E170" s="348"/>
      <c r="F170" s="348"/>
      <c r="G170" s="348"/>
      <c r="H170" s="348"/>
      <c r="I170" s="348"/>
      <c r="N170" s="78"/>
    </row>
    <row r="171" spans="1:14" s="76" customFormat="1" ht="15.75" customHeight="1" x14ac:dyDescent="0.2">
      <c r="A171" s="346"/>
      <c r="B171" s="348"/>
      <c r="C171" s="348"/>
      <c r="D171" s="348"/>
      <c r="E171" s="348"/>
      <c r="F171" s="348"/>
      <c r="G171" s="348"/>
      <c r="H171" s="348"/>
      <c r="I171" s="348"/>
      <c r="N171" s="78"/>
    </row>
    <row r="172" spans="1:14" s="76" customFormat="1" ht="15.75" customHeight="1" x14ac:dyDescent="0.25">
      <c r="A172" s="359" t="str">
        <f>'1461'!A172</f>
        <v>Administrative fees:</v>
      </c>
      <c r="B172" s="348"/>
      <c r="C172" s="348"/>
      <c r="D172" s="348"/>
      <c r="E172" s="348"/>
      <c r="F172" s="348"/>
      <c r="G172" s="348"/>
      <c r="H172" s="348"/>
      <c r="I172" s="348"/>
      <c r="J172" s="3"/>
      <c r="K172" s="3"/>
      <c r="L172" s="3"/>
      <c r="M172" s="3"/>
      <c r="N172" s="78"/>
    </row>
    <row r="173" spans="1:14" s="76" customFormat="1" ht="15.75" customHeight="1" x14ac:dyDescent="0.25">
      <c r="A173" s="363" t="str">
        <f>'1461'!A173</f>
        <v xml:space="preserve">Administrative fees charged by the school district pursuant to s. 1002.33(20)(a), F.S., shall be calculated based upon 5% of available funds from the FEFP and categorical </v>
      </c>
      <c r="B173" s="351"/>
      <c r="C173" s="351"/>
      <c r="D173" s="351"/>
      <c r="E173" s="351"/>
      <c r="F173" s="351"/>
      <c r="G173" s="351"/>
      <c r="H173" s="351"/>
      <c r="I173" s="351"/>
      <c r="J173" s="3"/>
      <c r="K173" s="3"/>
      <c r="L173" s="3"/>
      <c r="M173" s="3"/>
      <c r="N173" s="78"/>
    </row>
    <row r="174" spans="1:14" s="76" customFormat="1" ht="15.75" customHeight="1" x14ac:dyDescent="0.25">
      <c r="A174" s="364" t="str">
        <f>'1461'!A174</f>
        <v>funding for which charter students may be eligible.  To calculate the administrative fee to be withheld for schools with more than 250 students, divide the school</v>
      </c>
      <c r="B174" s="358"/>
      <c r="C174" s="358"/>
      <c r="D174" s="358"/>
      <c r="E174" s="358"/>
      <c r="F174" s="358"/>
      <c r="G174" s="358"/>
      <c r="H174" s="358"/>
      <c r="I174" s="358"/>
      <c r="J174" s="3"/>
      <c r="K174" s="3"/>
      <c r="L174" s="3"/>
      <c r="M174" s="3"/>
      <c r="N174" s="78"/>
    </row>
    <row r="175" spans="1:14" s="76" customFormat="1" ht="15.75" customHeight="1" x14ac:dyDescent="0.25">
      <c r="A175" s="364" t="s">
        <v>383</v>
      </c>
      <c r="B175" s="358"/>
      <c r="C175" s="358"/>
      <c r="D175" s="358"/>
      <c r="E175" s="358"/>
      <c r="F175" s="358"/>
      <c r="G175" s="358"/>
      <c r="H175" s="358"/>
      <c r="I175" s="358"/>
      <c r="J175" s="3"/>
      <c r="K175" s="3"/>
      <c r="L175" s="3"/>
      <c r="M175" s="3"/>
      <c r="N175" s="78"/>
    </row>
    <row r="176" spans="1:14" s="76" customFormat="1" ht="15.75" customHeight="1" x14ac:dyDescent="0.2">
      <c r="A176" s="364" t="s">
        <v>384</v>
      </c>
      <c r="B176" s="358"/>
      <c r="C176" s="358"/>
      <c r="D176" s="358"/>
      <c r="E176" s="358"/>
      <c r="F176" s="358"/>
      <c r="G176" s="358"/>
      <c r="H176" s="358"/>
      <c r="I176" s="358"/>
      <c r="N176" s="78"/>
    </row>
    <row r="177" spans="1:21" s="76" customFormat="1" ht="15.75" customHeight="1" x14ac:dyDescent="0.2">
      <c r="A177" s="363"/>
      <c r="B177" s="358"/>
      <c r="C177" s="358"/>
      <c r="D177" s="358"/>
      <c r="E177" s="358"/>
      <c r="F177" s="358"/>
      <c r="G177" s="358"/>
      <c r="H177" s="358"/>
      <c r="I177" s="358"/>
      <c r="N177" s="78"/>
    </row>
    <row r="178" spans="1:21" ht="15.75" customHeight="1" x14ac:dyDescent="0.25">
      <c r="A178" s="363" t="str">
        <f>'1461'!A178</f>
        <v xml:space="preserve">For high performing charter schools, administrative fees charged by the school district shall be calculated based upon 2% of available funds from the FEFP and categorical </v>
      </c>
      <c r="B178" s="351"/>
      <c r="C178" s="351"/>
      <c r="D178" s="351"/>
      <c r="E178" s="351"/>
      <c r="F178" s="351"/>
      <c r="G178" s="351"/>
      <c r="H178" s="351"/>
      <c r="I178" s="351"/>
      <c r="J178" s="76"/>
      <c r="K178" s="76"/>
      <c r="L178" s="76"/>
      <c r="M178" s="76"/>
      <c r="N178" s="78"/>
      <c r="O178" s="76"/>
      <c r="P178" s="76"/>
      <c r="Q178" s="76"/>
      <c r="R178" s="76"/>
      <c r="S178" s="76"/>
      <c r="T178" s="76"/>
      <c r="U178" s="76"/>
    </row>
    <row r="179" spans="1:21" ht="15.75" customHeight="1" x14ac:dyDescent="0.25">
      <c r="A179" s="364" t="str">
        <f>'1461'!A179</f>
        <v>funding for which charter students may be eligible.  To calculate the administrative fee to be withheld for schools with more than 250 students, divide the school</v>
      </c>
      <c r="B179" s="351"/>
      <c r="C179" s="351"/>
      <c r="D179" s="351"/>
      <c r="E179" s="351"/>
      <c r="F179" s="351"/>
      <c r="G179" s="351"/>
      <c r="H179" s="351"/>
      <c r="I179" s="351"/>
      <c r="J179" s="76"/>
      <c r="K179" s="76"/>
      <c r="L179" s="76"/>
      <c r="M179" s="76"/>
      <c r="N179" s="74"/>
    </row>
    <row r="180" spans="1:21" s="76" customFormat="1" ht="15.75" customHeight="1" x14ac:dyDescent="0.25">
      <c r="A180" s="364" t="str">
        <f>'1461'!A180</f>
        <v xml:space="preserve">population into 250. Multiply that fraction times the funds available, then times 2%.  </v>
      </c>
      <c r="B180" s="351"/>
      <c r="C180" s="351"/>
      <c r="D180" s="351"/>
      <c r="E180" s="351"/>
      <c r="F180" s="351"/>
      <c r="G180" s="351"/>
      <c r="H180" s="351"/>
      <c r="I180" s="351"/>
      <c r="N180" s="74"/>
      <c r="O180" s="3"/>
      <c r="P180" s="3"/>
      <c r="Q180" s="3"/>
      <c r="R180" s="3"/>
      <c r="S180" s="3"/>
      <c r="T180" s="3"/>
      <c r="U180" s="3"/>
    </row>
    <row r="181" spans="1:21" x14ac:dyDescent="0.25">
      <c r="A181" s="346"/>
      <c r="B181" s="351"/>
      <c r="C181" s="351"/>
      <c r="D181" s="351"/>
      <c r="E181" s="351"/>
      <c r="F181" s="351"/>
      <c r="G181" s="351"/>
      <c r="H181" s="351"/>
      <c r="I181" s="351"/>
      <c r="N181" s="78"/>
      <c r="O181" s="76"/>
      <c r="P181" s="76"/>
      <c r="Q181" s="76"/>
      <c r="R181" s="76"/>
      <c r="S181" s="76"/>
      <c r="T181" s="76"/>
      <c r="U181" s="76"/>
    </row>
    <row r="182" spans="1:21" x14ac:dyDescent="0.25">
      <c r="A182" s="359" t="str">
        <f>'1461'!A182</f>
        <v>Other:</v>
      </c>
      <c r="B182" s="357"/>
      <c r="C182" s="357"/>
      <c r="D182" s="357"/>
      <c r="E182" s="357"/>
      <c r="F182" s="357"/>
      <c r="G182" s="357"/>
      <c r="H182" s="357"/>
      <c r="I182" s="357"/>
      <c r="N182" s="78"/>
      <c r="O182" s="76"/>
      <c r="P182" s="76"/>
      <c r="Q182" s="76"/>
      <c r="R182" s="76"/>
      <c r="S182" s="76"/>
      <c r="T182" s="76"/>
      <c r="U182" s="76"/>
    </row>
    <row r="183" spans="1:21" x14ac:dyDescent="0.25">
      <c r="A183" s="363" t="str">
        <f>'1461'!A183</f>
        <v>FEFP and categorical funding are recalculated during the year to reflect the revised number of full-time equivalent students reported during the survey periods designated</v>
      </c>
      <c r="B183" s="351"/>
      <c r="C183" s="351"/>
      <c r="D183" s="351"/>
      <c r="E183" s="351"/>
      <c r="F183" s="351"/>
      <c r="G183" s="351"/>
      <c r="H183" s="351"/>
      <c r="I183" s="351"/>
      <c r="N183" s="78"/>
      <c r="O183" s="76"/>
      <c r="P183" s="76"/>
      <c r="Q183" s="76"/>
      <c r="R183" s="76"/>
      <c r="S183" s="76"/>
      <c r="T183" s="76"/>
      <c r="U183" s="76"/>
    </row>
    <row r="184" spans="1:21" x14ac:dyDescent="0.25">
      <c r="A184" s="364" t="str">
        <f>'1461'!A184</f>
        <v>by the Commissioner of Education.</v>
      </c>
      <c r="B184" s="358"/>
      <c r="C184" s="358"/>
      <c r="D184" s="358"/>
      <c r="E184" s="358"/>
      <c r="F184" s="358"/>
      <c r="G184" s="358"/>
      <c r="H184" s="358"/>
      <c r="I184" s="358"/>
      <c r="N184" s="74"/>
    </row>
    <row r="185" spans="1:21" x14ac:dyDescent="0.25">
      <c r="A185" s="363" t="str">
        <f>'1461'!A185</f>
        <v>Revenues flow to districts from state sources and from county tax collectors on various distribution schedules.</v>
      </c>
      <c r="B185" s="351"/>
      <c r="C185" s="351"/>
      <c r="D185" s="351"/>
      <c r="E185" s="351"/>
      <c r="F185" s="351"/>
      <c r="G185" s="351"/>
      <c r="H185" s="351"/>
      <c r="I185" s="351"/>
      <c r="N185" s="74"/>
    </row>
    <row r="186" spans="1:21" x14ac:dyDescent="0.25">
      <c r="A186" s="294"/>
      <c r="B186" s="294"/>
      <c r="C186" s="294"/>
      <c r="D186" s="294"/>
      <c r="E186" s="294"/>
      <c r="F186" s="294"/>
      <c r="G186" s="294"/>
      <c r="H186" s="294"/>
      <c r="I186" s="294"/>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C104:D104"/>
    <mergeCell ref="P104:Q104"/>
    <mergeCell ref="C105:D105"/>
    <mergeCell ref="P105:Q105"/>
    <mergeCell ref="C106:D106"/>
    <mergeCell ref="P106:Q106"/>
    <mergeCell ref="C107:D107"/>
    <mergeCell ref="P107:T107"/>
    <mergeCell ref="A108:I108"/>
    <mergeCell ref="N108:U108"/>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A78:B78"/>
    <mergeCell ref="D78:G78"/>
    <mergeCell ref="N78:O78"/>
    <mergeCell ref="Q78:S78"/>
    <mergeCell ref="T78:U78"/>
    <mergeCell ref="N79:S79"/>
    <mergeCell ref="T79:U79"/>
    <mergeCell ref="A57:B65"/>
    <mergeCell ref="F66:H66"/>
    <mergeCell ref="P65:Q65"/>
    <mergeCell ref="P66:Q66"/>
    <mergeCell ref="R66:T66"/>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CCC"/>
    <pageSetUpPr fitToPage="1"/>
  </sheetPr>
  <dimension ref="A1:V221"/>
  <sheetViews>
    <sheetView topLeftCell="A114" workbookViewId="0">
      <selection activeCell="E59" sqref="E5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112</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0</v>
      </c>
      <c r="D14" s="141">
        <v>0</v>
      </c>
      <c r="E14" s="187">
        <f>IF(D$30=0,C14*2,C14+D14)</f>
        <v>0</v>
      </c>
      <c r="F14" s="639">
        <f>'1461'!F14:G14</f>
        <v>1.1220000000000001</v>
      </c>
      <c r="G14" s="639"/>
      <c r="H14" s="145">
        <f>ROUND(E14*F14,4)</f>
        <v>0</v>
      </c>
      <c r="I14" s="111">
        <f>ROUND(ROUND(ROUND(H14*$C$8,4)*($H$8),2)*(MAX($H$9,1)),2)</f>
        <v>0</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1</v>
      </c>
      <c r="D15" s="143">
        <v>0</v>
      </c>
      <c r="E15" s="116">
        <f>IF(D$30=0,C15*2,C15+D15)</f>
        <v>1</v>
      </c>
      <c r="F15" s="635">
        <f>'1461'!F15:G15</f>
        <v>1.1220000000000001</v>
      </c>
      <c r="G15" s="635"/>
      <c r="H15" s="80">
        <f t="shared" ref="H15:H29" si="1">ROUND(E15*F15,4)</f>
        <v>1.1220000000000001</v>
      </c>
      <c r="I15" s="101">
        <f t="shared" ref="I15:I29" si="2">ROUND(ROUND(ROUND(H15*$C$8,4)*($H$8),2)*(MAX($H$9,1)),2)</f>
        <v>6021.67</v>
      </c>
      <c r="J15" s="65" t="str">
        <f>IF(ROUND(E15,2)=ROUND(SUM(E57:E59),2)," ","CHECK PK-3 LINES BELOW")</f>
        <v xml:space="preserve"> </v>
      </c>
      <c r="N15" s="573" t="s">
        <v>21</v>
      </c>
      <c r="O15" s="573"/>
      <c r="P15" s="614">
        <f t="shared" si="0"/>
        <v>1</v>
      </c>
      <c r="Q15" s="614"/>
      <c r="R15" s="619">
        <v>1</v>
      </c>
      <c r="S15" s="619"/>
      <c r="T15" s="95">
        <f t="shared" ref="T15:T29" si="3">ROUND(P15*R15,4)</f>
        <v>1</v>
      </c>
      <c r="U15" s="474">
        <f t="shared" ref="U15:U29" si="4">ROUND(ROUND(ROUND(T15*$C$8,4)*($H$8),2)*(MAX($H$9,1)),2)</f>
        <v>5366.91</v>
      </c>
    </row>
    <row r="16" spans="1:21" x14ac:dyDescent="0.25">
      <c r="A16" s="550" t="s">
        <v>22</v>
      </c>
      <c r="B16" s="550"/>
      <c r="C16" s="143">
        <v>0</v>
      </c>
      <c r="D16" s="143">
        <v>0</v>
      </c>
      <c r="E16" s="116">
        <f t="shared" ref="E16:E29" si="5">IF(D$30=0,C16*2,C16+D16)</f>
        <v>0</v>
      </c>
      <c r="F16" s="635">
        <f>'1461'!F16:G16</f>
        <v>1</v>
      </c>
      <c r="G16" s="635"/>
      <c r="H16" s="80">
        <f t="shared" si="1"/>
        <v>0</v>
      </c>
      <c r="I16" s="101">
        <f t="shared" si="2"/>
        <v>0</v>
      </c>
      <c r="N16" s="573" t="s">
        <v>22</v>
      </c>
      <c r="O16" s="573"/>
      <c r="P16" s="614">
        <f t="shared" si="0"/>
        <v>0</v>
      </c>
      <c r="Q16" s="614"/>
      <c r="R16" s="619">
        <v>1</v>
      </c>
      <c r="S16" s="619"/>
      <c r="T16" s="95">
        <f t="shared" si="3"/>
        <v>0</v>
      </c>
      <c r="U16" s="474">
        <f t="shared" si="4"/>
        <v>0</v>
      </c>
    </row>
    <row r="17" spans="1:21" x14ac:dyDescent="0.25">
      <c r="A17" s="550" t="s">
        <v>23</v>
      </c>
      <c r="B17" s="550"/>
      <c r="C17" s="143">
        <v>0</v>
      </c>
      <c r="D17" s="143">
        <v>0</v>
      </c>
      <c r="E17" s="116">
        <f t="shared" si="5"/>
        <v>0</v>
      </c>
      <c r="F17" s="635">
        <f>'1461'!F17:G17</f>
        <v>1</v>
      </c>
      <c r="G17" s="635"/>
      <c r="H17" s="80">
        <f t="shared" si="1"/>
        <v>0</v>
      </c>
      <c r="I17" s="101">
        <f t="shared" si="2"/>
        <v>0</v>
      </c>
      <c r="J17" s="65" t="str">
        <f>IF(ROUND(E17,2)=ROUND(SUM(E60:E62),2)," ","CHECK 4-8 LINES BELOW")</f>
        <v xml:space="preserve"> </v>
      </c>
      <c r="N17" s="573" t="s">
        <v>23</v>
      </c>
      <c r="O17" s="573"/>
      <c r="P17" s="614">
        <f t="shared" si="0"/>
        <v>0</v>
      </c>
      <c r="Q17" s="614"/>
      <c r="R17" s="619">
        <v>1</v>
      </c>
      <c r="S17" s="619"/>
      <c r="T17" s="95">
        <f t="shared" si="3"/>
        <v>0</v>
      </c>
      <c r="U17" s="474">
        <f t="shared" si="4"/>
        <v>0</v>
      </c>
    </row>
    <row r="18" spans="1:21" x14ac:dyDescent="0.25">
      <c r="A18" s="550" t="s">
        <v>24</v>
      </c>
      <c r="B18" s="550"/>
      <c r="C18" s="143">
        <v>0</v>
      </c>
      <c r="D18" s="143">
        <v>0</v>
      </c>
      <c r="E18" s="116">
        <f t="shared" si="5"/>
        <v>0</v>
      </c>
      <c r="F18" s="635">
        <f>'1461'!F18:G18</f>
        <v>0.98799999999999999</v>
      </c>
      <c r="G18" s="635"/>
      <c r="H18" s="80">
        <f t="shared" si="1"/>
        <v>0</v>
      </c>
      <c r="I18" s="101">
        <f t="shared" si="2"/>
        <v>0</v>
      </c>
      <c r="N18" s="573" t="s">
        <v>24</v>
      </c>
      <c r="O18" s="573"/>
      <c r="P18" s="614">
        <f t="shared" si="0"/>
        <v>0</v>
      </c>
      <c r="Q18" s="614"/>
      <c r="R18" s="619">
        <v>1</v>
      </c>
      <c r="S18" s="619"/>
      <c r="T18" s="95">
        <f t="shared" si="3"/>
        <v>0</v>
      </c>
      <c r="U18" s="474">
        <f t="shared" si="4"/>
        <v>0</v>
      </c>
    </row>
    <row r="19" spans="1:21" x14ac:dyDescent="0.25">
      <c r="A19" s="550" t="s">
        <v>25</v>
      </c>
      <c r="B19" s="550"/>
      <c r="C19" s="143">
        <v>0</v>
      </c>
      <c r="D19" s="143">
        <v>0</v>
      </c>
      <c r="E19" s="116">
        <f t="shared" si="5"/>
        <v>0</v>
      </c>
      <c r="F19" s="635">
        <f>'1461'!F19:G19</f>
        <v>0.98799999999999999</v>
      </c>
      <c r="G19" s="635"/>
      <c r="H19" s="80">
        <f t="shared" si="1"/>
        <v>0</v>
      </c>
      <c r="I19" s="101">
        <f t="shared" si="2"/>
        <v>0</v>
      </c>
      <c r="J19" s="65" t="str">
        <f>IF(ROUND(E19,2)=ROUND(SUM(E63:E65),2)," ","CHECK 4-8 LINES BELOW")</f>
        <v xml:space="preserve"> </v>
      </c>
      <c r="N19" s="573" t="s">
        <v>25</v>
      </c>
      <c r="O19" s="573"/>
      <c r="P19" s="614">
        <f t="shared" si="0"/>
        <v>0</v>
      </c>
      <c r="Q19" s="614"/>
      <c r="R19" s="619">
        <v>1</v>
      </c>
      <c r="S19" s="619"/>
      <c r="T19" s="95">
        <f t="shared" si="3"/>
        <v>0</v>
      </c>
      <c r="U19" s="473">
        <f t="shared" si="4"/>
        <v>0</v>
      </c>
    </row>
    <row r="20" spans="1:21" x14ac:dyDescent="0.25">
      <c r="A20" s="550" t="s">
        <v>79</v>
      </c>
      <c r="B20" s="550"/>
      <c r="C20" s="143">
        <v>1.5</v>
      </c>
      <c r="D20" s="143">
        <v>1.5</v>
      </c>
      <c r="E20" s="116">
        <f t="shared" si="5"/>
        <v>3</v>
      </c>
      <c r="F20" s="635">
        <f>'1461'!F20:G20</f>
        <v>3.706</v>
      </c>
      <c r="G20" s="635"/>
      <c r="H20" s="80">
        <f t="shared" si="1"/>
        <v>11.118</v>
      </c>
      <c r="I20" s="101">
        <f t="shared" si="2"/>
        <v>59669.26</v>
      </c>
      <c r="N20" s="573" t="s">
        <v>79</v>
      </c>
      <c r="O20" s="573"/>
      <c r="P20" s="614">
        <f t="shared" si="0"/>
        <v>3</v>
      </c>
      <c r="Q20" s="614"/>
      <c r="R20" s="619">
        <v>1</v>
      </c>
      <c r="S20" s="619"/>
      <c r="T20" s="95">
        <f t="shared" si="3"/>
        <v>3</v>
      </c>
      <c r="U20" s="474">
        <f t="shared" si="4"/>
        <v>16100.72</v>
      </c>
    </row>
    <row r="21" spans="1:21" x14ac:dyDescent="0.25">
      <c r="A21" s="550" t="s">
        <v>80</v>
      </c>
      <c r="B21" s="550"/>
      <c r="C21" s="143">
        <v>2</v>
      </c>
      <c r="D21" s="143">
        <v>1.5</v>
      </c>
      <c r="E21" s="116">
        <f t="shared" si="5"/>
        <v>3.5</v>
      </c>
      <c r="F21" s="635">
        <f>'1461'!F21:G21</f>
        <v>3.706</v>
      </c>
      <c r="G21" s="635"/>
      <c r="H21" s="80">
        <f t="shared" si="1"/>
        <v>12.971</v>
      </c>
      <c r="I21" s="101">
        <f t="shared" si="2"/>
        <v>69614.14</v>
      </c>
      <c r="N21" s="573" t="s">
        <v>80</v>
      </c>
      <c r="O21" s="573"/>
      <c r="P21" s="614">
        <f t="shared" si="0"/>
        <v>3.5</v>
      </c>
      <c r="Q21" s="614"/>
      <c r="R21" s="619">
        <v>1</v>
      </c>
      <c r="S21" s="619"/>
      <c r="T21" s="95">
        <f t="shared" si="3"/>
        <v>3.5</v>
      </c>
      <c r="U21" s="474">
        <f t="shared" si="4"/>
        <v>18784.169999999998</v>
      </c>
    </row>
    <row r="22" spans="1:21" x14ac:dyDescent="0.25">
      <c r="A22" s="550" t="s">
        <v>81</v>
      </c>
      <c r="B22" s="550"/>
      <c r="C22" s="143">
        <v>0</v>
      </c>
      <c r="D22" s="143">
        <v>0</v>
      </c>
      <c r="E22" s="116">
        <f t="shared" si="5"/>
        <v>0</v>
      </c>
      <c r="F22" s="635">
        <f>'1461'!F22:G22</f>
        <v>3.706</v>
      </c>
      <c r="G22" s="635"/>
      <c r="H22" s="80">
        <f t="shared" si="1"/>
        <v>0</v>
      </c>
      <c r="I22" s="101">
        <f t="shared" si="2"/>
        <v>0</v>
      </c>
      <c r="N22" s="573" t="s">
        <v>81</v>
      </c>
      <c r="O22" s="573"/>
      <c r="P22" s="614">
        <f t="shared" si="0"/>
        <v>0</v>
      </c>
      <c r="Q22" s="614"/>
      <c r="R22" s="619">
        <v>1</v>
      </c>
      <c r="S22" s="619"/>
      <c r="T22" s="95">
        <f t="shared" si="3"/>
        <v>0</v>
      </c>
      <c r="U22" s="474">
        <f t="shared" si="4"/>
        <v>0</v>
      </c>
    </row>
    <row r="23" spans="1:21" x14ac:dyDescent="0.25">
      <c r="A23" s="550" t="s">
        <v>82</v>
      </c>
      <c r="B23" s="550"/>
      <c r="C23" s="143">
        <v>2</v>
      </c>
      <c r="D23" s="143">
        <v>3</v>
      </c>
      <c r="E23" s="116">
        <f t="shared" si="5"/>
        <v>5</v>
      </c>
      <c r="F23" s="635">
        <f>'1461'!F23:G23</f>
        <v>5.7069999999999999</v>
      </c>
      <c r="G23" s="635"/>
      <c r="H23" s="80">
        <f t="shared" si="1"/>
        <v>28.535</v>
      </c>
      <c r="I23" s="101">
        <f t="shared" si="2"/>
        <v>153144.66</v>
      </c>
      <c r="N23" s="573" t="s">
        <v>82</v>
      </c>
      <c r="O23" s="573"/>
      <c r="P23" s="614">
        <f t="shared" si="0"/>
        <v>5</v>
      </c>
      <c r="Q23" s="614"/>
      <c r="R23" s="619">
        <v>1</v>
      </c>
      <c r="S23" s="619"/>
      <c r="T23" s="95">
        <f t="shared" si="3"/>
        <v>5</v>
      </c>
      <c r="U23" s="474">
        <f t="shared" si="4"/>
        <v>26834.53</v>
      </c>
    </row>
    <row r="24" spans="1:21" x14ac:dyDescent="0.25">
      <c r="A24" s="550" t="s">
        <v>83</v>
      </c>
      <c r="B24" s="550"/>
      <c r="C24" s="143">
        <v>6</v>
      </c>
      <c r="D24" s="143">
        <v>5.5</v>
      </c>
      <c r="E24" s="116">
        <f t="shared" si="5"/>
        <v>11.5</v>
      </c>
      <c r="F24" s="635">
        <f>'1461'!F24:G24</f>
        <v>5.7069999999999999</v>
      </c>
      <c r="G24" s="635"/>
      <c r="H24" s="80">
        <f t="shared" si="1"/>
        <v>65.630499999999998</v>
      </c>
      <c r="I24" s="101">
        <f t="shared" si="2"/>
        <v>352232.73</v>
      </c>
      <c r="N24" s="573" t="s">
        <v>83</v>
      </c>
      <c r="O24" s="573"/>
      <c r="P24" s="614">
        <f t="shared" si="0"/>
        <v>11.5</v>
      </c>
      <c r="Q24" s="614"/>
      <c r="R24" s="619">
        <v>1</v>
      </c>
      <c r="S24" s="619"/>
      <c r="T24" s="95">
        <f t="shared" si="3"/>
        <v>11.5</v>
      </c>
      <c r="U24" s="474">
        <f t="shared" si="4"/>
        <v>61719.42</v>
      </c>
    </row>
    <row r="25" spans="1:21" x14ac:dyDescent="0.25">
      <c r="A25" s="550" t="s">
        <v>84</v>
      </c>
      <c r="B25" s="550"/>
      <c r="C25" s="143">
        <v>0</v>
      </c>
      <c r="D25" s="143">
        <v>0</v>
      </c>
      <c r="E25" s="116">
        <f t="shared" si="5"/>
        <v>0</v>
      </c>
      <c r="F25" s="635">
        <f>'1461'!F25:G25</f>
        <v>5.7069999999999999</v>
      </c>
      <c r="G25" s="635"/>
      <c r="H25" s="80">
        <f t="shared" si="1"/>
        <v>0</v>
      </c>
      <c r="I25" s="101">
        <f t="shared" si="2"/>
        <v>0</v>
      </c>
      <c r="N25" s="573" t="s">
        <v>84</v>
      </c>
      <c r="O25" s="573"/>
      <c r="P25" s="614">
        <f t="shared" si="0"/>
        <v>0</v>
      </c>
      <c r="Q25" s="614"/>
      <c r="R25" s="619">
        <v>1</v>
      </c>
      <c r="S25" s="619"/>
      <c r="T25" s="95">
        <f t="shared" si="3"/>
        <v>0</v>
      </c>
      <c r="U25" s="474">
        <f t="shared" si="4"/>
        <v>0</v>
      </c>
    </row>
    <row r="26" spans="1:21" x14ac:dyDescent="0.25">
      <c r="A26" s="550" t="s">
        <v>85</v>
      </c>
      <c r="B26" s="550"/>
      <c r="C26" s="143">
        <v>0</v>
      </c>
      <c r="D26" s="143">
        <v>0</v>
      </c>
      <c r="E26" s="116">
        <f t="shared" si="5"/>
        <v>0</v>
      </c>
      <c r="F26" s="635">
        <f>'1461'!F26:G26</f>
        <v>1.208</v>
      </c>
      <c r="G26" s="635"/>
      <c r="H26" s="80">
        <f t="shared" si="1"/>
        <v>0</v>
      </c>
      <c r="I26" s="101">
        <f t="shared" si="2"/>
        <v>0</v>
      </c>
      <c r="N26" s="573" t="s">
        <v>85</v>
      </c>
      <c r="O26" s="573"/>
      <c r="P26" s="614">
        <f t="shared" si="0"/>
        <v>0</v>
      </c>
      <c r="Q26" s="614"/>
      <c r="R26" s="619">
        <v>1</v>
      </c>
      <c r="S26" s="619"/>
      <c r="T26" s="95">
        <f t="shared" si="3"/>
        <v>0</v>
      </c>
      <c r="U26" s="474">
        <f t="shared" si="4"/>
        <v>0</v>
      </c>
    </row>
    <row r="27" spans="1:21" x14ac:dyDescent="0.25">
      <c r="A27" s="550" t="s">
        <v>86</v>
      </c>
      <c r="B27" s="550"/>
      <c r="C27" s="143">
        <v>0</v>
      </c>
      <c r="D27" s="143">
        <v>0</v>
      </c>
      <c r="E27" s="116">
        <f t="shared" si="5"/>
        <v>0</v>
      </c>
      <c r="F27" s="635">
        <f>'1461'!F27:G27</f>
        <v>1.208</v>
      </c>
      <c r="G27" s="635"/>
      <c r="H27" s="80">
        <f t="shared" si="1"/>
        <v>0</v>
      </c>
      <c r="I27" s="101">
        <f t="shared" si="2"/>
        <v>0</v>
      </c>
      <c r="N27" s="573" t="s">
        <v>86</v>
      </c>
      <c r="O27" s="573"/>
      <c r="P27" s="614">
        <f t="shared" si="0"/>
        <v>0</v>
      </c>
      <c r="Q27" s="614"/>
      <c r="R27" s="619">
        <v>1</v>
      </c>
      <c r="S27" s="619"/>
      <c r="T27" s="95">
        <f t="shared" si="3"/>
        <v>0</v>
      </c>
      <c r="U27" s="474">
        <f t="shared" si="4"/>
        <v>0</v>
      </c>
    </row>
    <row r="28" spans="1:21" x14ac:dyDescent="0.25">
      <c r="A28" s="550" t="s">
        <v>87</v>
      </c>
      <c r="B28" s="550"/>
      <c r="C28" s="143">
        <v>0</v>
      </c>
      <c r="D28" s="143">
        <v>0</v>
      </c>
      <c r="E28" s="116">
        <f t="shared" si="5"/>
        <v>0</v>
      </c>
      <c r="F28" s="635">
        <f>'1461'!F28:G28</f>
        <v>1.208</v>
      </c>
      <c r="G28" s="635"/>
      <c r="H28" s="80">
        <f t="shared" si="1"/>
        <v>0</v>
      </c>
      <c r="I28" s="101">
        <f t="shared" si="2"/>
        <v>0</v>
      </c>
      <c r="N28" s="573" t="s">
        <v>87</v>
      </c>
      <c r="O28" s="573"/>
      <c r="P28" s="614">
        <f t="shared" si="0"/>
        <v>0</v>
      </c>
      <c r="Q28" s="614"/>
      <c r="R28" s="619">
        <v>1</v>
      </c>
      <c r="S28" s="619"/>
      <c r="T28" s="95">
        <f t="shared" si="3"/>
        <v>0</v>
      </c>
      <c r="U28" s="474">
        <f t="shared" si="4"/>
        <v>0</v>
      </c>
    </row>
    <row r="29" spans="1:21" x14ac:dyDescent="0.25">
      <c r="A29" s="550" t="s">
        <v>88</v>
      </c>
      <c r="B29" s="550"/>
      <c r="C29" s="110">
        <v>0</v>
      </c>
      <c r="D29" s="110">
        <v>0</v>
      </c>
      <c r="E29" s="154">
        <f t="shared" si="5"/>
        <v>0</v>
      </c>
      <c r="F29" s="635">
        <f>'1461'!F29:G29</f>
        <v>1.0720000000000001</v>
      </c>
      <c r="G29" s="635"/>
      <c r="H29" s="93">
        <f t="shared" si="1"/>
        <v>0</v>
      </c>
      <c r="I29" s="94">
        <f t="shared" si="2"/>
        <v>0</v>
      </c>
      <c r="N29" s="588" t="s">
        <v>88</v>
      </c>
      <c r="O29" s="588"/>
      <c r="P29" s="614">
        <f t="shared" si="0"/>
        <v>0</v>
      </c>
      <c r="Q29" s="614"/>
      <c r="R29" s="615">
        <v>1</v>
      </c>
      <c r="S29" s="615"/>
      <c r="T29" s="95">
        <f t="shared" si="3"/>
        <v>0</v>
      </c>
      <c r="U29" s="474">
        <f t="shared" si="4"/>
        <v>0</v>
      </c>
    </row>
    <row r="30" spans="1:21" x14ac:dyDescent="0.25">
      <c r="A30" s="562" t="s">
        <v>5</v>
      </c>
      <c r="B30" s="562"/>
      <c r="C30" s="94">
        <f>SUM(C14:C29)</f>
        <v>12.5</v>
      </c>
      <c r="D30" s="94">
        <f>SUM(D14:D29)</f>
        <v>11.5</v>
      </c>
      <c r="E30" s="94">
        <f>SUM(E14:E29)</f>
        <v>24</v>
      </c>
      <c r="F30" s="554"/>
      <c r="G30" s="554"/>
      <c r="H30" s="99">
        <f>SUM(H14:H29)</f>
        <v>119.37649999999999</v>
      </c>
      <c r="I30" s="94">
        <f>SUM(I14:I29)</f>
        <v>640682.46</v>
      </c>
      <c r="N30" s="616" t="s">
        <v>5</v>
      </c>
      <c r="O30" s="616"/>
      <c r="P30" s="617">
        <f>SUM(P14:P29)</f>
        <v>24</v>
      </c>
      <c r="Q30" s="617"/>
      <c r="R30" s="589"/>
      <c r="S30" s="589"/>
      <c r="T30" s="100">
        <f>SUM(T14:T29)</f>
        <v>24</v>
      </c>
      <c r="U30" s="474">
        <f>SUM(U14:U29)</f>
        <v>128805.74999999999</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119.37649999999999</v>
      </c>
      <c r="F46" s="34"/>
      <c r="G46" s="106"/>
      <c r="H46" s="107" t="s">
        <v>98</v>
      </c>
      <c r="I46" s="94">
        <f>SUM(I44,I30)</f>
        <v>640682.46</v>
      </c>
      <c r="N46" s="575" t="s">
        <v>44</v>
      </c>
      <c r="O46" s="575"/>
      <c r="P46" s="575"/>
      <c r="Q46" s="575"/>
      <c r="R46" s="35">
        <f>R44+T30</f>
        <v>24</v>
      </c>
      <c r="S46" s="589" t="s">
        <v>42</v>
      </c>
      <c r="T46" s="589"/>
      <c r="U46" s="108">
        <f>SUM(U44,U30)</f>
        <v>128805.74999999999</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640682.46</v>
      </c>
      <c r="G51" s="109" t="s">
        <v>6</v>
      </c>
      <c r="H51" s="402">
        <v>4.5199999999999997E-2</v>
      </c>
      <c r="I51" s="101">
        <f>ROUND(F51*H51,2)</f>
        <v>28958.85</v>
      </c>
      <c r="N51" s="407"/>
      <c r="O51" s="408" t="s">
        <v>394</v>
      </c>
      <c r="P51" s="28"/>
      <c r="Q51" s="44" t="s">
        <v>395</v>
      </c>
      <c r="R51" s="409">
        <f>U30</f>
        <v>128805.74999999999</v>
      </c>
      <c r="S51" s="410" t="s">
        <v>6</v>
      </c>
      <c r="T51" s="411">
        <v>4.5199999999999997E-2</v>
      </c>
      <c r="U51" s="403">
        <f>ROUND(R51*T51,2)</f>
        <v>5822.02</v>
      </c>
    </row>
    <row r="52" spans="1:22" x14ac:dyDescent="0.25">
      <c r="A52" s="26"/>
      <c r="B52" s="81" t="s">
        <v>396</v>
      </c>
      <c r="C52" s="26"/>
      <c r="D52" s="26"/>
      <c r="E52" s="43" t="s">
        <v>395</v>
      </c>
      <c r="F52" s="401">
        <f>I46</f>
        <v>640682.46</v>
      </c>
      <c r="G52" s="109" t="s">
        <v>6</v>
      </c>
      <c r="H52" s="402">
        <v>1.41E-2</v>
      </c>
      <c r="I52" s="101">
        <f>ROUND(F52*H52,2)</f>
        <v>9033.6200000000008</v>
      </c>
      <c r="N52" s="28"/>
      <c r="O52" s="384" t="s">
        <v>396</v>
      </c>
      <c r="P52" s="28"/>
      <c r="Q52" s="44" t="s">
        <v>395</v>
      </c>
      <c r="R52" s="409">
        <f>U30</f>
        <v>128805.74999999999</v>
      </c>
      <c r="S52" s="410" t="s">
        <v>6</v>
      </c>
      <c r="T52" s="411">
        <v>1.41E-2</v>
      </c>
      <c r="U52" s="412">
        <f>ROUND(R52*T52,2)</f>
        <v>1816.16</v>
      </c>
    </row>
    <row r="53" spans="1:22" x14ac:dyDescent="0.25">
      <c r="A53" s="26"/>
      <c r="B53" s="81" t="s">
        <v>397</v>
      </c>
      <c r="C53" s="26"/>
      <c r="D53" s="26"/>
      <c r="E53" s="43"/>
      <c r="F53" s="401"/>
      <c r="G53" s="109"/>
      <c r="H53" s="402"/>
      <c r="I53" s="97">
        <f>SUM(I51:I52)</f>
        <v>37992.47</v>
      </c>
      <c r="N53" s="28"/>
      <c r="O53" s="384" t="s">
        <v>397</v>
      </c>
      <c r="P53" s="28"/>
      <c r="Q53" s="44"/>
      <c r="R53" s="409"/>
      <c r="S53" s="410"/>
      <c r="T53" s="411"/>
      <c r="U53" s="403">
        <f>SUM(U51:U52)</f>
        <v>7638.18</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0</v>
      </c>
      <c r="D57" s="143">
        <v>0</v>
      </c>
      <c r="E57" s="116">
        <f t="shared" ref="E57:E65" si="10">IF(D$72=0,C57*2,C57+D57)</f>
        <v>0</v>
      </c>
      <c r="F57" s="444" t="s">
        <v>434</v>
      </c>
      <c r="G57" s="444">
        <v>251</v>
      </c>
      <c r="H57" s="458">
        <f>'1461'!H57</f>
        <v>1047</v>
      </c>
      <c r="I57" s="101">
        <f>ROUND(E57*H57,2)</f>
        <v>0</v>
      </c>
      <c r="N57" s="590" t="s">
        <v>442</v>
      </c>
      <c r="O57" s="590"/>
      <c r="P57" s="593"/>
      <c r="Q57" s="593"/>
      <c r="R57" s="450" t="s">
        <v>434</v>
      </c>
      <c r="S57" s="450">
        <v>251</v>
      </c>
      <c r="T57" s="461">
        <f>H57</f>
        <v>1047</v>
      </c>
      <c r="U57" s="475">
        <f>ROUND(P57*T57,2)</f>
        <v>0</v>
      </c>
      <c r="V57" s="425"/>
    </row>
    <row r="58" spans="1:22" x14ac:dyDescent="0.25">
      <c r="A58" s="561"/>
      <c r="B58" s="561"/>
      <c r="C58" s="143"/>
      <c r="D58" s="143">
        <v>0</v>
      </c>
      <c r="E58" s="116">
        <f t="shared" si="10"/>
        <v>0</v>
      </c>
      <c r="F58" s="444" t="s">
        <v>434</v>
      </c>
      <c r="G58" s="444">
        <v>252</v>
      </c>
      <c r="H58" s="458">
        <f>'1461'!H58</f>
        <v>3380</v>
      </c>
      <c r="I58" s="101">
        <f t="shared" ref="I58:I65" si="11">ROUND(E58*H58,2)</f>
        <v>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1</v>
      </c>
      <c r="D59" s="143">
        <v>0</v>
      </c>
      <c r="E59" s="116">
        <v>1</v>
      </c>
      <c r="F59" s="444" t="s">
        <v>434</v>
      </c>
      <c r="G59" s="444">
        <v>253</v>
      </c>
      <c r="H59" s="458">
        <f>'1461'!H59</f>
        <v>6896</v>
      </c>
      <c r="I59" s="101">
        <f t="shared" si="11"/>
        <v>6896</v>
      </c>
      <c r="N59" s="591"/>
      <c r="O59" s="591"/>
      <c r="P59" s="594"/>
      <c r="Q59" s="594"/>
      <c r="R59" s="450" t="s">
        <v>434</v>
      </c>
      <c r="S59" s="450">
        <v>253</v>
      </c>
      <c r="T59" s="461">
        <f t="shared" si="12"/>
        <v>6896</v>
      </c>
      <c r="U59" s="475">
        <f t="shared" si="13"/>
        <v>0</v>
      </c>
      <c r="V59" s="425"/>
    </row>
    <row r="60" spans="1:22" x14ac:dyDescent="0.25">
      <c r="A60" s="561"/>
      <c r="B60" s="561"/>
      <c r="C60" s="143">
        <v>0</v>
      </c>
      <c r="D60" s="143">
        <v>0</v>
      </c>
      <c r="E60" s="116">
        <f t="shared" si="10"/>
        <v>0</v>
      </c>
      <c r="F60" s="445" t="s">
        <v>13</v>
      </c>
      <c r="G60" s="444">
        <v>251</v>
      </c>
      <c r="H60" s="458">
        <f>'1461'!H60</f>
        <v>1173</v>
      </c>
      <c r="I60" s="101">
        <f t="shared" si="11"/>
        <v>0</v>
      </c>
      <c r="N60" s="591"/>
      <c r="O60" s="591"/>
      <c r="P60" s="594"/>
      <c r="Q60" s="594"/>
      <c r="R60" s="40" t="s">
        <v>13</v>
      </c>
      <c r="S60" s="450">
        <v>251</v>
      </c>
      <c r="T60" s="461">
        <f t="shared" si="12"/>
        <v>1173</v>
      </c>
      <c r="U60" s="475">
        <f t="shared" si="13"/>
        <v>0</v>
      </c>
      <c r="V60" s="425"/>
    </row>
    <row r="61" spans="1:22" x14ac:dyDescent="0.25">
      <c r="A61" s="561"/>
      <c r="B61" s="561"/>
      <c r="C61" s="143">
        <v>0</v>
      </c>
      <c r="D61" s="143">
        <v>0</v>
      </c>
      <c r="E61" s="116">
        <f t="shared" si="10"/>
        <v>0</v>
      </c>
      <c r="F61" s="445" t="s">
        <v>13</v>
      </c>
      <c r="G61" s="444">
        <v>252</v>
      </c>
      <c r="H61" s="458">
        <f>'1461'!H61</f>
        <v>3506</v>
      </c>
      <c r="I61" s="101">
        <f t="shared" si="11"/>
        <v>0</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0</v>
      </c>
      <c r="D63" s="143">
        <v>0</v>
      </c>
      <c r="E63" s="116">
        <f t="shared" si="10"/>
        <v>0</v>
      </c>
      <c r="F63" s="445" t="s">
        <v>14</v>
      </c>
      <c r="G63" s="444">
        <v>251</v>
      </c>
      <c r="H63" s="458">
        <f>'1461'!H63</f>
        <v>835</v>
      </c>
      <c r="I63" s="101">
        <f t="shared" si="11"/>
        <v>0</v>
      </c>
      <c r="N63" s="591"/>
      <c r="O63" s="591"/>
      <c r="P63" s="594"/>
      <c r="Q63" s="594"/>
      <c r="R63" s="40" t="s">
        <v>14</v>
      </c>
      <c r="S63" s="450">
        <v>251</v>
      </c>
      <c r="T63" s="461">
        <f t="shared" si="12"/>
        <v>835</v>
      </c>
      <c r="U63" s="475">
        <f t="shared" si="13"/>
        <v>0</v>
      </c>
      <c r="V63" s="425"/>
    </row>
    <row r="64" spans="1:22" x14ac:dyDescent="0.25">
      <c r="A64" s="561"/>
      <c r="B64" s="561"/>
      <c r="C64" s="143">
        <v>0</v>
      </c>
      <c r="D64" s="143">
        <v>0</v>
      </c>
      <c r="E64" s="116">
        <f t="shared" si="10"/>
        <v>0</v>
      </c>
      <c r="F64" s="445" t="s">
        <v>14</v>
      </c>
      <c r="G64" s="444">
        <v>252</v>
      </c>
      <c r="H64" s="458">
        <f>'1461'!H64</f>
        <v>3168</v>
      </c>
      <c r="I64" s="101">
        <f t="shared" si="11"/>
        <v>0</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1</v>
      </c>
      <c r="D66" s="97">
        <f>SUM(D57:D65)</f>
        <v>0</v>
      </c>
      <c r="E66" s="97">
        <f>SUM(E57:E65)</f>
        <v>1</v>
      </c>
      <c r="F66" s="562" t="s">
        <v>443</v>
      </c>
      <c r="G66" s="562"/>
      <c r="H66" s="562"/>
      <c r="I66" s="97">
        <f>SUM(I57:I65)</f>
        <v>6896</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24</v>
      </c>
      <c r="D69" s="537" t="s">
        <v>409</v>
      </c>
      <c r="E69" s="537"/>
      <c r="F69" s="537"/>
      <c r="G69" s="537"/>
      <c r="H69" s="301">
        <f>'1461'!H69</f>
        <v>201799.89</v>
      </c>
      <c r="I69" s="113"/>
      <c r="N69" s="572" t="s">
        <v>402</v>
      </c>
      <c r="O69" s="573"/>
      <c r="P69" s="41">
        <f>P30</f>
        <v>24</v>
      </c>
      <c r="Q69" s="578" t="s">
        <v>404</v>
      </c>
      <c r="R69" s="579"/>
      <c r="S69" s="579"/>
      <c r="T69" s="576">
        <f>H69</f>
        <v>201799.89</v>
      </c>
      <c r="U69" s="576"/>
    </row>
    <row r="70" spans="1:22" x14ac:dyDescent="0.25">
      <c r="B70" s="69"/>
      <c r="G70" s="42" t="s">
        <v>12</v>
      </c>
      <c r="H70" s="114">
        <f>ROUND(C69/H69,6)</f>
        <v>1.1900000000000001E-4</v>
      </c>
      <c r="I70" s="115"/>
      <c r="N70" s="573"/>
      <c r="O70" s="573"/>
      <c r="P70" s="573"/>
      <c r="Q70" s="573"/>
      <c r="R70" s="573"/>
      <c r="S70" s="573"/>
      <c r="T70" s="577">
        <f>ROUND(P69/T69,6)</f>
        <v>1.1900000000000001E-4</v>
      </c>
      <c r="U70" s="577"/>
    </row>
    <row r="71" spans="1:22" x14ac:dyDescent="0.25">
      <c r="A71" s="443" t="s">
        <v>446</v>
      </c>
      <c r="N71" s="454" t="s">
        <v>454</v>
      </c>
      <c r="O71" s="51"/>
      <c r="P71" s="51"/>
      <c r="Q71" s="51"/>
      <c r="R71" s="51"/>
      <c r="S71" s="51"/>
      <c r="T71" s="51"/>
      <c r="U71" s="51"/>
    </row>
    <row r="72" spans="1:22" x14ac:dyDescent="0.25">
      <c r="A72" s="556" t="s">
        <v>399</v>
      </c>
      <c r="B72" s="550"/>
      <c r="C72" s="112">
        <f>H30</f>
        <v>119.37649999999999</v>
      </c>
      <c r="D72" s="537" t="s">
        <v>410</v>
      </c>
      <c r="E72" s="537"/>
      <c r="F72" s="537"/>
      <c r="G72" s="537"/>
      <c r="H72" s="302">
        <f>'1461'!H72</f>
        <v>227090.59</v>
      </c>
      <c r="I72" s="116"/>
      <c r="N72" s="572" t="s">
        <v>403</v>
      </c>
      <c r="O72" s="573"/>
      <c r="P72" s="41">
        <f>T30</f>
        <v>24</v>
      </c>
      <c r="Q72" s="578" t="s">
        <v>405</v>
      </c>
      <c r="R72" s="579"/>
      <c r="S72" s="579"/>
      <c r="T72" s="576">
        <f>H72</f>
        <v>227090.59</v>
      </c>
      <c r="U72" s="576"/>
    </row>
    <row r="73" spans="1:22" x14ac:dyDescent="0.25">
      <c r="G73" s="42" t="s">
        <v>12</v>
      </c>
      <c r="H73" s="114">
        <f>ROUND(C72/H72,6)</f>
        <v>5.2599999999999999E-4</v>
      </c>
      <c r="I73" s="114"/>
      <c r="N73" s="573"/>
      <c r="O73" s="573"/>
      <c r="P73" s="573"/>
      <c r="Q73" s="573"/>
      <c r="R73" s="573"/>
      <c r="S73" s="573"/>
      <c r="T73" s="577">
        <f>ROUND(P72/T72,6)</f>
        <v>1.06E-4</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24</v>
      </c>
      <c r="D75" s="529" t="s">
        <v>411</v>
      </c>
      <c r="E75" s="529"/>
      <c r="F75" s="529"/>
      <c r="G75" s="529"/>
      <c r="H75" s="301">
        <f>'1461'!H75</f>
        <v>186438.39</v>
      </c>
      <c r="I75" s="113"/>
      <c r="N75" s="572" t="s">
        <v>401</v>
      </c>
      <c r="O75" s="573"/>
      <c r="P75" s="41">
        <f>P30</f>
        <v>24</v>
      </c>
      <c r="Q75" s="608" t="s">
        <v>406</v>
      </c>
      <c r="R75" s="609"/>
      <c r="S75" s="609"/>
      <c r="T75" s="576">
        <f>H75</f>
        <v>186438.39</v>
      </c>
      <c r="U75" s="576"/>
    </row>
    <row r="76" spans="1:22" x14ac:dyDescent="0.25">
      <c r="B76" s="69"/>
      <c r="G76" s="42" t="s">
        <v>12</v>
      </c>
      <c r="H76" s="114">
        <f>ROUND(C75/H75,6)</f>
        <v>1.2899999999999999E-4</v>
      </c>
      <c r="I76" s="115"/>
      <c r="N76" s="573"/>
      <c r="O76" s="573"/>
      <c r="P76" s="573"/>
      <c r="Q76" s="573"/>
      <c r="R76" s="573"/>
      <c r="S76" s="573"/>
      <c r="T76" s="577">
        <f>ROUND(P75/T75,6)</f>
        <v>1.2899999999999999E-4</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24</v>
      </c>
      <c r="D78" s="557" t="s">
        <v>412</v>
      </c>
      <c r="E78" s="557"/>
      <c r="F78" s="557"/>
      <c r="G78" s="557"/>
      <c r="H78" s="301">
        <f>'1461'!H78</f>
        <v>201460.8</v>
      </c>
      <c r="I78" s="113"/>
      <c r="N78" s="572" t="s">
        <v>401</v>
      </c>
      <c r="O78" s="573"/>
      <c r="P78" s="41">
        <f>P30</f>
        <v>24</v>
      </c>
      <c r="Q78" s="606" t="s">
        <v>407</v>
      </c>
      <c r="R78" s="607"/>
      <c r="S78" s="607"/>
      <c r="T78" s="576">
        <f>H78</f>
        <v>201460.8</v>
      </c>
      <c r="U78" s="576"/>
    </row>
    <row r="79" spans="1:22" x14ac:dyDescent="0.25">
      <c r="B79" s="69"/>
      <c r="G79" s="42" t="s">
        <v>12</v>
      </c>
      <c r="H79" s="114">
        <f>ROUND(C78/H78,6)</f>
        <v>1.1900000000000001E-4</v>
      </c>
      <c r="I79" s="115"/>
      <c r="N79" s="573"/>
      <c r="O79" s="573"/>
      <c r="P79" s="573"/>
      <c r="Q79" s="573"/>
      <c r="R79" s="573"/>
      <c r="S79" s="573"/>
      <c r="T79" s="577">
        <f>ROUND(P78/T78,6)</f>
        <v>1.1900000000000001E-4</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24</v>
      </c>
      <c r="D81" s="529" t="s">
        <v>413</v>
      </c>
      <c r="E81" s="529"/>
      <c r="F81" s="529"/>
      <c r="G81" s="529"/>
      <c r="H81" s="301">
        <f>'1461'!H81</f>
        <v>186099.3</v>
      </c>
      <c r="I81" s="113"/>
      <c r="N81" s="572" t="s">
        <v>414</v>
      </c>
      <c r="O81" s="573"/>
      <c r="P81" s="41">
        <f>P30</f>
        <v>24</v>
      </c>
      <c r="Q81" s="608" t="s">
        <v>415</v>
      </c>
      <c r="R81" s="609"/>
      <c r="S81" s="609"/>
      <c r="T81" s="576">
        <f>H81</f>
        <v>186099.3</v>
      </c>
      <c r="U81" s="576"/>
    </row>
    <row r="82" spans="1:21" x14ac:dyDescent="0.25">
      <c r="B82" s="69"/>
      <c r="G82" s="42" t="s">
        <v>12</v>
      </c>
      <c r="H82" s="114">
        <f>ROUND(C81/H81,6)</f>
        <v>1.2899999999999999E-4</v>
      </c>
      <c r="I82" s="115"/>
      <c r="N82" s="573"/>
      <c r="O82" s="573"/>
      <c r="P82" s="573"/>
      <c r="Q82" s="573"/>
      <c r="R82" s="573"/>
      <c r="S82" s="573"/>
      <c r="T82" s="577">
        <f>ROUND(P81/T81,6)</f>
        <v>1.2899999999999999E-4</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1.1900000000000001E-4</v>
      </c>
      <c r="I85" s="101">
        <f>ROUND(F85*H85,2)</f>
        <v>5272.81</v>
      </c>
      <c r="N85" s="454" t="s">
        <v>450</v>
      </c>
      <c r="O85" s="51"/>
      <c r="P85" s="51"/>
      <c r="Q85" s="44"/>
      <c r="R85" s="420">
        <f>F85</f>
        <v>44309288</v>
      </c>
      <c r="S85" s="38" t="s">
        <v>6</v>
      </c>
      <c r="T85" s="422">
        <f>T79</f>
        <v>1.1900000000000001E-4</v>
      </c>
      <c r="U85" s="474">
        <f>ROUND(R85*T85,2)</f>
        <v>5272.81</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1.1900000000000001E-4</v>
      </c>
      <c r="I88" s="101">
        <f>ROUND(F88*H88,2)</f>
        <v>0</v>
      </c>
      <c r="N88" s="610" t="s">
        <v>99</v>
      </c>
      <c r="O88" s="573"/>
      <c r="P88" s="573"/>
      <c r="Q88" s="44"/>
      <c r="R88" s="420">
        <f>F88</f>
        <v>0</v>
      </c>
      <c r="S88" s="38" t="s">
        <v>6</v>
      </c>
      <c r="T88" s="422">
        <f>T70</f>
        <v>1.1900000000000001E-4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1.2899999999999999E-4</v>
      </c>
      <c r="I90" s="101">
        <f>ROUND(F90*H90,2)</f>
        <v>2099.56</v>
      </c>
      <c r="N90" s="454" t="s">
        <v>451</v>
      </c>
      <c r="O90" s="51"/>
      <c r="P90" s="51"/>
      <c r="Q90" s="44"/>
      <c r="R90" s="420">
        <f>F90</f>
        <v>16275680</v>
      </c>
      <c r="S90" s="38" t="s">
        <v>6</v>
      </c>
      <c r="T90" s="422">
        <f>T82</f>
        <v>1.2899999999999999E-4</v>
      </c>
      <c r="U90" s="474">
        <f>ROUND(R90*T90,2)</f>
        <v>2099.56</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1.2899999999999999E-4</v>
      </c>
      <c r="I92" s="101">
        <f t="shared" ref="I92:I96" si="14">ROUND(F92*H92,2)</f>
        <v>1306.52</v>
      </c>
      <c r="N92" s="454" t="s">
        <v>452</v>
      </c>
      <c r="O92" s="51"/>
      <c r="P92" s="51"/>
      <c r="Q92" s="44"/>
      <c r="R92" s="420">
        <f t="shared" ref="R92:R96" si="15">F92</f>
        <v>10128039</v>
      </c>
      <c r="S92" s="38" t="s">
        <v>6</v>
      </c>
      <c r="T92" s="422">
        <f>T76</f>
        <v>1.2899999999999999E-4</v>
      </c>
      <c r="U92" s="474">
        <f>ROUND(R92*T92,2)</f>
        <v>1306.52</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5.2599999999999999E-4</v>
      </c>
      <c r="I94" s="101">
        <f t="shared" si="14"/>
        <v>125712.78</v>
      </c>
      <c r="N94" s="573" t="s">
        <v>417</v>
      </c>
      <c r="O94" s="573"/>
      <c r="P94" s="573"/>
      <c r="Q94" s="44"/>
      <c r="R94" s="420">
        <f t="shared" si="15"/>
        <v>238997674</v>
      </c>
      <c r="S94" s="38" t="s">
        <v>6</v>
      </c>
      <c r="T94" s="422">
        <f>T73</f>
        <v>1.06E-4</v>
      </c>
      <c r="U94" s="474">
        <f>ROUND(R94*T94,2)</f>
        <v>25333.75</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5.2599999999999999E-4</v>
      </c>
      <c r="I96" s="101">
        <f t="shared" si="14"/>
        <v>0</v>
      </c>
      <c r="N96" s="572" t="s">
        <v>418</v>
      </c>
      <c r="O96" s="573"/>
      <c r="P96" s="573"/>
      <c r="Q96" s="44"/>
      <c r="R96" s="420">
        <f t="shared" si="15"/>
        <v>0</v>
      </c>
      <c r="S96" s="38" t="s">
        <v>6</v>
      </c>
      <c r="T96" s="422">
        <f>T73</f>
        <v>1.06E-4</v>
      </c>
      <c r="U96" s="474">
        <f>ROUND(R96*T96,2)</f>
        <v>0</v>
      </c>
    </row>
    <row r="97" spans="1:21" x14ac:dyDescent="0.25">
      <c r="A97" s="513"/>
      <c r="B97" s="512"/>
      <c r="C97" s="512"/>
      <c r="D97" s="512"/>
      <c r="E97" s="510"/>
      <c r="F97" s="117"/>
      <c r="G97" s="511"/>
      <c r="H97" s="423"/>
      <c r="I97" s="101"/>
      <c r="N97" s="516"/>
      <c r="O97" s="515"/>
      <c r="P97" s="515"/>
      <c r="Q97" s="44"/>
      <c r="R97" s="518"/>
      <c r="S97" s="517"/>
      <c r="T97" s="422"/>
      <c r="U97" s="478"/>
    </row>
    <row r="98" spans="1:21" x14ac:dyDescent="0.25">
      <c r="A98" s="513" t="s">
        <v>475</v>
      </c>
      <c r="B98" s="512"/>
      <c r="C98" s="512"/>
      <c r="D98" s="512"/>
      <c r="E98" s="510" t="s">
        <v>3</v>
      </c>
      <c r="F98" s="291">
        <v>0</v>
      </c>
      <c r="G98" s="511" t="s">
        <v>6</v>
      </c>
      <c r="H98" s="423">
        <f>H70</f>
        <v>1.1900000000000001E-4</v>
      </c>
      <c r="I98" s="101">
        <f t="shared" ref="I98" si="16">ROUND(F98*H98,2)</f>
        <v>0</v>
      </c>
      <c r="N98" s="516" t="s">
        <v>475</v>
      </c>
      <c r="O98" s="516"/>
      <c r="P98" s="516"/>
      <c r="Q98" s="44"/>
      <c r="R98" s="519">
        <f>F98</f>
        <v>0</v>
      </c>
      <c r="S98" s="517" t="s">
        <v>6</v>
      </c>
      <c r="T98" s="422">
        <f>T70</f>
        <v>1.1900000000000001E-4</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40.774999999999999</v>
      </c>
      <c r="D104" s="568"/>
      <c r="E104" s="46">
        <f>H8</f>
        <v>1.0442</v>
      </c>
      <c r="F104" s="304">
        <f>'1461'!F104</f>
        <v>947.59</v>
      </c>
      <c r="G104" s="39" t="s">
        <v>12</v>
      </c>
      <c r="H104" s="101">
        <f>ROUND(C104*E104*F104,2)</f>
        <v>40345.78</v>
      </c>
      <c r="I104" s="104"/>
      <c r="N104" s="28" t="s">
        <v>17</v>
      </c>
      <c r="O104" s="47">
        <f>T14+T15+T20+T23+T26</f>
        <v>9</v>
      </c>
      <c r="P104" s="583">
        <f>T8</f>
        <v>1.0442</v>
      </c>
      <c r="Q104" s="583"/>
      <c r="R104" s="48">
        <f>F104</f>
        <v>947.59</v>
      </c>
      <c r="S104" s="40" t="s">
        <v>12</v>
      </c>
      <c r="T104" s="480">
        <f>ROUND(O104*P104*R104,2)</f>
        <v>8905.26</v>
      </c>
      <c r="U104" s="102"/>
    </row>
    <row r="105" spans="1:21" x14ac:dyDescent="0.25">
      <c r="A105" s="49"/>
      <c r="B105" s="49" t="s">
        <v>104</v>
      </c>
      <c r="C105" s="568">
        <f>H16+H17+H21+H24+H27</f>
        <v>78.601500000000001</v>
      </c>
      <c r="D105" s="568"/>
      <c r="E105" s="46">
        <f>H8</f>
        <v>1.0442</v>
      </c>
      <c r="F105" s="304">
        <f>'1461'!F105</f>
        <v>904.74</v>
      </c>
      <c r="G105" s="39" t="s">
        <v>12</v>
      </c>
      <c r="H105" s="101">
        <f>ROUND(C105*E105*F105,2)</f>
        <v>74257.16</v>
      </c>
      <c r="N105" s="50" t="s">
        <v>13</v>
      </c>
      <c r="O105" s="47">
        <f>T16+T17+T21+T24+T27</f>
        <v>15</v>
      </c>
      <c r="P105" s="583">
        <f>T8</f>
        <v>1.0442</v>
      </c>
      <c r="Q105" s="583"/>
      <c r="R105" s="48">
        <f>F105</f>
        <v>904.74</v>
      </c>
      <c r="S105" s="40" t="s">
        <v>12</v>
      </c>
      <c r="T105" s="480">
        <f>ROUND(O105*P105*R105,2)</f>
        <v>14170.94</v>
      </c>
      <c r="U105" s="51"/>
    </row>
    <row r="106" spans="1:21" ht="16.5" thickBot="1" x14ac:dyDescent="0.3">
      <c r="A106" s="52"/>
      <c r="B106" s="52" t="s">
        <v>103</v>
      </c>
      <c r="C106" s="568">
        <f>H18+H19+H22+H25+H28+H29</f>
        <v>0</v>
      </c>
      <c r="D106" s="568"/>
      <c r="E106" s="46">
        <f>H8</f>
        <v>1.0442</v>
      </c>
      <c r="F106" s="304">
        <f>'1461'!F106</f>
        <v>906.93</v>
      </c>
      <c r="G106" s="39" t="s">
        <v>12</v>
      </c>
      <c r="H106" s="94">
        <f>ROUND(C106*E106*F106,2)</f>
        <v>0</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119.37649999999999</v>
      </c>
      <c r="D107" s="558"/>
      <c r="E107" s="123"/>
      <c r="F107" s="123"/>
      <c r="G107" s="123"/>
      <c r="H107" s="124" t="s">
        <v>100</v>
      </c>
      <c r="I107" s="101">
        <f>IF(A1=75,0,H106+H105+H104)</f>
        <v>114602.94</v>
      </c>
      <c r="N107" s="56" t="s">
        <v>89</v>
      </c>
      <c r="O107" s="57">
        <f>SUM(O104:O106)</f>
        <v>24</v>
      </c>
      <c r="P107" s="584" t="s">
        <v>16</v>
      </c>
      <c r="Q107" s="585"/>
      <c r="R107" s="585"/>
      <c r="S107" s="585"/>
      <c r="T107" s="585"/>
      <c r="U107" s="474">
        <f>IF(N1=75,0,T106+T105+T104)</f>
        <v>23076.2</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8</v>
      </c>
      <c r="D113" s="143">
        <v>0</v>
      </c>
      <c r="E113" s="116">
        <f>C113</f>
        <v>8</v>
      </c>
      <c r="F113" s="126" t="s">
        <v>30</v>
      </c>
      <c r="G113" s="305">
        <f>'1461'!G113</f>
        <v>548</v>
      </c>
      <c r="I113" s="101">
        <f>ROUND(G113*E113,2)</f>
        <v>4384</v>
      </c>
      <c r="N113" s="602" t="s">
        <v>52</v>
      </c>
      <c r="O113" s="602"/>
      <c r="P113" s="582">
        <f>IF(H133=1,E113,0)</f>
        <v>8</v>
      </c>
      <c r="Q113" s="582"/>
      <c r="R113" s="582"/>
      <c r="S113" s="83" t="s">
        <v>30</v>
      </c>
      <c r="T113" s="58">
        <f>G113</f>
        <v>548</v>
      </c>
      <c r="U113" s="474">
        <f>ROUND(T113*P113,2)</f>
        <v>4384</v>
      </c>
    </row>
    <row r="114" spans="1:21" x14ac:dyDescent="0.25">
      <c r="A114" s="529" t="s">
        <v>376</v>
      </c>
      <c r="B114" s="530"/>
      <c r="C114" s="143">
        <v>0</v>
      </c>
      <c r="D114" s="143">
        <v>0</v>
      </c>
      <c r="E114" s="116">
        <f>(C114+D114)/2</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900957.07000000007</v>
      </c>
      <c r="N128" s="454"/>
      <c r="O128" s="453"/>
      <c r="P128" s="453"/>
      <c r="Q128" s="307"/>
      <c r="R128" s="307"/>
      <c r="S128" s="307"/>
      <c r="T128" s="307"/>
      <c r="U128" s="481">
        <f>SUM(U30,U85,U88,U90,U92,U94,U96,U107,U113,U114,U124,U126)</f>
        <v>190278.59</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862964.60000000009</v>
      </c>
      <c r="N130" s="572" t="s">
        <v>429</v>
      </c>
      <c r="O130" s="573"/>
      <c r="P130" s="573"/>
      <c r="Q130" s="573"/>
      <c r="R130" s="573"/>
      <c r="S130" s="573"/>
      <c r="T130" s="573"/>
      <c r="U130" s="132">
        <f>U128-U53</f>
        <v>182640.41</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482</v>
      </c>
      <c r="O132" s="573"/>
      <c r="P132" s="573"/>
      <c r="Q132" s="573"/>
      <c r="R132" s="573"/>
      <c r="S132" s="573"/>
      <c r="T132" s="573"/>
      <c r="U132" s="138"/>
    </row>
    <row r="133" spans="1:21" x14ac:dyDescent="0.25">
      <c r="A133" s="550" t="s">
        <v>70</v>
      </c>
      <c r="B133" s="550"/>
      <c r="C133" s="550"/>
      <c r="D133" s="550"/>
      <c r="E133" s="550"/>
      <c r="F133" s="550"/>
      <c r="G133" s="550"/>
      <c r="H133" s="70">
        <f>IF(E30=0,"",IF((E15+E17+SUM(E19:E25))/E30&gt;0.75,1,""))</f>
        <v>1</v>
      </c>
      <c r="I133" s="116">
        <f>U130</f>
        <v>182640.41</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182640.41</v>
      </c>
      <c r="I135" s="94">
        <f>ROUND(IF(E30=0,0,IF(E30&gt;250,-(((250/E30)*H135)*IF(G135="H",0.02,0.05)),IF(G135="H",-0.02*H135,-0.05*H135))),2)</f>
        <v>-9132.02</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891825.05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-160773.01-78877.49-78877.49-78877.49-78877.49-68288.51-70746.64-70988.27</f>
        <v>-686306.39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205518.66000000003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68506.22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46" t="str">
        <f>'1461'!A152</f>
        <v>(a) Additional FTE includes FTE earned through Advanced Placement, International Baccalaureate, Advanced International Certificate of Education, Industry Certified Career</v>
      </c>
      <c r="B152" s="347"/>
      <c r="C152" s="347"/>
      <c r="D152" s="347"/>
      <c r="E152" s="347"/>
      <c r="F152" s="347"/>
      <c r="G152" s="347"/>
      <c r="H152" s="347"/>
      <c r="I152" s="347"/>
      <c r="J152" s="77"/>
      <c r="K152" s="76"/>
      <c r="L152" s="76"/>
      <c r="M152" s="76"/>
      <c r="N152" s="73"/>
      <c r="O152" s="73"/>
      <c r="P152" s="73"/>
      <c r="Q152" s="73"/>
      <c r="R152" s="73"/>
      <c r="S152" s="73"/>
      <c r="T152" s="73"/>
      <c r="U152" s="73"/>
    </row>
    <row r="153" spans="1:21" ht="15.75" customHeight="1" x14ac:dyDescent="0.25">
      <c r="A153" s="352" t="s">
        <v>366</v>
      </c>
      <c r="B153" s="347"/>
      <c r="C153" s="347"/>
      <c r="D153" s="347"/>
      <c r="E153" s="347"/>
      <c r="F153" s="347"/>
      <c r="G153" s="347"/>
      <c r="H153" s="347"/>
      <c r="I153" s="347"/>
      <c r="J153" s="77"/>
      <c r="K153" s="76"/>
      <c r="L153" s="76"/>
      <c r="M153" s="76"/>
      <c r="N153" s="73"/>
      <c r="O153" s="73"/>
      <c r="P153" s="73"/>
      <c r="Q153" s="73"/>
      <c r="R153" s="73"/>
      <c r="S153" s="73"/>
      <c r="T153" s="73"/>
      <c r="U153" s="73"/>
    </row>
    <row r="154" spans="1:21" x14ac:dyDescent="0.25">
      <c r="A154" s="346" t="s">
        <v>367</v>
      </c>
      <c r="B154" s="348"/>
      <c r="C154" s="348"/>
      <c r="D154" s="348"/>
      <c r="E154" s="348"/>
      <c r="F154" s="348"/>
      <c r="G154" s="348"/>
      <c r="H154" s="348"/>
      <c r="I154" s="348"/>
      <c r="J154" s="76"/>
      <c r="K154" s="76"/>
      <c r="L154" s="76"/>
      <c r="M154" s="76"/>
      <c r="N154" s="73"/>
      <c r="O154" s="73"/>
      <c r="P154" s="73"/>
      <c r="Q154" s="73"/>
      <c r="R154" s="73"/>
      <c r="S154" s="73"/>
      <c r="T154" s="73"/>
      <c r="U154" s="73"/>
    </row>
    <row r="155" spans="1:21" s="76" customFormat="1" x14ac:dyDescent="0.2">
      <c r="A155" s="346" t="s">
        <v>368</v>
      </c>
      <c r="B155" s="348"/>
      <c r="C155" s="348"/>
      <c r="D155" s="348"/>
      <c r="E155" s="348"/>
      <c r="F155" s="348"/>
      <c r="G155" s="348"/>
      <c r="H155" s="348"/>
      <c r="I155" s="348"/>
      <c r="N155" s="597"/>
      <c r="O155" s="597"/>
      <c r="P155" s="597"/>
      <c r="Q155" s="597"/>
      <c r="R155" s="597"/>
      <c r="S155" s="597"/>
      <c r="T155" s="597"/>
      <c r="U155" s="597"/>
    </row>
    <row r="156" spans="1:21" s="76" customFormat="1" x14ac:dyDescent="0.2">
      <c r="A156" s="346" t="s">
        <v>369</v>
      </c>
      <c r="B156" s="348"/>
      <c r="C156" s="348"/>
      <c r="D156" s="348"/>
      <c r="E156" s="348"/>
      <c r="F156" s="348"/>
      <c r="G156" s="348"/>
      <c r="H156" s="348"/>
      <c r="I156" s="348"/>
      <c r="N156" s="73"/>
      <c r="O156" s="73"/>
      <c r="P156" s="73"/>
      <c r="Q156" s="73"/>
      <c r="R156" s="73"/>
      <c r="S156" s="73"/>
      <c r="T156" s="73"/>
      <c r="U156" s="73"/>
    </row>
    <row r="157" spans="1:21" s="76" customFormat="1" x14ac:dyDescent="0.2">
      <c r="A157" s="346" t="s">
        <v>370</v>
      </c>
      <c r="B157" s="348"/>
      <c r="C157" s="348"/>
      <c r="D157" s="348"/>
      <c r="E157" s="348"/>
      <c r="F157" s="348"/>
      <c r="G157" s="348"/>
      <c r="H157" s="348"/>
      <c r="I157" s="348"/>
      <c r="N157" s="78"/>
      <c r="O157" s="79"/>
      <c r="P157" s="79"/>
      <c r="Q157" s="79"/>
      <c r="R157" s="79"/>
      <c r="S157" s="79"/>
      <c r="T157" s="79"/>
      <c r="U157" s="79"/>
    </row>
    <row r="158" spans="1:21" s="76" customFormat="1" x14ac:dyDescent="0.2">
      <c r="A158" s="346" t="s">
        <v>371</v>
      </c>
      <c r="B158" s="348"/>
      <c r="C158" s="348"/>
      <c r="D158" s="348"/>
      <c r="E158" s="348"/>
      <c r="F158" s="348"/>
      <c r="G158" s="348"/>
      <c r="H158" s="348"/>
      <c r="I158" s="348"/>
      <c r="N158" s="78"/>
    </row>
    <row r="159" spans="1:21" s="76" customFormat="1" x14ac:dyDescent="0.2">
      <c r="A159" s="346" t="s">
        <v>373</v>
      </c>
      <c r="B159" s="348"/>
      <c r="C159" s="348"/>
      <c r="D159" s="348"/>
      <c r="E159" s="348"/>
      <c r="F159" s="348"/>
      <c r="G159" s="348"/>
      <c r="H159" s="348"/>
      <c r="I159" s="348"/>
      <c r="N159" s="78"/>
    </row>
    <row r="160" spans="1:21" s="76" customFormat="1" x14ac:dyDescent="0.2">
      <c r="A160" s="352" t="s">
        <v>372</v>
      </c>
      <c r="B160" s="348"/>
      <c r="C160" s="348"/>
      <c r="D160" s="348"/>
      <c r="E160" s="348"/>
      <c r="F160" s="348"/>
      <c r="G160" s="348"/>
      <c r="H160" s="348"/>
      <c r="I160" s="348"/>
      <c r="N160" s="78"/>
    </row>
    <row r="161" spans="1:14" s="76" customFormat="1" x14ac:dyDescent="0.2">
      <c r="A161" s="346" t="s">
        <v>374</v>
      </c>
      <c r="B161" s="348"/>
      <c r="C161" s="348"/>
      <c r="D161" s="348"/>
      <c r="E161" s="348"/>
      <c r="F161" s="348"/>
      <c r="G161" s="348"/>
      <c r="H161" s="348"/>
      <c r="I161" s="348"/>
      <c r="N161" s="78"/>
    </row>
    <row r="162" spans="1:14" s="76" customFormat="1" x14ac:dyDescent="0.2">
      <c r="A162" s="352" t="str">
        <f>'1461'!A162</f>
        <v>"All Adjusted ESE Riders" should include only ESE Riders.</v>
      </c>
      <c r="B162" s="348"/>
      <c r="C162" s="348"/>
      <c r="D162" s="348"/>
      <c r="E162" s="348"/>
      <c r="F162" s="348"/>
      <c r="G162" s="348"/>
      <c r="H162" s="348"/>
      <c r="I162" s="348"/>
      <c r="N162" s="78"/>
    </row>
    <row r="163" spans="1:14" s="76" customFormat="1" x14ac:dyDescent="0.2">
      <c r="A163" s="346" t="s">
        <v>377</v>
      </c>
      <c r="B163" s="348"/>
      <c r="C163" s="348"/>
      <c r="D163" s="348"/>
      <c r="E163" s="348"/>
      <c r="F163" s="348"/>
      <c r="G163" s="348"/>
      <c r="H163" s="348"/>
      <c r="I163" s="348"/>
      <c r="N163" s="78"/>
    </row>
    <row r="164" spans="1:14" s="76" customFormat="1" ht="15.75" customHeight="1" x14ac:dyDescent="0.2">
      <c r="A164" s="346" t="str">
        <f>'1461'!A164</f>
        <v xml:space="preserve">(j) Funding based on student eligibility and meals provided, if participating in the National School Lunch Program. </v>
      </c>
      <c r="B164" s="348"/>
      <c r="C164" s="348"/>
      <c r="D164" s="348"/>
      <c r="E164" s="348"/>
      <c r="F164" s="348"/>
      <c r="G164" s="348"/>
      <c r="H164" s="348"/>
      <c r="I164" s="348"/>
      <c r="N164" s="78"/>
    </row>
    <row r="165" spans="1:14" s="76" customFormat="1" ht="15.75" customHeight="1" x14ac:dyDescent="0.2">
      <c r="A165" s="346" t="s">
        <v>379</v>
      </c>
      <c r="B165" s="348"/>
      <c r="C165" s="348"/>
      <c r="D165" s="348"/>
      <c r="E165" s="348"/>
      <c r="F165" s="348"/>
      <c r="G165" s="348"/>
      <c r="H165" s="348"/>
      <c r="I165" s="348"/>
      <c r="N165" s="78"/>
    </row>
    <row r="166" spans="1:14" s="76" customFormat="1" ht="15.75" customHeight="1" x14ac:dyDescent="0.2">
      <c r="A166" s="352" t="s">
        <v>378</v>
      </c>
      <c r="B166" s="348"/>
      <c r="C166" s="348"/>
      <c r="D166" s="348"/>
      <c r="E166" s="348"/>
      <c r="F166" s="348"/>
      <c r="G166" s="348"/>
      <c r="H166" s="348"/>
      <c r="I166" s="348"/>
      <c r="N166" s="78"/>
    </row>
    <row r="167" spans="1:14" s="76" customFormat="1" ht="15.75" customHeight="1" x14ac:dyDescent="0.2">
      <c r="A167" s="346" t="s">
        <v>380</v>
      </c>
      <c r="B167" s="348"/>
      <c r="C167" s="348"/>
      <c r="D167" s="348"/>
      <c r="E167" s="348"/>
      <c r="F167" s="348"/>
      <c r="G167" s="348"/>
      <c r="H167" s="348"/>
      <c r="I167" s="348"/>
      <c r="N167" s="78"/>
    </row>
    <row r="168" spans="1:14" s="76" customFormat="1" ht="15.75" customHeight="1" x14ac:dyDescent="0.2">
      <c r="A168" s="352" t="str">
        <f>'1461'!A168</f>
        <v xml:space="preserve">unweighted full-time equivalent students. </v>
      </c>
      <c r="B168" s="348"/>
      <c r="C168" s="348"/>
      <c r="D168" s="348"/>
      <c r="E168" s="348"/>
      <c r="F168" s="348"/>
      <c r="G168" s="348"/>
      <c r="H168" s="348"/>
      <c r="I168" s="348"/>
      <c r="N168" s="78"/>
    </row>
    <row r="169" spans="1:14" s="76" customFormat="1" ht="15.75" customHeight="1" x14ac:dyDescent="0.2">
      <c r="A169" s="346" t="s">
        <v>382</v>
      </c>
      <c r="B169" s="348"/>
      <c r="C169" s="348"/>
      <c r="D169" s="348"/>
      <c r="E169" s="348"/>
      <c r="F169" s="348"/>
      <c r="G169" s="348"/>
      <c r="H169" s="348"/>
      <c r="I169" s="348"/>
      <c r="N169" s="78"/>
    </row>
    <row r="170" spans="1:14" s="76" customFormat="1" ht="15.75" customHeight="1" x14ac:dyDescent="0.2">
      <c r="A170" s="352" t="s">
        <v>381</v>
      </c>
      <c r="B170" s="348"/>
      <c r="C170" s="348"/>
      <c r="D170" s="348"/>
      <c r="E170" s="348"/>
      <c r="F170" s="348"/>
      <c r="G170" s="348"/>
      <c r="H170" s="348"/>
      <c r="I170" s="348"/>
      <c r="N170" s="78"/>
    </row>
    <row r="171" spans="1:14" s="76" customFormat="1" ht="15.75" customHeight="1" x14ac:dyDescent="0.2">
      <c r="A171" s="346"/>
      <c r="B171" s="348"/>
      <c r="C171" s="348"/>
      <c r="D171" s="348"/>
      <c r="E171" s="348"/>
      <c r="F171" s="348"/>
      <c r="G171" s="348"/>
      <c r="H171" s="348"/>
      <c r="I171" s="348"/>
      <c r="N171" s="78"/>
    </row>
    <row r="172" spans="1:14" s="76" customFormat="1" ht="15.75" customHeight="1" x14ac:dyDescent="0.25">
      <c r="A172" s="359" t="str">
        <f>'1461'!A172</f>
        <v>Administrative fees:</v>
      </c>
      <c r="B172" s="348"/>
      <c r="C172" s="348"/>
      <c r="D172" s="348"/>
      <c r="E172" s="348"/>
      <c r="F172" s="348"/>
      <c r="G172" s="348"/>
      <c r="H172" s="348"/>
      <c r="I172" s="348"/>
      <c r="J172" s="3"/>
      <c r="K172" s="3"/>
      <c r="L172" s="3"/>
      <c r="M172" s="3"/>
      <c r="N172" s="78"/>
    </row>
    <row r="173" spans="1:14" s="76" customFormat="1" ht="15.75" customHeight="1" x14ac:dyDescent="0.25">
      <c r="A173" s="363" t="str">
        <f>'1461'!A173</f>
        <v xml:space="preserve">Administrative fees charged by the school district pursuant to s. 1002.33(20)(a), F.S., shall be calculated based upon 5% of available funds from the FEFP and categorical </v>
      </c>
      <c r="B173" s="351"/>
      <c r="C173" s="351"/>
      <c r="D173" s="351"/>
      <c r="E173" s="351"/>
      <c r="F173" s="351"/>
      <c r="G173" s="351"/>
      <c r="H173" s="351"/>
      <c r="I173" s="351"/>
      <c r="J173" s="3"/>
      <c r="K173" s="3"/>
      <c r="L173" s="3"/>
      <c r="M173" s="3"/>
      <c r="N173" s="78"/>
    </row>
    <row r="174" spans="1:14" s="76" customFormat="1" ht="15.75" customHeight="1" x14ac:dyDescent="0.25">
      <c r="A174" s="364" t="str">
        <f>'1461'!A174</f>
        <v>funding for which charter students may be eligible.  To calculate the administrative fee to be withheld for schools with more than 250 students, divide the school</v>
      </c>
      <c r="B174" s="358"/>
      <c r="C174" s="358"/>
      <c r="D174" s="358"/>
      <c r="E174" s="358"/>
      <c r="F174" s="358"/>
      <c r="G174" s="358"/>
      <c r="H174" s="358"/>
      <c r="I174" s="358"/>
      <c r="J174" s="3"/>
      <c r="K174" s="3"/>
      <c r="L174" s="3"/>
      <c r="M174" s="3"/>
      <c r="N174" s="78"/>
    </row>
    <row r="175" spans="1:14" s="76" customFormat="1" ht="15.75" customHeight="1" x14ac:dyDescent="0.25">
      <c r="A175" s="364" t="s">
        <v>383</v>
      </c>
      <c r="B175" s="358"/>
      <c r="C175" s="358"/>
      <c r="D175" s="358"/>
      <c r="E175" s="358"/>
      <c r="F175" s="358"/>
      <c r="G175" s="358"/>
      <c r="H175" s="358"/>
      <c r="I175" s="358"/>
      <c r="J175" s="3"/>
      <c r="K175" s="3"/>
      <c r="L175" s="3"/>
      <c r="M175" s="3"/>
      <c r="N175" s="78"/>
    </row>
    <row r="176" spans="1:14" s="76" customFormat="1" ht="15.75" customHeight="1" x14ac:dyDescent="0.2">
      <c r="A176" s="364" t="s">
        <v>384</v>
      </c>
      <c r="B176" s="358"/>
      <c r="C176" s="358"/>
      <c r="D176" s="358"/>
      <c r="E176" s="358"/>
      <c r="F176" s="358"/>
      <c r="G176" s="358"/>
      <c r="H176" s="358"/>
      <c r="I176" s="358"/>
      <c r="N176" s="78"/>
    </row>
    <row r="177" spans="1:21" s="76" customFormat="1" ht="15.75" customHeight="1" x14ac:dyDescent="0.2">
      <c r="A177" s="363"/>
      <c r="B177" s="358"/>
      <c r="C177" s="358"/>
      <c r="D177" s="358"/>
      <c r="E177" s="358"/>
      <c r="F177" s="358"/>
      <c r="G177" s="358"/>
      <c r="H177" s="358"/>
      <c r="I177" s="358"/>
      <c r="N177" s="78"/>
    </row>
    <row r="178" spans="1:21" ht="15.75" customHeight="1" x14ac:dyDescent="0.25">
      <c r="A178" s="363" t="str">
        <f>'1461'!A178</f>
        <v xml:space="preserve">For high performing charter schools, administrative fees charged by the school district shall be calculated based upon 2% of available funds from the FEFP and categorical </v>
      </c>
      <c r="B178" s="351"/>
      <c r="C178" s="351"/>
      <c r="D178" s="351"/>
      <c r="E178" s="351"/>
      <c r="F178" s="351"/>
      <c r="G178" s="351"/>
      <c r="H178" s="351"/>
      <c r="I178" s="351"/>
      <c r="J178" s="76"/>
      <c r="K178" s="76"/>
      <c r="L178" s="76"/>
      <c r="M178" s="76"/>
      <c r="N178" s="78"/>
      <c r="O178" s="76"/>
      <c r="P178" s="76"/>
      <c r="Q178" s="76"/>
      <c r="R178" s="76"/>
      <c r="S178" s="76"/>
      <c r="T178" s="76"/>
      <c r="U178" s="76"/>
    </row>
    <row r="179" spans="1:21" ht="15.75" customHeight="1" x14ac:dyDescent="0.25">
      <c r="A179" s="364" t="str">
        <f>'1461'!A179</f>
        <v>funding for which charter students may be eligible.  To calculate the administrative fee to be withheld for schools with more than 250 students, divide the school</v>
      </c>
      <c r="B179" s="351"/>
      <c r="C179" s="351"/>
      <c r="D179" s="351"/>
      <c r="E179" s="351"/>
      <c r="F179" s="351"/>
      <c r="G179" s="351"/>
      <c r="H179" s="351"/>
      <c r="I179" s="351"/>
      <c r="J179" s="76"/>
      <c r="K179" s="76"/>
      <c r="L179" s="76"/>
      <c r="M179" s="76"/>
      <c r="N179" s="74"/>
    </row>
    <row r="180" spans="1:21" s="76" customFormat="1" ht="15.75" customHeight="1" x14ac:dyDescent="0.25">
      <c r="A180" s="364" t="str">
        <f>'1461'!A180</f>
        <v xml:space="preserve">population into 250. Multiply that fraction times the funds available, then times 2%.  </v>
      </c>
      <c r="B180" s="351"/>
      <c r="C180" s="351"/>
      <c r="D180" s="351"/>
      <c r="E180" s="351"/>
      <c r="F180" s="351"/>
      <c r="G180" s="351"/>
      <c r="H180" s="351"/>
      <c r="I180" s="351"/>
      <c r="N180" s="74"/>
      <c r="O180" s="3"/>
      <c r="P180" s="3"/>
      <c r="Q180" s="3"/>
      <c r="R180" s="3"/>
      <c r="S180" s="3"/>
      <c r="T180" s="3"/>
      <c r="U180" s="3"/>
    </row>
    <row r="181" spans="1:21" x14ac:dyDescent="0.25">
      <c r="A181" s="346"/>
      <c r="B181" s="351"/>
      <c r="C181" s="351"/>
      <c r="D181" s="351"/>
      <c r="E181" s="351"/>
      <c r="F181" s="351"/>
      <c r="G181" s="351"/>
      <c r="H181" s="351"/>
      <c r="I181" s="351"/>
      <c r="N181" s="78"/>
      <c r="O181" s="76"/>
      <c r="P181" s="76"/>
      <c r="Q181" s="76"/>
      <c r="R181" s="76"/>
      <c r="S181" s="76"/>
      <c r="T181" s="76"/>
      <c r="U181" s="76"/>
    </row>
    <row r="182" spans="1:21" x14ac:dyDescent="0.25">
      <c r="A182" s="359" t="str">
        <f>'1461'!A182</f>
        <v>Other:</v>
      </c>
      <c r="B182" s="357"/>
      <c r="C182" s="357"/>
      <c r="D182" s="357"/>
      <c r="E182" s="357"/>
      <c r="F182" s="357"/>
      <c r="G182" s="357"/>
      <c r="H182" s="357"/>
      <c r="I182" s="357"/>
      <c r="N182" s="78"/>
      <c r="O182" s="76"/>
      <c r="P182" s="76"/>
      <c r="Q182" s="76"/>
      <c r="R182" s="76"/>
      <c r="S182" s="76"/>
      <c r="T182" s="76"/>
      <c r="U182" s="76"/>
    </row>
    <row r="183" spans="1:21" x14ac:dyDescent="0.25">
      <c r="A183" s="363" t="str">
        <f>'1461'!A183</f>
        <v>FEFP and categorical funding are recalculated during the year to reflect the revised number of full-time equivalent students reported during the survey periods designated</v>
      </c>
      <c r="B183" s="351"/>
      <c r="C183" s="351"/>
      <c r="D183" s="351"/>
      <c r="E183" s="351"/>
      <c r="F183" s="351"/>
      <c r="G183" s="351"/>
      <c r="H183" s="351"/>
      <c r="I183" s="351"/>
      <c r="N183" s="78"/>
      <c r="O183" s="76"/>
      <c r="P183" s="76"/>
      <c r="Q183" s="76"/>
      <c r="R183" s="76"/>
      <c r="S183" s="76"/>
      <c r="T183" s="76"/>
      <c r="U183" s="76"/>
    </row>
    <row r="184" spans="1:21" x14ac:dyDescent="0.25">
      <c r="A184" s="364" t="str">
        <f>'1461'!A184</f>
        <v>by the Commissioner of Education.</v>
      </c>
      <c r="B184" s="358"/>
      <c r="C184" s="358"/>
      <c r="D184" s="358"/>
      <c r="E184" s="358"/>
      <c r="F184" s="358"/>
      <c r="G184" s="358"/>
      <c r="H184" s="358"/>
      <c r="I184" s="358"/>
      <c r="N184" s="74"/>
    </row>
    <row r="185" spans="1:21" x14ac:dyDescent="0.25">
      <c r="A185" s="363" t="str">
        <f>'1461'!A185</f>
        <v>Revenues flow to districts from state sources and from county tax collectors on various distribution schedules.</v>
      </c>
      <c r="B185" s="351"/>
      <c r="C185" s="351"/>
      <c r="D185" s="351"/>
      <c r="E185" s="351"/>
      <c r="F185" s="351"/>
      <c r="G185" s="351"/>
      <c r="H185" s="351"/>
      <c r="I185" s="351"/>
      <c r="N185" s="74"/>
    </row>
    <row r="186" spans="1:21" x14ac:dyDescent="0.25">
      <c r="A186" s="294"/>
      <c r="B186" s="294"/>
      <c r="C186" s="294"/>
      <c r="D186" s="294"/>
      <c r="E186" s="294"/>
      <c r="F186" s="294"/>
      <c r="G186" s="294"/>
      <c r="H186" s="294"/>
      <c r="I186" s="294"/>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5" right="0.1" top="0.5" bottom="0.5" header="0" footer="0.1"/>
  <pageSetup scale="32"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CCCC"/>
  </sheetPr>
  <dimension ref="A1:V221"/>
  <sheetViews>
    <sheetView topLeftCell="A111" workbookViewId="0">
      <selection activeCell="D21" sqref="D2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257</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0</v>
      </c>
      <c r="D14" s="141">
        <v>0</v>
      </c>
      <c r="E14" s="187">
        <f>IF(D$30=0,C14*2,C14+D14)</f>
        <v>0</v>
      </c>
      <c r="F14" s="639">
        <f>'1461'!F14:G14</f>
        <v>1.1220000000000001</v>
      </c>
      <c r="G14" s="639"/>
      <c r="H14" s="145">
        <f>ROUND(E14*F14,4)</f>
        <v>0</v>
      </c>
      <c r="I14" s="111">
        <f>ROUND(ROUND(ROUND(H14*$C$8,4)*($H$8),2)*(MAX($H$9,1)),2)</f>
        <v>0</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0</v>
      </c>
      <c r="D15" s="143">
        <v>0.5</v>
      </c>
      <c r="E15" s="116">
        <f t="shared" ref="E15:E29" si="1">IF(D$30=0,C15*2,C15+D15)</f>
        <v>0.5</v>
      </c>
      <c r="F15" s="635">
        <f>'1461'!F15:G15</f>
        <v>1.1220000000000001</v>
      </c>
      <c r="G15" s="635"/>
      <c r="H15" s="80">
        <f t="shared" ref="H15:H29" si="2">ROUND(E15*F15,4)</f>
        <v>0.56100000000000005</v>
      </c>
      <c r="I15" s="101">
        <f t="shared" ref="I15:I29" si="3">ROUND(ROUND(ROUND(H15*$C$8,4)*($H$8),2)*(MAX($H$9,1)),2)</f>
        <v>3010.83</v>
      </c>
      <c r="J15" s="65" t="str">
        <f>IF(ROUND(E15,2)=ROUND(SUM(E57:E59),2)," ","CHECK PK-3 LINES BELOW")</f>
        <v xml:space="preserve"> </v>
      </c>
      <c r="N15" s="573" t="s">
        <v>21</v>
      </c>
      <c r="O15" s="573"/>
      <c r="P15" s="614">
        <f t="shared" si="0"/>
        <v>0.5</v>
      </c>
      <c r="Q15" s="614"/>
      <c r="R15" s="619">
        <v>1</v>
      </c>
      <c r="S15" s="619"/>
      <c r="T15" s="95">
        <f t="shared" ref="T15:T29" si="4">ROUND(P15*R15,4)</f>
        <v>0.5</v>
      </c>
      <c r="U15" s="474">
        <f t="shared" ref="U15:U29" si="5">ROUND(ROUND(ROUND(T15*$C$8,4)*($H$8),2)*(MAX($H$9,1)),2)</f>
        <v>2683.45</v>
      </c>
    </row>
    <row r="16" spans="1:21" x14ac:dyDescent="0.25">
      <c r="A16" s="550" t="s">
        <v>22</v>
      </c>
      <c r="B16" s="550"/>
      <c r="C16" s="143">
        <v>0</v>
      </c>
      <c r="D16" s="143">
        <v>0</v>
      </c>
      <c r="E16" s="116">
        <f t="shared" si="1"/>
        <v>0</v>
      </c>
      <c r="F16" s="635">
        <f>'1461'!F16:G16</f>
        <v>1</v>
      </c>
      <c r="G16" s="635"/>
      <c r="H16" s="80">
        <f t="shared" si="2"/>
        <v>0</v>
      </c>
      <c r="I16" s="101">
        <f t="shared" si="3"/>
        <v>0</v>
      </c>
      <c r="N16" s="573" t="s">
        <v>22</v>
      </c>
      <c r="O16" s="573"/>
      <c r="P16" s="614">
        <f t="shared" si="0"/>
        <v>0</v>
      </c>
      <c r="Q16" s="614"/>
      <c r="R16" s="619">
        <v>1</v>
      </c>
      <c r="S16" s="619"/>
      <c r="T16" s="95">
        <f t="shared" si="4"/>
        <v>0</v>
      </c>
      <c r="U16" s="474">
        <f t="shared" si="5"/>
        <v>0</v>
      </c>
    </row>
    <row r="17" spans="1:21" x14ac:dyDescent="0.25">
      <c r="A17" s="550" t="s">
        <v>23</v>
      </c>
      <c r="B17" s="550"/>
      <c r="C17" s="143">
        <v>0</v>
      </c>
      <c r="D17" s="143">
        <v>0</v>
      </c>
      <c r="E17" s="116">
        <f t="shared" si="1"/>
        <v>0</v>
      </c>
      <c r="F17" s="635">
        <f>'1461'!F17:G17</f>
        <v>1</v>
      </c>
      <c r="G17" s="635"/>
      <c r="H17" s="80">
        <f t="shared" si="2"/>
        <v>0</v>
      </c>
      <c r="I17" s="101">
        <f t="shared" si="3"/>
        <v>0</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0</v>
      </c>
      <c r="D18" s="143">
        <v>0</v>
      </c>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0</v>
      </c>
      <c r="D19" s="143">
        <v>0</v>
      </c>
      <c r="E19" s="116">
        <f t="shared" si="1"/>
        <v>0</v>
      </c>
      <c r="F19" s="635">
        <f>'1461'!F19:G19</f>
        <v>0.98799999999999999</v>
      </c>
      <c r="G19" s="635"/>
      <c r="H19" s="80">
        <f t="shared" si="2"/>
        <v>0</v>
      </c>
      <c r="I19" s="101">
        <f t="shared" si="3"/>
        <v>0</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25.5</v>
      </c>
      <c r="D20" s="143">
        <v>29.73</v>
      </c>
      <c r="E20" s="116">
        <f t="shared" si="1"/>
        <v>55.230000000000004</v>
      </c>
      <c r="F20" s="635">
        <f>'1461'!F20:G20</f>
        <v>3.706</v>
      </c>
      <c r="G20" s="635"/>
      <c r="H20" s="80">
        <f t="shared" si="2"/>
        <v>204.6824</v>
      </c>
      <c r="I20" s="101">
        <f t="shared" si="3"/>
        <v>1098511.21</v>
      </c>
      <c r="N20" s="573" t="s">
        <v>79</v>
      </c>
      <c r="O20" s="573"/>
      <c r="P20" s="614">
        <f t="shared" si="0"/>
        <v>55.230000000000004</v>
      </c>
      <c r="Q20" s="614"/>
      <c r="R20" s="619">
        <v>1</v>
      </c>
      <c r="S20" s="619"/>
      <c r="T20" s="95">
        <f t="shared" si="4"/>
        <v>55.23</v>
      </c>
      <c r="U20" s="474">
        <f t="shared" si="5"/>
        <v>296414.21999999997</v>
      </c>
    </row>
    <row r="21" spans="1:21" x14ac:dyDescent="0.25">
      <c r="A21" s="550" t="s">
        <v>80</v>
      </c>
      <c r="B21" s="550"/>
      <c r="C21" s="143">
        <v>22</v>
      </c>
      <c r="D21" s="143">
        <v>24</v>
      </c>
      <c r="E21" s="116">
        <f t="shared" si="1"/>
        <v>46</v>
      </c>
      <c r="F21" s="635">
        <f>'1461'!F21:G21</f>
        <v>3.706</v>
      </c>
      <c r="G21" s="635"/>
      <c r="H21" s="80">
        <f t="shared" si="2"/>
        <v>170.476</v>
      </c>
      <c r="I21" s="101">
        <f t="shared" si="3"/>
        <v>914928.68</v>
      </c>
      <c r="N21" s="573" t="s">
        <v>80</v>
      </c>
      <c r="O21" s="573"/>
      <c r="P21" s="614">
        <f t="shared" si="0"/>
        <v>46</v>
      </c>
      <c r="Q21" s="614"/>
      <c r="R21" s="619">
        <v>1</v>
      </c>
      <c r="S21" s="619"/>
      <c r="T21" s="95">
        <f t="shared" si="4"/>
        <v>46</v>
      </c>
      <c r="U21" s="474">
        <f t="shared" si="5"/>
        <v>246877.68</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6.5</v>
      </c>
      <c r="D23" s="143">
        <v>9.0500000000000007</v>
      </c>
      <c r="E23" s="116">
        <f t="shared" si="1"/>
        <v>15.55</v>
      </c>
      <c r="F23" s="635">
        <f>'1461'!F23:G23</f>
        <v>5.7069999999999999</v>
      </c>
      <c r="G23" s="635"/>
      <c r="H23" s="80">
        <f t="shared" si="2"/>
        <v>88.743899999999996</v>
      </c>
      <c r="I23" s="101">
        <f t="shared" si="3"/>
        <v>476280.18</v>
      </c>
      <c r="N23" s="573" t="s">
        <v>82</v>
      </c>
      <c r="O23" s="573"/>
      <c r="P23" s="614">
        <f t="shared" si="0"/>
        <v>15.55</v>
      </c>
      <c r="Q23" s="614"/>
      <c r="R23" s="619">
        <v>1</v>
      </c>
      <c r="S23" s="619"/>
      <c r="T23" s="95">
        <f t="shared" si="4"/>
        <v>15.55</v>
      </c>
      <c r="U23" s="474">
        <f t="shared" si="5"/>
        <v>83455.39</v>
      </c>
    </row>
    <row r="24" spans="1:21" x14ac:dyDescent="0.25">
      <c r="A24" s="550" t="s">
        <v>83</v>
      </c>
      <c r="B24" s="550"/>
      <c r="C24" s="143">
        <v>9</v>
      </c>
      <c r="D24" s="143">
        <v>11.58</v>
      </c>
      <c r="E24" s="116">
        <f t="shared" si="1"/>
        <v>20.58</v>
      </c>
      <c r="F24" s="635">
        <f>'1461'!F24:G24</f>
        <v>5.7069999999999999</v>
      </c>
      <c r="G24" s="635"/>
      <c r="H24" s="80">
        <f t="shared" si="2"/>
        <v>117.45010000000001</v>
      </c>
      <c r="I24" s="101">
        <f t="shared" si="3"/>
        <v>630343.65</v>
      </c>
      <c r="N24" s="573" t="s">
        <v>83</v>
      </c>
      <c r="O24" s="573"/>
      <c r="P24" s="614">
        <f t="shared" si="0"/>
        <v>20.58</v>
      </c>
      <c r="Q24" s="614"/>
      <c r="R24" s="619">
        <v>1</v>
      </c>
      <c r="S24" s="619"/>
      <c r="T24" s="95">
        <f t="shared" si="4"/>
        <v>20.58</v>
      </c>
      <c r="U24" s="474">
        <f t="shared" si="5"/>
        <v>110450.93</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0</v>
      </c>
      <c r="D26" s="143">
        <v>0</v>
      </c>
      <c r="E26" s="116">
        <f t="shared" si="1"/>
        <v>0</v>
      </c>
      <c r="F26" s="635">
        <f>'1461'!F26:G26</f>
        <v>1.208</v>
      </c>
      <c r="G26" s="635"/>
      <c r="H26" s="80">
        <f t="shared" si="2"/>
        <v>0</v>
      </c>
      <c r="I26" s="101">
        <f t="shared" si="3"/>
        <v>0</v>
      </c>
      <c r="N26" s="573" t="s">
        <v>85</v>
      </c>
      <c r="O26" s="573"/>
      <c r="P26" s="614">
        <f t="shared" si="0"/>
        <v>0</v>
      </c>
      <c r="Q26" s="614"/>
      <c r="R26" s="619">
        <v>1</v>
      </c>
      <c r="S26" s="619"/>
      <c r="T26" s="95">
        <f t="shared" si="4"/>
        <v>0</v>
      </c>
      <c r="U26" s="474">
        <f t="shared" si="5"/>
        <v>0</v>
      </c>
    </row>
    <row r="27" spans="1:21" x14ac:dyDescent="0.25">
      <c r="A27" s="550" t="s">
        <v>86</v>
      </c>
      <c r="B27" s="550"/>
      <c r="C27" s="143">
        <v>0</v>
      </c>
      <c r="D27" s="143">
        <v>0</v>
      </c>
      <c r="E27" s="116">
        <f t="shared" si="1"/>
        <v>0</v>
      </c>
      <c r="F27" s="635">
        <f>'1461'!F27:G27</f>
        <v>1.208</v>
      </c>
      <c r="G27" s="635"/>
      <c r="H27" s="80">
        <f t="shared" si="2"/>
        <v>0</v>
      </c>
      <c r="I27" s="101">
        <f t="shared" si="3"/>
        <v>0</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63</v>
      </c>
      <c r="D30" s="94">
        <f>SUM(D14:D29)</f>
        <v>74.86</v>
      </c>
      <c r="E30" s="94">
        <f>SUM(E14:E29)</f>
        <v>137.86000000000001</v>
      </c>
      <c r="F30" s="554"/>
      <c r="G30" s="554"/>
      <c r="H30" s="99">
        <f>SUM(H14:H29)</f>
        <v>581.91340000000002</v>
      </c>
      <c r="I30" s="94">
        <f>SUM(I14:I29)</f>
        <v>3123074.5500000003</v>
      </c>
      <c r="N30" s="616" t="s">
        <v>5</v>
      </c>
      <c r="O30" s="616"/>
      <c r="P30" s="617">
        <f>SUM(P14:P29)</f>
        <v>137.86000000000001</v>
      </c>
      <c r="Q30" s="617"/>
      <c r="R30" s="589"/>
      <c r="S30" s="589"/>
      <c r="T30" s="100">
        <f>SUM(T14:T29)</f>
        <v>137.85999999999999</v>
      </c>
      <c r="U30" s="474">
        <f>SUM(U14:U29)</f>
        <v>739881.66999999993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581.91340000000002</v>
      </c>
      <c r="F46" s="34"/>
      <c r="G46" s="106"/>
      <c r="H46" s="107" t="s">
        <v>98</v>
      </c>
      <c r="I46" s="94">
        <f>SUM(I44,I30)</f>
        <v>3123074.5500000003</v>
      </c>
      <c r="N46" s="575" t="s">
        <v>44</v>
      </c>
      <c r="O46" s="575"/>
      <c r="P46" s="575"/>
      <c r="Q46" s="575"/>
      <c r="R46" s="35">
        <f>R44+T30</f>
        <v>137.85999999999999</v>
      </c>
      <c r="S46" s="589" t="s">
        <v>42</v>
      </c>
      <c r="T46" s="589"/>
      <c r="U46" s="108">
        <f>SUM(U44,U30)</f>
        <v>739881.66999999993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3123074.5500000003</v>
      </c>
      <c r="G51" s="109" t="s">
        <v>6</v>
      </c>
      <c r="H51" s="402">
        <v>4.5199999999999997E-2</v>
      </c>
      <c r="I51" s="101">
        <f>ROUND(F51*H51,2)</f>
        <v>141162.97</v>
      </c>
      <c r="N51" s="407"/>
      <c r="O51" s="408" t="s">
        <v>394</v>
      </c>
      <c r="P51" s="28"/>
      <c r="Q51" s="44" t="s">
        <v>395</v>
      </c>
      <c r="R51" s="409">
        <f>U30</f>
        <v>739881.66999999993</v>
      </c>
      <c r="S51" s="410" t="s">
        <v>6</v>
      </c>
      <c r="T51" s="411">
        <v>4.5199999999999997E-2</v>
      </c>
      <c r="U51" s="403">
        <f>ROUND(R51*T51,2)</f>
        <v>33442.65</v>
      </c>
    </row>
    <row r="52" spans="1:22" x14ac:dyDescent="0.25">
      <c r="A52" s="26"/>
      <c r="B52" s="81" t="s">
        <v>396</v>
      </c>
      <c r="C52" s="26"/>
      <c r="D52" s="26"/>
      <c r="E52" s="43" t="s">
        <v>395</v>
      </c>
      <c r="F52" s="401">
        <f>I46</f>
        <v>3123074.5500000003</v>
      </c>
      <c r="G52" s="109" t="s">
        <v>6</v>
      </c>
      <c r="H52" s="402">
        <v>1.41E-2</v>
      </c>
      <c r="I52" s="101">
        <f>ROUND(F52*H52,2)</f>
        <v>44035.35</v>
      </c>
      <c r="N52" s="28"/>
      <c r="O52" s="384" t="s">
        <v>396</v>
      </c>
      <c r="P52" s="28"/>
      <c r="Q52" s="44" t="s">
        <v>395</v>
      </c>
      <c r="R52" s="409">
        <f>U30</f>
        <v>739881.66999999993</v>
      </c>
      <c r="S52" s="410" t="s">
        <v>6</v>
      </c>
      <c r="T52" s="411">
        <v>1.41E-2</v>
      </c>
      <c r="U52" s="412">
        <f>ROUND(R52*T52,2)</f>
        <v>10432.33</v>
      </c>
    </row>
    <row r="53" spans="1:22" x14ac:dyDescent="0.25">
      <c r="A53" s="26"/>
      <c r="B53" s="81" t="s">
        <v>397</v>
      </c>
      <c r="C53" s="26"/>
      <c r="D53" s="26"/>
      <c r="E53" s="43"/>
      <c r="F53" s="401"/>
      <c r="G53" s="109"/>
      <c r="H53" s="402"/>
      <c r="I53" s="97">
        <f>SUM(I51:I52)</f>
        <v>185198.32</v>
      </c>
      <c r="N53" s="28"/>
      <c r="O53" s="384" t="s">
        <v>397</v>
      </c>
      <c r="P53" s="28"/>
      <c r="Q53" s="44"/>
      <c r="R53" s="409"/>
      <c r="S53" s="410"/>
      <c r="T53" s="411"/>
      <c r="U53" s="403">
        <f>SUM(U51:U52)</f>
        <v>43874.98</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0</v>
      </c>
      <c r="D57" s="143">
        <v>0</v>
      </c>
      <c r="E57" s="116">
        <f t="shared" ref="E57:E65" si="10">IF(D$72=0,C57*2,C57+D57)</f>
        <v>0</v>
      </c>
      <c r="F57" s="444" t="s">
        <v>434</v>
      </c>
      <c r="G57" s="444">
        <v>251</v>
      </c>
      <c r="H57" s="458">
        <f>'1461'!H57</f>
        <v>1047</v>
      </c>
      <c r="I57" s="101">
        <f>ROUND(E57*H57,2)</f>
        <v>0</v>
      </c>
      <c r="N57" s="590" t="s">
        <v>442</v>
      </c>
      <c r="O57" s="590"/>
      <c r="P57" s="593"/>
      <c r="Q57" s="593"/>
      <c r="R57" s="450" t="s">
        <v>434</v>
      </c>
      <c r="S57" s="450">
        <v>251</v>
      </c>
      <c r="T57" s="461">
        <f>H57</f>
        <v>1047</v>
      </c>
      <c r="U57" s="475">
        <f>ROUND(P57*T57,2)</f>
        <v>0</v>
      </c>
      <c r="V57" s="425"/>
    </row>
    <row r="58" spans="1:22" x14ac:dyDescent="0.25">
      <c r="A58" s="561"/>
      <c r="B58" s="561"/>
      <c r="C58" s="143">
        <v>0</v>
      </c>
      <c r="D58" s="143">
        <v>0.5</v>
      </c>
      <c r="E58" s="116">
        <f t="shared" si="10"/>
        <v>0.5</v>
      </c>
      <c r="F58" s="444" t="s">
        <v>434</v>
      </c>
      <c r="G58" s="444">
        <v>252</v>
      </c>
      <c r="H58" s="458">
        <f>'1461'!H58</f>
        <v>3380</v>
      </c>
      <c r="I58" s="101">
        <f t="shared" ref="I58:I65" si="11">ROUND(E58*H58,2)</f>
        <v>1690</v>
      </c>
      <c r="N58" s="591"/>
      <c r="O58" s="591"/>
      <c r="P58" s="594"/>
      <c r="Q58" s="594"/>
      <c r="R58" s="450" t="s">
        <v>434</v>
      </c>
      <c r="S58" s="450">
        <v>252</v>
      </c>
      <c r="T58" s="461">
        <f t="shared" ref="T58:T65" si="12">H58</f>
        <v>3380</v>
      </c>
      <c r="U58" s="475">
        <f t="shared" ref="U58:U65" si="13">ROUND(P58*T58,2)</f>
        <v>0</v>
      </c>
      <c r="V58" s="425"/>
    </row>
    <row r="59" spans="1:22" x14ac:dyDescent="0.25">
      <c r="A59" s="561"/>
      <c r="B59" s="561"/>
      <c r="C59" s="143">
        <v>0</v>
      </c>
      <c r="D59" s="143">
        <v>0</v>
      </c>
      <c r="E59" s="116">
        <f t="shared" si="10"/>
        <v>0</v>
      </c>
      <c r="F59" s="444" t="s">
        <v>434</v>
      </c>
      <c r="G59" s="444">
        <v>253</v>
      </c>
      <c r="H59" s="458">
        <f>'1461'!H59</f>
        <v>6896</v>
      </c>
      <c r="I59" s="101">
        <f t="shared" si="11"/>
        <v>0</v>
      </c>
      <c r="N59" s="591"/>
      <c r="O59" s="591"/>
      <c r="P59" s="594"/>
      <c r="Q59" s="594"/>
      <c r="R59" s="450" t="s">
        <v>434</v>
      </c>
      <c r="S59" s="450">
        <v>253</v>
      </c>
      <c r="T59" s="461">
        <f t="shared" si="12"/>
        <v>6896</v>
      </c>
      <c r="U59" s="475">
        <f t="shared" si="13"/>
        <v>0</v>
      </c>
      <c r="V59" s="425"/>
    </row>
    <row r="60" spans="1:22" x14ac:dyDescent="0.25">
      <c r="A60" s="561"/>
      <c r="B60" s="561"/>
      <c r="C60" s="143">
        <v>0</v>
      </c>
      <c r="D60" s="143">
        <v>0</v>
      </c>
      <c r="E60" s="116">
        <f t="shared" si="10"/>
        <v>0</v>
      </c>
      <c r="F60" s="445" t="s">
        <v>13</v>
      </c>
      <c r="G60" s="444">
        <v>251</v>
      </c>
      <c r="H60" s="458">
        <f>'1461'!H60</f>
        <v>1173</v>
      </c>
      <c r="I60" s="101">
        <f t="shared" si="11"/>
        <v>0</v>
      </c>
      <c r="N60" s="591"/>
      <c r="O60" s="591"/>
      <c r="P60" s="594"/>
      <c r="Q60" s="594"/>
      <c r="R60" s="40" t="s">
        <v>13</v>
      </c>
      <c r="S60" s="450">
        <v>251</v>
      </c>
      <c r="T60" s="461">
        <f t="shared" si="12"/>
        <v>1173</v>
      </c>
      <c r="U60" s="475">
        <f t="shared" si="13"/>
        <v>0</v>
      </c>
      <c r="V60" s="425"/>
    </row>
    <row r="61" spans="1:22" x14ac:dyDescent="0.25">
      <c r="A61" s="561"/>
      <c r="B61" s="561"/>
      <c r="C61" s="143">
        <v>0</v>
      </c>
      <c r="D61" s="143">
        <v>0</v>
      </c>
      <c r="E61" s="116">
        <f t="shared" si="10"/>
        <v>0</v>
      </c>
      <c r="F61" s="445" t="s">
        <v>13</v>
      </c>
      <c r="G61" s="444">
        <v>252</v>
      </c>
      <c r="H61" s="458">
        <f>'1461'!H61</f>
        <v>3506</v>
      </c>
      <c r="I61" s="101">
        <f t="shared" si="11"/>
        <v>0</v>
      </c>
      <c r="N61" s="591"/>
      <c r="O61" s="591"/>
      <c r="P61" s="594"/>
      <c r="Q61" s="594"/>
      <c r="R61" s="40" t="s">
        <v>13</v>
      </c>
      <c r="S61" s="450">
        <v>252</v>
      </c>
      <c r="T61" s="461">
        <f t="shared" si="12"/>
        <v>3506</v>
      </c>
      <c r="U61" s="475">
        <f t="shared" si="13"/>
        <v>0</v>
      </c>
      <c r="V61" s="425"/>
    </row>
    <row r="62" spans="1:22" x14ac:dyDescent="0.25">
      <c r="A62" s="561"/>
      <c r="B62" s="561"/>
      <c r="C62" s="143">
        <v>0</v>
      </c>
      <c r="D62" s="143">
        <v>0</v>
      </c>
      <c r="E62" s="116">
        <f t="shared" si="10"/>
        <v>0</v>
      </c>
      <c r="F62" s="445" t="s">
        <v>13</v>
      </c>
      <c r="G62" s="444">
        <v>253</v>
      </c>
      <c r="H62" s="458">
        <f>'1461'!H62</f>
        <v>7023</v>
      </c>
      <c r="I62" s="101">
        <f t="shared" si="11"/>
        <v>0</v>
      </c>
      <c r="N62" s="591"/>
      <c r="O62" s="591"/>
      <c r="P62" s="594"/>
      <c r="Q62" s="594"/>
      <c r="R62" s="40" t="s">
        <v>13</v>
      </c>
      <c r="S62" s="450">
        <v>253</v>
      </c>
      <c r="T62" s="461">
        <f t="shared" si="12"/>
        <v>7023</v>
      </c>
      <c r="U62" s="475">
        <f t="shared" si="13"/>
        <v>0</v>
      </c>
      <c r="V62" s="425"/>
    </row>
    <row r="63" spans="1:22" x14ac:dyDescent="0.25">
      <c r="A63" s="561"/>
      <c r="B63" s="561"/>
      <c r="C63" s="143">
        <v>0</v>
      </c>
      <c r="D63" s="143">
        <v>0</v>
      </c>
      <c r="E63" s="116">
        <f t="shared" si="10"/>
        <v>0</v>
      </c>
      <c r="F63" s="445" t="s">
        <v>14</v>
      </c>
      <c r="G63" s="444">
        <v>251</v>
      </c>
      <c r="H63" s="458">
        <f>'1461'!H63</f>
        <v>835</v>
      </c>
      <c r="I63" s="101">
        <f t="shared" si="11"/>
        <v>0</v>
      </c>
      <c r="N63" s="591"/>
      <c r="O63" s="591"/>
      <c r="P63" s="594"/>
      <c r="Q63" s="594"/>
      <c r="R63" s="40" t="s">
        <v>14</v>
      </c>
      <c r="S63" s="450">
        <v>251</v>
      </c>
      <c r="T63" s="461">
        <f t="shared" si="12"/>
        <v>835</v>
      </c>
      <c r="U63" s="475">
        <f t="shared" si="13"/>
        <v>0</v>
      </c>
      <c r="V63" s="425"/>
    </row>
    <row r="64" spans="1:22" x14ac:dyDescent="0.25">
      <c r="A64" s="561"/>
      <c r="B64" s="561"/>
      <c r="C64" s="143">
        <v>0</v>
      </c>
      <c r="D64" s="143">
        <v>0</v>
      </c>
      <c r="E64" s="116">
        <f t="shared" si="10"/>
        <v>0</v>
      </c>
      <c r="F64" s="445" t="s">
        <v>14</v>
      </c>
      <c r="G64" s="444">
        <v>252</v>
      </c>
      <c r="H64" s="458">
        <f>'1461'!H64</f>
        <v>3168</v>
      </c>
      <c r="I64" s="101">
        <f t="shared" si="11"/>
        <v>0</v>
      </c>
      <c r="N64" s="591"/>
      <c r="O64" s="591"/>
      <c r="P64" s="594"/>
      <c r="Q64" s="594"/>
      <c r="R64" s="40" t="s">
        <v>14</v>
      </c>
      <c r="S64" s="450">
        <v>252</v>
      </c>
      <c r="T64" s="461">
        <f t="shared" si="12"/>
        <v>3168</v>
      </c>
      <c r="U64" s="475">
        <f t="shared" si="13"/>
        <v>0</v>
      </c>
      <c r="V64" s="425"/>
    </row>
    <row r="65" spans="1:22" ht="16.5" thickBot="1" x14ac:dyDescent="0.3">
      <c r="A65" s="561"/>
      <c r="B65" s="561"/>
      <c r="C65" s="143">
        <v>0</v>
      </c>
      <c r="D65" s="143">
        <v>0</v>
      </c>
      <c r="E65" s="116">
        <f t="shared" si="10"/>
        <v>0</v>
      </c>
      <c r="F65" s="445" t="s">
        <v>14</v>
      </c>
      <c r="G65" s="444">
        <v>253</v>
      </c>
      <c r="H65" s="458">
        <f>'1461'!H65</f>
        <v>6685</v>
      </c>
      <c r="I65" s="101">
        <f t="shared" si="11"/>
        <v>0</v>
      </c>
      <c r="N65" s="591"/>
      <c r="O65" s="591"/>
      <c r="P65" s="595"/>
      <c r="Q65" s="595"/>
      <c r="R65" s="40" t="s">
        <v>14</v>
      </c>
      <c r="S65" s="450">
        <v>253</v>
      </c>
      <c r="T65" s="461">
        <f t="shared" si="12"/>
        <v>6685</v>
      </c>
      <c r="U65" s="476">
        <f t="shared" si="13"/>
        <v>0</v>
      </c>
      <c r="V65" s="425"/>
    </row>
    <row r="66" spans="1:22" ht="16.5" thickBot="1" x14ac:dyDescent="0.3">
      <c r="A66" s="441"/>
      <c r="C66" s="97">
        <f>SUM(C57:C65)</f>
        <v>0</v>
      </c>
      <c r="D66" s="97">
        <f>SUM(D57:D65)</f>
        <v>0.5</v>
      </c>
      <c r="E66" s="97">
        <f>SUM(E57:E65)</f>
        <v>0.5</v>
      </c>
      <c r="F66" s="562" t="s">
        <v>443</v>
      </c>
      <c r="G66" s="562"/>
      <c r="H66" s="562"/>
      <c r="I66" s="97">
        <f>SUM(I57:I65)</f>
        <v>1690</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137.86000000000001</v>
      </c>
      <c r="D69" s="537" t="s">
        <v>409</v>
      </c>
      <c r="E69" s="537"/>
      <c r="F69" s="537"/>
      <c r="G69" s="537"/>
      <c r="H69" s="301">
        <f>'1461'!H69</f>
        <v>201799.89</v>
      </c>
      <c r="I69" s="113"/>
      <c r="N69" s="572" t="s">
        <v>402</v>
      </c>
      <c r="O69" s="573"/>
      <c r="P69" s="41">
        <f>P30</f>
        <v>137.86000000000001</v>
      </c>
      <c r="Q69" s="578" t="s">
        <v>404</v>
      </c>
      <c r="R69" s="579"/>
      <c r="S69" s="579"/>
      <c r="T69" s="576">
        <f>H69</f>
        <v>201799.89</v>
      </c>
      <c r="U69" s="576"/>
    </row>
    <row r="70" spans="1:22" x14ac:dyDescent="0.25">
      <c r="B70" s="69"/>
      <c r="G70" s="42" t="s">
        <v>12</v>
      </c>
      <c r="H70" s="114">
        <f>ROUND(C69/H69,6)</f>
        <v>6.8300000000000001E-4</v>
      </c>
      <c r="I70" s="115"/>
      <c r="N70" s="573"/>
      <c r="O70" s="573"/>
      <c r="P70" s="573"/>
      <c r="Q70" s="573"/>
      <c r="R70" s="573"/>
      <c r="S70" s="573"/>
      <c r="T70" s="577">
        <f>ROUND(P69/T69,6)</f>
        <v>6.8300000000000001E-4</v>
      </c>
      <c r="U70" s="577"/>
    </row>
    <row r="71" spans="1:22" x14ac:dyDescent="0.25">
      <c r="A71" s="443" t="s">
        <v>446</v>
      </c>
      <c r="N71" s="454" t="s">
        <v>454</v>
      </c>
      <c r="O71" s="51"/>
      <c r="P71" s="51"/>
      <c r="Q71" s="51"/>
      <c r="R71" s="51"/>
      <c r="S71" s="51"/>
      <c r="T71" s="51"/>
      <c r="U71" s="51"/>
    </row>
    <row r="72" spans="1:22" x14ac:dyDescent="0.25">
      <c r="A72" s="556" t="s">
        <v>399</v>
      </c>
      <c r="B72" s="550"/>
      <c r="C72" s="112">
        <f>H30</f>
        <v>581.91340000000002</v>
      </c>
      <c r="D72" s="537" t="s">
        <v>410</v>
      </c>
      <c r="E72" s="537"/>
      <c r="F72" s="537"/>
      <c r="G72" s="537"/>
      <c r="H72" s="302">
        <f>'1461'!H72</f>
        <v>227090.59</v>
      </c>
      <c r="I72" s="116"/>
      <c r="N72" s="572" t="s">
        <v>403</v>
      </c>
      <c r="O72" s="573"/>
      <c r="P72" s="41">
        <f>T30</f>
        <v>137.85999999999999</v>
      </c>
      <c r="Q72" s="578" t="s">
        <v>405</v>
      </c>
      <c r="R72" s="579"/>
      <c r="S72" s="579"/>
      <c r="T72" s="576">
        <f>H72</f>
        <v>227090.59</v>
      </c>
      <c r="U72" s="576"/>
    </row>
    <row r="73" spans="1:22" x14ac:dyDescent="0.25">
      <c r="G73" s="42" t="s">
        <v>12</v>
      </c>
      <c r="H73" s="114">
        <f>ROUND(C72/H72,6)</f>
        <v>2.562E-3</v>
      </c>
      <c r="I73" s="114"/>
      <c r="N73" s="573"/>
      <c r="O73" s="573"/>
      <c r="P73" s="573"/>
      <c r="Q73" s="573"/>
      <c r="R73" s="573"/>
      <c r="S73" s="573"/>
      <c r="T73" s="577">
        <f>ROUND(P72/T72,6)</f>
        <v>6.0700000000000001E-4</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137.86000000000001</v>
      </c>
      <c r="D75" s="529" t="s">
        <v>411</v>
      </c>
      <c r="E75" s="529"/>
      <c r="F75" s="529"/>
      <c r="G75" s="529"/>
      <c r="H75" s="301">
        <f>'1461'!H75</f>
        <v>186438.39</v>
      </c>
      <c r="I75" s="113"/>
      <c r="N75" s="572" t="s">
        <v>401</v>
      </c>
      <c r="O75" s="573"/>
      <c r="P75" s="41">
        <f>P30</f>
        <v>137.86000000000001</v>
      </c>
      <c r="Q75" s="608" t="s">
        <v>406</v>
      </c>
      <c r="R75" s="609"/>
      <c r="S75" s="609"/>
      <c r="T75" s="576">
        <f>H75</f>
        <v>186438.39</v>
      </c>
      <c r="U75" s="576"/>
    </row>
    <row r="76" spans="1:22" x14ac:dyDescent="0.25">
      <c r="B76" s="69"/>
      <c r="G76" s="42" t="s">
        <v>12</v>
      </c>
      <c r="H76" s="114">
        <f>ROUND(C75/H75,6)</f>
        <v>7.3899999999999997E-4</v>
      </c>
      <c r="I76" s="115"/>
      <c r="N76" s="573"/>
      <c r="O76" s="573"/>
      <c r="P76" s="573"/>
      <c r="Q76" s="573"/>
      <c r="R76" s="573"/>
      <c r="S76" s="573"/>
      <c r="T76" s="577">
        <f>ROUND(P75/T75,6)</f>
        <v>7.3899999999999997E-4</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137.86000000000001</v>
      </c>
      <c r="D78" s="557" t="s">
        <v>412</v>
      </c>
      <c r="E78" s="557"/>
      <c r="F78" s="557"/>
      <c r="G78" s="557"/>
      <c r="H78" s="301">
        <f>'1461'!H78</f>
        <v>201460.8</v>
      </c>
      <c r="I78" s="113"/>
      <c r="N78" s="572" t="s">
        <v>401</v>
      </c>
      <c r="O78" s="573"/>
      <c r="P78" s="41">
        <f>P30</f>
        <v>137.86000000000001</v>
      </c>
      <c r="Q78" s="606" t="s">
        <v>407</v>
      </c>
      <c r="R78" s="607"/>
      <c r="S78" s="607"/>
      <c r="T78" s="576">
        <f>H78</f>
        <v>201460.8</v>
      </c>
      <c r="U78" s="576"/>
    </row>
    <row r="79" spans="1:22" x14ac:dyDescent="0.25">
      <c r="B79" s="69"/>
      <c r="G79" s="42" t="s">
        <v>12</v>
      </c>
      <c r="H79" s="114">
        <f>ROUND(C78/H78,6)</f>
        <v>6.8400000000000004E-4</v>
      </c>
      <c r="I79" s="115"/>
      <c r="N79" s="573"/>
      <c r="O79" s="573"/>
      <c r="P79" s="573"/>
      <c r="Q79" s="573"/>
      <c r="R79" s="573"/>
      <c r="S79" s="573"/>
      <c r="T79" s="577">
        <f>ROUND(P78/T78,6)</f>
        <v>6.8400000000000004E-4</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137.86000000000001</v>
      </c>
      <c r="D81" s="529" t="s">
        <v>413</v>
      </c>
      <c r="E81" s="529"/>
      <c r="F81" s="529"/>
      <c r="G81" s="529"/>
      <c r="H81" s="301">
        <f>'1461'!H81</f>
        <v>186099.3</v>
      </c>
      <c r="I81" s="113"/>
      <c r="N81" s="572" t="s">
        <v>414</v>
      </c>
      <c r="O81" s="573"/>
      <c r="P81" s="41">
        <f>P30</f>
        <v>137.86000000000001</v>
      </c>
      <c r="Q81" s="608" t="s">
        <v>415</v>
      </c>
      <c r="R81" s="609"/>
      <c r="S81" s="609"/>
      <c r="T81" s="576">
        <f>H81</f>
        <v>186099.3</v>
      </c>
      <c r="U81" s="576"/>
    </row>
    <row r="82" spans="1:21" x14ac:dyDescent="0.25">
      <c r="B82" s="69"/>
      <c r="G82" s="42" t="s">
        <v>12</v>
      </c>
      <c r="H82" s="114">
        <f>ROUND(C81/H81,6)</f>
        <v>7.4100000000000001E-4</v>
      </c>
      <c r="I82" s="115"/>
      <c r="N82" s="573"/>
      <c r="O82" s="573"/>
      <c r="P82" s="573"/>
      <c r="Q82" s="573"/>
      <c r="R82" s="573"/>
      <c r="S82" s="573"/>
      <c r="T82" s="577">
        <f>ROUND(P81/T81,6)</f>
        <v>7.4100000000000001E-4</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6.8400000000000004E-4</v>
      </c>
      <c r="I85" s="101">
        <f>ROUND(F85*H85,2)</f>
        <v>30307.55</v>
      </c>
      <c r="N85" s="454" t="s">
        <v>450</v>
      </c>
      <c r="O85" s="51"/>
      <c r="P85" s="51"/>
      <c r="Q85" s="44"/>
      <c r="R85" s="420">
        <f>F85</f>
        <v>44309288</v>
      </c>
      <c r="S85" s="38" t="s">
        <v>6</v>
      </c>
      <c r="T85" s="422">
        <f>T79</f>
        <v>6.8400000000000004E-4</v>
      </c>
      <c r="U85" s="474">
        <f>ROUND(R85*T85,2)</f>
        <v>30307.55</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6.8300000000000001E-4</v>
      </c>
      <c r="I88" s="101">
        <f>ROUND(F88*H88,2)</f>
        <v>0</v>
      </c>
      <c r="N88" s="610" t="s">
        <v>99</v>
      </c>
      <c r="O88" s="573"/>
      <c r="P88" s="573"/>
      <c r="Q88" s="44"/>
      <c r="R88" s="420">
        <f>F88</f>
        <v>0</v>
      </c>
      <c r="S88" s="38" t="s">
        <v>6</v>
      </c>
      <c r="T88" s="422">
        <f>T70</f>
        <v>6.8300000000000001E-4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7.4100000000000001E-4</v>
      </c>
      <c r="I90" s="101">
        <f>ROUND(F90*H90,2)</f>
        <v>12060.28</v>
      </c>
      <c r="N90" s="454" t="s">
        <v>451</v>
      </c>
      <c r="O90" s="51"/>
      <c r="P90" s="51"/>
      <c r="Q90" s="44"/>
      <c r="R90" s="420">
        <f>F90</f>
        <v>16275680</v>
      </c>
      <c r="S90" s="38" t="s">
        <v>6</v>
      </c>
      <c r="T90" s="422">
        <f>T82</f>
        <v>7.4100000000000001E-4</v>
      </c>
      <c r="U90" s="474">
        <f>ROUND(R90*T90,2)</f>
        <v>12060.28</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7.3899999999999997E-4</v>
      </c>
      <c r="I92" s="101">
        <f t="shared" ref="I92:I96" si="14">ROUND(F92*H92,2)</f>
        <v>7484.62</v>
      </c>
      <c r="N92" s="454" t="s">
        <v>452</v>
      </c>
      <c r="O92" s="51"/>
      <c r="P92" s="51"/>
      <c r="Q92" s="44"/>
      <c r="R92" s="420">
        <f t="shared" ref="R92:R96" si="15">F92</f>
        <v>10128039</v>
      </c>
      <c r="S92" s="38" t="s">
        <v>6</v>
      </c>
      <c r="T92" s="422">
        <f>T76</f>
        <v>7.3899999999999997E-4</v>
      </c>
      <c r="U92" s="474">
        <f>ROUND(R92*T92,2)</f>
        <v>7484.62</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2.562E-3</v>
      </c>
      <c r="I94" s="101">
        <f t="shared" si="14"/>
        <v>612312.04</v>
      </c>
      <c r="N94" s="573" t="s">
        <v>417</v>
      </c>
      <c r="O94" s="573"/>
      <c r="P94" s="573"/>
      <c r="Q94" s="44"/>
      <c r="R94" s="420">
        <f t="shared" si="15"/>
        <v>238997674</v>
      </c>
      <c r="S94" s="38" t="s">
        <v>6</v>
      </c>
      <c r="T94" s="422">
        <f>T73</f>
        <v>6.0700000000000001E-4</v>
      </c>
      <c r="U94" s="474">
        <f>ROUND(R94*T94,2)</f>
        <v>145071.59</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2.562E-3</v>
      </c>
      <c r="I96" s="101">
        <f t="shared" si="14"/>
        <v>0</v>
      </c>
      <c r="N96" s="572" t="s">
        <v>418</v>
      </c>
      <c r="O96" s="573"/>
      <c r="P96" s="573"/>
      <c r="Q96" s="44"/>
      <c r="R96" s="420">
        <f t="shared" si="15"/>
        <v>0</v>
      </c>
      <c r="S96" s="38" t="s">
        <v>6</v>
      </c>
      <c r="T96" s="422">
        <f>T73</f>
        <v>6.0700000000000001E-4</v>
      </c>
      <c r="U96" s="474">
        <f>ROUND(R96*T96,2)</f>
        <v>0</v>
      </c>
    </row>
    <row r="97" spans="1:21" x14ac:dyDescent="0.25">
      <c r="A97" s="513"/>
      <c r="B97" s="512"/>
      <c r="C97" s="512"/>
      <c r="D97" s="512"/>
      <c r="E97" s="510"/>
      <c r="F97" s="117"/>
      <c r="G97" s="511"/>
      <c r="H97" s="423"/>
      <c r="I97" s="101"/>
      <c r="N97" s="516"/>
      <c r="O97" s="515"/>
      <c r="P97" s="515"/>
      <c r="Q97" s="44"/>
      <c r="R97" s="518"/>
      <c r="S97" s="517"/>
      <c r="T97" s="422"/>
      <c r="U97" s="478"/>
    </row>
    <row r="98" spans="1:21" x14ac:dyDescent="0.25">
      <c r="A98" s="513" t="s">
        <v>475</v>
      </c>
      <c r="B98" s="512"/>
      <c r="C98" s="512"/>
      <c r="D98" s="512"/>
      <c r="E98" s="510" t="s">
        <v>3</v>
      </c>
      <c r="F98" s="291">
        <v>0</v>
      </c>
      <c r="G98" s="511" t="s">
        <v>6</v>
      </c>
      <c r="H98" s="423">
        <f>H70</f>
        <v>6.8300000000000001E-4</v>
      </c>
      <c r="I98" s="101">
        <f t="shared" ref="I98" si="16">ROUND(F98*H98,2)</f>
        <v>0</v>
      </c>
      <c r="N98" s="516" t="s">
        <v>475</v>
      </c>
      <c r="O98" s="516"/>
      <c r="P98" s="516"/>
      <c r="Q98" s="44"/>
      <c r="R98" s="519">
        <f>F98</f>
        <v>0</v>
      </c>
      <c r="S98" s="517" t="s">
        <v>6</v>
      </c>
      <c r="T98" s="422">
        <f>T70</f>
        <v>6.8300000000000001E-4</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293.9873</v>
      </c>
      <c r="D104" s="568"/>
      <c r="E104" s="46">
        <f>H8</f>
        <v>1.0442</v>
      </c>
      <c r="F104" s="304">
        <f>'1461'!F104</f>
        <v>947.59</v>
      </c>
      <c r="G104" s="39" t="s">
        <v>12</v>
      </c>
      <c r="H104" s="101">
        <f>ROUND(C104*E104*F104,2)</f>
        <v>290892.64</v>
      </c>
      <c r="I104" s="104"/>
      <c r="N104" s="28" t="s">
        <v>17</v>
      </c>
      <c r="O104" s="47">
        <f>T14+T15+T20+T23+T26</f>
        <v>71.28</v>
      </c>
      <c r="P104" s="583">
        <f>T8</f>
        <v>1.0442</v>
      </c>
      <c r="Q104" s="583"/>
      <c r="R104" s="48">
        <f>F104</f>
        <v>947.59</v>
      </c>
      <c r="S104" s="40" t="s">
        <v>12</v>
      </c>
      <c r="T104" s="480">
        <f>ROUND(O104*P104*R104,2)</f>
        <v>70529.67</v>
      </c>
      <c r="U104" s="102"/>
    </row>
    <row r="105" spans="1:21" x14ac:dyDescent="0.25">
      <c r="A105" s="49"/>
      <c r="B105" s="49" t="s">
        <v>104</v>
      </c>
      <c r="C105" s="568">
        <f>H16+H17+H21+H24+H27</f>
        <v>287.92610000000002</v>
      </c>
      <c r="D105" s="568"/>
      <c r="E105" s="46">
        <f>H8</f>
        <v>1.0442</v>
      </c>
      <c r="F105" s="304">
        <f>'1461'!F105</f>
        <v>904.74</v>
      </c>
      <c r="G105" s="39" t="s">
        <v>12</v>
      </c>
      <c r="H105" s="101">
        <f>ROUND(C105*E105*F105,2)</f>
        <v>272012.28000000003</v>
      </c>
      <c r="N105" s="50" t="s">
        <v>13</v>
      </c>
      <c r="O105" s="47">
        <f>T16+T17+T21+T24+T27</f>
        <v>66.58</v>
      </c>
      <c r="P105" s="583">
        <f>T8</f>
        <v>1.0442</v>
      </c>
      <c r="Q105" s="583"/>
      <c r="R105" s="48">
        <f>F105</f>
        <v>904.74</v>
      </c>
      <c r="S105" s="40" t="s">
        <v>12</v>
      </c>
      <c r="T105" s="480">
        <f>ROUND(O105*P105*R105,2)</f>
        <v>62900.09</v>
      </c>
      <c r="U105" s="51"/>
    </row>
    <row r="106" spans="1:21" ht="16.5" thickBot="1" x14ac:dyDescent="0.3">
      <c r="A106" s="52"/>
      <c r="B106" s="52" t="s">
        <v>103</v>
      </c>
      <c r="C106" s="568">
        <f>H18+H19+H22+H25+H28+H29</f>
        <v>0</v>
      </c>
      <c r="D106" s="568"/>
      <c r="E106" s="46">
        <f>H8</f>
        <v>1.0442</v>
      </c>
      <c r="F106" s="304">
        <f>'1461'!F106</f>
        <v>906.93</v>
      </c>
      <c r="G106" s="39" t="s">
        <v>12</v>
      </c>
      <c r="H106" s="94">
        <f>ROUND(C106*E106*F106,2)</f>
        <v>0</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581.91340000000002</v>
      </c>
      <c r="D107" s="558"/>
      <c r="E107" s="123"/>
      <c r="F107" s="123"/>
      <c r="G107" s="123"/>
      <c r="H107" s="124" t="s">
        <v>100</v>
      </c>
      <c r="I107" s="101">
        <f>IF(A1=75,0,H106+H105+H104)</f>
        <v>562904.92000000004</v>
      </c>
      <c r="N107" s="56" t="s">
        <v>89</v>
      </c>
      <c r="O107" s="57">
        <f>SUM(O104:O106)</f>
        <v>137.86000000000001</v>
      </c>
      <c r="P107" s="584" t="s">
        <v>16</v>
      </c>
      <c r="Q107" s="585"/>
      <c r="R107" s="585"/>
      <c r="S107" s="585"/>
      <c r="T107" s="585"/>
      <c r="U107" s="474">
        <f>IF(N1=75,0,T106+T105+T104)</f>
        <v>133429.76000000001</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0</v>
      </c>
      <c r="D113" s="143">
        <v>0</v>
      </c>
      <c r="E113" s="116">
        <f>C113</f>
        <v>0</v>
      </c>
      <c r="F113" s="126" t="s">
        <v>30</v>
      </c>
      <c r="G113" s="305">
        <f>'1461'!G113</f>
        <v>548</v>
      </c>
      <c r="I113" s="101">
        <f>ROUND(G113*E113,2)</f>
        <v>0</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16">
        <f>(C114+D114)/2</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4349833.96</v>
      </c>
      <c r="N128" s="454"/>
      <c r="O128" s="453"/>
      <c r="P128" s="453"/>
      <c r="Q128" s="307"/>
      <c r="R128" s="307"/>
      <c r="S128" s="307"/>
      <c r="T128" s="307"/>
      <c r="U128" s="481">
        <f>SUM(U30,U85,U88,U90,U92,U94,U96,U107,U113,U114,U124,U126)</f>
        <v>1068235.47</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4164635.64</v>
      </c>
      <c r="N130" s="572" t="s">
        <v>429</v>
      </c>
      <c r="O130" s="573"/>
      <c r="P130" s="573"/>
      <c r="Q130" s="573"/>
      <c r="R130" s="573"/>
      <c r="S130" s="573"/>
      <c r="T130" s="573"/>
      <c r="U130" s="132">
        <f>U128-U53</f>
        <v>1024360.49</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f>IF(E30=0,"",IF((E15+E17+SUM(E19:E25))/E30&gt;0.75,1,""))</f>
        <v>1</v>
      </c>
      <c r="I133" s="116">
        <f>U130</f>
        <v>1024360.49</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1024360.49</v>
      </c>
      <c r="I135" s="94">
        <f>ROUND(IF(E30=0,0,IF(E30&gt;250,-(((250/E30)*H135)*IF(G135="H",0.02,0.05)),IF(G135="H",-0.02*H135,-0.05*H135))),2)</f>
        <v>-51218.02</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4298615.9400000004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-807005.2-394662.79-394662.79-394662.79-394662.79-252578.2-252578.2-253777.35</f>
        <v>-3144590.1100000003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1154025.83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384675.28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46" t="str">
        <f>'1461'!A152</f>
        <v>(a) Additional FTE includes FTE earned through Advanced Placement, International Baccalaureate, Advanced International Certificate of Education, Industry Certified Career</v>
      </c>
      <c r="B152" s="347"/>
      <c r="C152" s="347"/>
      <c r="D152" s="347"/>
      <c r="E152" s="347"/>
      <c r="F152" s="347"/>
      <c r="G152" s="347"/>
      <c r="H152" s="347"/>
      <c r="I152" s="347"/>
      <c r="J152" s="77"/>
      <c r="K152" s="76"/>
      <c r="L152" s="76"/>
      <c r="M152" s="76"/>
      <c r="N152" s="73"/>
      <c r="O152" s="73"/>
      <c r="P152" s="73"/>
      <c r="Q152" s="73"/>
      <c r="R152" s="73"/>
      <c r="S152" s="73"/>
      <c r="T152" s="73"/>
      <c r="U152" s="73"/>
    </row>
    <row r="153" spans="1:21" ht="15.75" customHeight="1" x14ac:dyDescent="0.25">
      <c r="A153" s="352" t="s">
        <v>366</v>
      </c>
      <c r="B153" s="347"/>
      <c r="C153" s="347"/>
      <c r="D153" s="347"/>
      <c r="E153" s="347"/>
      <c r="F153" s="347"/>
      <c r="G153" s="347"/>
      <c r="H153" s="347"/>
      <c r="I153" s="347"/>
      <c r="J153" s="77"/>
      <c r="K153" s="76"/>
      <c r="L153" s="76"/>
      <c r="M153" s="76"/>
      <c r="N153" s="73"/>
      <c r="O153" s="73"/>
      <c r="P153" s="73"/>
      <c r="Q153" s="73"/>
      <c r="R153" s="73"/>
      <c r="S153" s="73"/>
      <c r="T153" s="73"/>
      <c r="U153" s="73"/>
    </row>
    <row r="154" spans="1:21" x14ac:dyDescent="0.25">
      <c r="A154" s="346" t="s">
        <v>367</v>
      </c>
      <c r="B154" s="348"/>
      <c r="C154" s="348"/>
      <c r="D154" s="348"/>
      <c r="E154" s="348"/>
      <c r="F154" s="348"/>
      <c r="G154" s="348"/>
      <c r="H154" s="348"/>
      <c r="I154" s="348"/>
      <c r="J154" s="76"/>
      <c r="K154" s="76"/>
      <c r="L154" s="76"/>
      <c r="M154" s="76"/>
      <c r="N154" s="73"/>
      <c r="O154" s="73"/>
      <c r="P154" s="73"/>
      <c r="Q154" s="73"/>
      <c r="R154" s="73"/>
      <c r="S154" s="73"/>
      <c r="T154" s="73"/>
      <c r="U154" s="73"/>
    </row>
    <row r="155" spans="1:21" s="76" customFormat="1" x14ac:dyDescent="0.2">
      <c r="A155" s="346" t="s">
        <v>368</v>
      </c>
      <c r="B155" s="348"/>
      <c r="C155" s="348"/>
      <c r="D155" s="348"/>
      <c r="E155" s="348"/>
      <c r="F155" s="348"/>
      <c r="G155" s="348"/>
      <c r="H155" s="348"/>
      <c r="I155" s="348"/>
      <c r="N155" s="597"/>
      <c r="O155" s="597"/>
      <c r="P155" s="597"/>
      <c r="Q155" s="597"/>
      <c r="R155" s="597"/>
      <c r="S155" s="597"/>
      <c r="T155" s="597"/>
      <c r="U155" s="597"/>
    </row>
    <row r="156" spans="1:21" s="76" customFormat="1" x14ac:dyDescent="0.2">
      <c r="A156" s="346" t="s">
        <v>369</v>
      </c>
      <c r="B156" s="348"/>
      <c r="C156" s="348"/>
      <c r="D156" s="348"/>
      <c r="E156" s="348"/>
      <c r="F156" s="348"/>
      <c r="G156" s="348"/>
      <c r="H156" s="348"/>
      <c r="I156" s="348"/>
      <c r="N156" s="73"/>
      <c r="O156" s="73"/>
      <c r="P156" s="73"/>
      <c r="Q156" s="73"/>
      <c r="R156" s="73"/>
      <c r="S156" s="73"/>
      <c r="T156" s="73"/>
      <c r="U156" s="73"/>
    </row>
    <row r="157" spans="1:21" s="76" customFormat="1" x14ac:dyDescent="0.2">
      <c r="A157" s="346" t="s">
        <v>370</v>
      </c>
      <c r="B157" s="348"/>
      <c r="C157" s="348"/>
      <c r="D157" s="348"/>
      <c r="E157" s="348"/>
      <c r="F157" s="348"/>
      <c r="G157" s="348"/>
      <c r="H157" s="348"/>
      <c r="I157" s="348"/>
      <c r="N157" s="78"/>
      <c r="O157" s="79"/>
      <c r="P157" s="79"/>
      <c r="Q157" s="79"/>
      <c r="R157" s="79"/>
      <c r="S157" s="79"/>
      <c r="T157" s="79"/>
      <c r="U157" s="79"/>
    </row>
    <row r="158" spans="1:21" s="76" customFormat="1" x14ac:dyDescent="0.2">
      <c r="A158" s="346" t="s">
        <v>371</v>
      </c>
      <c r="B158" s="348"/>
      <c r="C158" s="348"/>
      <c r="D158" s="348"/>
      <c r="E158" s="348"/>
      <c r="F158" s="348"/>
      <c r="G158" s="348"/>
      <c r="H158" s="348"/>
      <c r="I158" s="348"/>
      <c r="N158" s="78"/>
    </row>
    <row r="159" spans="1:21" s="76" customFormat="1" x14ac:dyDescent="0.2">
      <c r="A159" s="346" t="s">
        <v>373</v>
      </c>
      <c r="B159" s="348"/>
      <c r="C159" s="348"/>
      <c r="D159" s="348"/>
      <c r="E159" s="348"/>
      <c r="F159" s="348"/>
      <c r="G159" s="348"/>
      <c r="H159" s="348"/>
      <c r="I159" s="348"/>
      <c r="N159" s="78"/>
    </row>
    <row r="160" spans="1:21" s="76" customFormat="1" x14ac:dyDescent="0.2">
      <c r="A160" s="352" t="s">
        <v>372</v>
      </c>
      <c r="B160" s="348"/>
      <c r="C160" s="348"/>
      <c r="D160" s="348"/>
      <c r="E160" s="348"/>
      <c r="F160" s="348"/>
      <c r="G160" s="348"/>
      <c r="H160" s="348"/>
      <c r="I160" s="348"/>
      <c r="N160" s="78"/>
    </row>
    <row r="161" spans="1:14" s="76" customFormat="1" x14ac:dyDescent="0.2">
      <c r="A161" s="346" t="s">
        <v>374</v>
      </c>
      <c r="B161" s="348"/>
      <c r="C161" s="348"/>
      <c r="D161" s="348"/>
      <c r="E161" s="348"/>
      <c r="F161" s="348"/>
      <c r="G161" s="348"/>
      <c r="H161" s="348"/>
      <c r="I161" s="348"/>
      <c r="N161" s="78"/>
    </row>
    <row r="162" spans="1:14" s="76" customFormat="1" x14ac:dyDescent="0.2">
      <c r="A162" s="352" t="str">
        <f>'1461'!A162</f>
        <v>"All Adjusted ESE Riders" should include only ESE Riders.</v>
      </c>
      <c r="B162" s="348"/>
      <c r="C162" s="348"/>
      <c r="D162" s="348"/>
      <c r="E162" s="348"/>
      <c r="F162" s="348"/>
      <c r="G162" s="348"/>
      <c r="H162" s="348"/>
      <c r="I162" s="348"/>
      <c r="N162" s="78"/>
    </row>
    <row r="163" spans="1:14" s="76" customFormat="1" x14ac:dyDescent="0.2">
      <c r="A163" s="346" t="s">
        <v>377</v>
      </c>
      <c r="B163" s="348"/>
      <c r="C163" s="348"/>
      <c r="D163" s="348"/>
      <c r="E163" s="348"/>
      <c r="F163" s="348"/>
      <c r="G163" s="348"/>
      <c r="H163" s="348"/>
      <c r="I163" s="348"/>
      <c r="N163" s="78"/>
    </row>
    <row r="164" spans="1:14" s="76" customFormat="1" ht="15.75" customHeight="1" x14ac:dyDescent="0.2">
      <c r="A164" s="346" t="str">
        <f>'1461'!A164</f>
        <v xml:space="preserve">(j) Funding based on student eligibility and meals provided, if participating in the National School Lunch Program. </v>
      </c>
      <c r="B164" s="348"/>
      <c r="C164" s="348"/>
      <c r="D164" s="348"/>
      <c r="E164" s="348"/>
      <c r="F164" s="348"/>
      <c r="G164" s="348"/>
      <c r="H164" s="348"/>
      <c r="I164" s="348"/>
      <c r="N164" s="78"/>
    </row>
    <row r="165" spans="1:14" s="76" customFormat="1" ht="15.75" customHeight="1" x14ac:dyDescent="0.2">
      <c r="A165" s="346" t="s">
        <v>379</v>
      </c>
      <c r="B165" s="348"/>
      <c r="C165" s="348"/>
      <c r="D165" s="348"/>
      <c r="E165" s="348"/>
      <c r="F165" s="348"/>
      <c r="G165" s="348"/>
      <c r="H165" s="348"/>
      <c r="I165" s="348"/>
      <c r="N165" s="78"/>
    </row>
    <row r="166" spans="1:14" s="76" customFormat="1" ht="15.75" customHeight="1" x14ac:dyDescent="0.2">
      <c r="A166" s="352" t="s">
        <v>378</v>
      </c>
      <c r="B166" s="348"/>
      <c r="C166" s="348"/>
      <c r="D166" s="348"/>
      <c r="E166" s="348"/>
      <c r="F166" s="348"/>
      <c r="G166" s="348"/>
      <c r="H166" s="348"/>
      <c r="I166" s="348"/>
      <c r="N166" s="78"/>
    </row>
    <row r="167" spans="1:14" s="76" customFormat="1" ht="15.75" customHeight="1" x14ac:dyDescent="0.2">
      <c r="A167" s="346" t="s">
        <v>380</v>
      </c>
      <c r="B167" s="348"/>
      <c r="C167" s="348"/>
      <c r="D167" s="348"/>
      <c r="E167" s="348"/>
      <c r="F167" s="348"/>
      <c r="G167" s="348"/>
      <c r="H167" s="348"/>
      <c r="I167" s="348"/>
      <c r="N167" s="78"/>
    </row>
    <row r="168" spans="1:14" s="76" customFormat="1" ht="15.75" customHeight="1" x14ac:dyDescent="0.2">
      <c r="A168" s="352" t="str">
        <f>'1461'!A168</f>
        <v xml:space="preserve">unweighted full-time equivalent students. </v>
      </c>
      <c r="B168" s="348"/>
      <c r="C168" s="348"/>
      <c r="D168" s="348"/>
      <c r="E168" s="348"/>
      <c r="F168" s="348"/>
      <c r="G168" s="348"/>
      <c r="H168" s="348"/>
      <c r="I168" s="348"/>
      <c r="N168" s="78"/>
    </row>
    <row r="169" spans="1:14" s="76" customFormat="1" ht="15.75" customHeight="1" x14ac:dyDescent="0.2">
      <c r="A169" s="346" t="s">
        <v>382</v>
      </c>
      <c r="B169" s="348"/>
      <c r="C169" s="348"/>
      <c r="D169" s="348"/>
      <c r="E169" s="348"/>
      <c r="F169" s="348"/>
      <c r="G169" s="348"/>
      <c r="H169" s="348"/>
      <c r="I169" s="348"/>
      <c r="N169" s="78"/>
    </row>
    <row r="170" spans="1:14" s="76" customFormat="1" ht="15.75" customHeight="1" x14ac:dyDescent="0.2">
      <c r="A170" s="352" t="s">
        <v>381</v>
      </c>
      <c r="B170" s="348"/>
      <c r="C170" s="348"/>
      <c r="D170" s="348"/>
      <c r="E170" s="348"/>
      <c r="F170" s="348"/>
      <c r="G170" s="348"/>
      <c r="H170" s="348"/>
      <c r="I170" s="348"/>
      <c r="N170" s="78"/>
    </row>
    <row r="171" spans="1:14" s="76" customFormat="1" ht="15.75" customHeight="1" x14ac:dyDescent="0.2">
      <c r="A171" s="346"/>
      <c r="B171" s="348"/>
      <c r="C171" s="348"/>
      <c r="D171" s="348"/>
      <c r="E171" s="348"/>
      <c r="F171" s="348"/>
      <c r="G171" s="348"/>
      <c r="H171" s="348"/>
      <c r="I171" s="348"/>
      <c r="N171" s="78"/>
    </row>
    <row r="172" spans="1:14" s="76" customFormat="1" ht="15.75" customHeight="1" x14ac:dyDescent="0.25">
      <c r="A172" s="359" t="str">
        <f>'1461'!A172</f>
        <v>Administrative fees:</v>
      </c>
      <c r="B172" s="348"/>
      <c r="C172" s="348"/>
      <c r="D172" s="348"/>
      <c r="E172" s="348"/>
      <c r="F172" s="348"/>
      <c r="G172" s="348"/>
      <c r="H172" s="348"/>
      <c r="I172" s="348"/>
      <c r="J172" s="3"/>
      <c r="K172" s="3"/>
      <c r="L172" s="3"/>
      <c r="M172" s="3"/>
      <c r="N172" s="78"/>
    </row>
    <row r="173" spans="1:14" s="76" customFormat="1" ht="15.75" customHeight="1" x14ac:dyDescent="0.25">
      <c r="A173" s="363" t="str">
        <f>'1461'!A173</f>
        <v xml:space="preserve">Administrative fees charged by the school district pursuant to s. 1002.33(20)(a), F.S., shall be calculated based upon 5% of available funds from the FEFP and categorical </v>
      </c>
      <c r="B173" s="351"/>
      <c r="C173" s="351"/>
      <c r="D173" s="351"/>
      <c r="E173" s="351"/>
      <c r="F173" s="351"/>
      <c r="G173" s="351"/>
      <c r="H173" s="351"/>
      <c r="I173" s="351"/>
      <c r="J173" s="3"/>
      <c r="K173" s="3"/>
      <c r="L173" s="3"/>
      <c r="M173" s="3"/>
      <c r="N173" s="78"/>
    </row>
    <row r="174" spans="1:14" s="76" customFormat="1" ht="15.75" customHeight="1" x14ac:dyDescent="0.25">
      <c r="A174" s="364" t="str">
        <f>'1461'!A174</f>
        <v>funding for which charter students may be eligible.  To calculate the administrative fee to be withheld for schools with more than 250 students, divide the school</v>
      </c>
      <c r="B174" s="358"/>
      <c r="C174" s="358"/>
      <c r="D174" s="358"/>
      <c r="E174" s="358"/>
      <c r="F174" s="358"/>
      <c r="G174" s="358"/>
      <c r="H174" s="358"/>
      <c r="I174" s="358"/>
      <c r="J174" s="3"/>
      <c r="K174" s="3"/>
      <c r="L174" s="3"/>
      <c r="M174" s="3"/>
      <c r="N174" s="78"/>
    </row>
    <row r="175" spans="1:14" s="76" customFormat="1" ht="15.75" customHeight="1" x14ac:dyDescent="0.25">
      <c r="A175" s="364" t="s">
        <v>383</v>
      </c>
      <c r="B175" s="358"/>
      <c r="C175" s="358"/>
      <c r="D175" s="358"/>
      <c r="E175" s="358"/>
      <c r="F175" s="358"/>
      <c r="G175" s="358"/>
      <c r="H175" s="358"/>
      <c r="I175" s="358"/>
      <c r="J175" s="3"/>
      <c r="K175" s="3"/>
      <c r="L175" s="3"/>
      <c r="M175" s="3"/>
      <c r="N175" s="78"/>
    </row>
    <row r="176" spans="1:14" s="76" customFormat="1" ht="15.75" customHeight="1" x14ac:dyDescent="0.2">
      <c r="A176" s="364" t="s">
        <v>384</v>
      </c>
      <c r="B176" s="358"/>
      <c r="C176" s="358"/>
      <c r="D176" s="358"/>
      <c r="E176" s="358"/>
      <c r="F176" s="358"/>
      <c r="G176" s="358"/>
      <c r="H176" s="358"/>
      <c r="I176" s="358"/>
      <c r="N176" s="78"/>
    </row>
    <row r="177" spans="1:21" s="76" customFormat="1" ht="15.75" customHeight="1" x14ac:dyDescent="0.2">
      <c r="A177" s="363"/>
      <c r="B177" s="358"/>
      <c r="C177" s="358"/>
      <c r="D177" s="358"/>
      <c r="E177" s="358"/>
      <c r="F177" s="358"/>
      <c r="G177" s="358"/>
      <c r="H177" s="358"/>
      <c r="I177" s="358"/>
      <c r="N177" s="78"/>
    </row>
    <row r="178" spans="1:21" ht="15.75" customHeight="1" x14ac:dyDescent="0.25">
      <c r="A178" s="363" t="str">
        <f>'1461'!A178</f>
        <v xml:space="preserve">For high performing charter schools, administrative fees charged by the school district shall be calculated based upon 2% of available funds from the FEFP and categorical </v>
      </c>
      <c r="B178" s="351"/>
      <c r="C178" s="351"/>
      <c r="D178" s="351"/>
      <c r="E178" s="351"/>
      <c r="F178" s="351"/>
      <c r="G178" s="351"/>
      <c r="H178" s="351"/>
      <c r="I178" s="351"/>
      <c r="J178" s="76"/>
      <c r="K178" s="76"/>
      <c r="L178" s="76"/>
      <c r="M178" s="76"/>
      <c r="N178" s="78"/>
      <c r="O178" s="76"/>
      <c r="P178" s="76"/>
      <c r="Q178" s="76"/>
      <c r="R178" s="76"/>
      <c r="S178" s="76"/>
      <c r="T178" s="76"/>
      <c r="U178" s="76"/>
    </row>
    <row r="179" spans="1:21" ht="15.75" customHeight="1" x14ac:dyDescent="0.25">
      <c r="A179" s="364" t="str">
        <f>'1461'!A179</f>
        <v>funding for which charter students may be eligible.  To calculate the administrative fee to be withheld for schools with more than 250 students, divide the school</v>
      </c>
      <c r="B179" s="351"/>
      <c r="C179" s="351"/>
      <c r="D179" s="351"/>
      <c r="E179" s="351"/>
      <c r="F179" s="351"/>
      <c r="G179" s="351"/>
      <c r="H179" s="351"/>
      <c r="I179" s="351"/>
      <c r="J179" s="76"/>
      <c r="K179" s="76"/>
      <c r="L179" s="76"/>
      <c r="M179" s="76"/>
      <c r="N179" s="74"/>
    </row>
    <row r="180" spans="1:21" s="76" customFormat="1" ht="15.75" customHeight="1" x14ac:dyDescent="0.25">
      <c r="A180" s="364" t="str">
        <f>'1461'!A180</f>
        <v xml:space="preserve">population into 250. Multiply that fraction times the funds available, then times 2%.  </v>
      </c>
      <c r="B180" s="351"/>
      <c r="C180" s="351"/>
      <c r="D180" s="351"/>
      <c r="E180" s="351"/>
      <c r="F180" s="351"/>
      <c r="G180" s="351"/>
      <c r="H180" s="351"/>
      <c r="I180" s="351"/>
      <c r="N180" s="74"/>
      <c r="O180" s="3"/>
      <c r="P180" s="3"/>
      <c r="Q180" s="3"/>
      <c r="R180" s="3"/>
      <c r="S180" s="3"/>
      <c r="T180" s="3"/>
      <c r="U180" s="3"/>
    </row>
    <row r="181" spans="1:21" x14ac:dyDescent="0.25">
      <c r="A181" s="346"/>
      <c r="B181" s="351"/>
      <c r="C181" s="351"/>
      <c r="D181" s="351"/>
      <c r="E181" s="351"/>
      <c r="F181" s="351"/>
      <c r="G181" s="351"/>
      <c r="H181" s="351"/>
      <c r="I181" s="351"/>
      <c r="N181" s="78"/>
      <c r="O181" s="76"/>
      <c r="P181" s="76"/>
      <c r="Q181" s="76"/>
      <c r="R181" s="76"/>
      <c r="S181" s="76"/>
      <c r="T181" s="76"/>
      <c r="U181" s="76"/>
    </row>
    <row r="182" spans="1:21" x14ac:dyDescent="0.25">
      <c r="A182" s="359" t="str">
        <f>'1461'!A182</f>
        <v>Other:</v>
      </c>
      <c r="B182" s="357"/>
      <c r="C182" s="357"/>
      <c r="D182" s="357"/>
      <c r="E182" s="357"/>
      <c r="F182" s="357"/>
      <c r="G182" s="357"/>
      <c r="H182" s="357"/>
      <c r="I182" s="357"/>
      <c r="N182" s="78"/>
      <c r="O182" s="76"/>
      <c r="P182" s="76"/>
      <c r="Q182" s="76"/>
      <c r="R182" s="76"/>
      <c r="S182" s="76"/>
      <c r="T182" s="76"/>
      <c r="U182" s="76"/>
    </row>
    <row r="183" spans="1:21" x14ac:dyDescent="0.25">
      <c r="A183" s="363" t="str">
        <f>'1461'!A183</f>
        <v>FEFP and categorical funding are recalculated during the year to reflect the revised number of full-time equivalent students reported during the survey periods designated</v>
      </c>
      <c r="B183" s="351"/>
      <c r="C183" s="351"/>
      <c r="D183" s="351"/>
      <c r="E183" s="351"/>
      <c r="F183" s="351"/>
      <c r="G183" s="351"/>
      <c r="H183" s="351"/>
      <c r="I183" s="351"/>
      <c r="N183" s="78"/>
      <c r="O183" s="76"/>
      <c r="P183" s="76"/>
      <c r="Q183" s="76"/>
      <c r="R183" s="76"/>
      <c r="S183" s="76"/>
      <c r="T183" s="76"/>
      <c r="U183" s="76"/>
    </row>
    <row r="184" spans="1:21" x14ac:dyDescent="0.25">
      <c r="A184" s="364" t="str">
        <f>'1461'!A184</f>
        <v>by the Commissioner of Education.</v>
      </c>
      <c r="B184" s="358"/>
      <c r="C184" s="358"/>
      <c r="D184" s="358"/>
      <c r="E184" s="358"/>
      <c r="F184" s="358"/>
      <c r="G184" s="358"/>
      <c r="H184" s="358"/>
      <c r="I184" s="358"/>
      <c r="N184" s="74"/>
    </row>
    <row r="185" spans="1:21" x14ac:dyDescent="0.25">
      <c r="A185" s="363" t="str">
        <f>'1461'!A185</f>
        <v>Revenues flow to districts from state sources and from county tax collectors on various distribution schedules.</v>
      </c>
      <c r="B185" s="351"/>
      <c r="C185" s="351"/>
      <c r="D185" s="351"/>
      <c r="E185" s="351"/>
      <c r="F185" s="351"/>
      <c r="G185" s="351"/>
      <c r="H185" s="351"/>
      <c r="I185" s="351"/>
      <c r="N185" s="74"/>
    </row>
    <row r="186" spans="1:21" x14ac:dyDescent="0.25">
      <c r="A186" s="294"/>
      <c r="B186" s="294"/>
      <c r="C186" s="294"/>
      <c r="D186" s="294"/>
      <c r="E186" s="294"/>
      <c r="F186" s="294"/>
      <c r="G186" s="294"/>
      <c r="H186" s="294"/>
      <c r="I186" s="294"/>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C104:D104"/>
    <mergeCell ref="P104:Q104"/>
    <mergeCell ref="C105:D105"/>
    <mergeCell ref="P105:Q105"/>
    <mergeCell ref="C106:D106"/>
    <mergeCell ref="P106:Q106"/>
    <mergeCell ref="C107:D107"/>
    <mergeCell ref="P107:T107"/>
    <mergeCell ref="A108:I108"/>
    <mergeCell ref="N108:U108"/>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A78:B78"/>
    <mergeCell ref="D78:G78"/>
    <mergeCell ref="N78:O78"/>
    <mergeCell ref="Q78:S78"/>
    <mergeCell ref="T78:U78"/>
    <mergeCell ref="N79:S79"/>
    <mergeCell ref="T79:U79"/>
    <mergeCell ref="A57:B65"/>
    <mergeCell ref="F66:H66"/>
    <mergeCell ref="P65:Q65"/>
    <mergeCell ref="P66:Q66"/>
    <mergeCell ref="R66:T66"/>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CCCC"/>
  </sheetPr>
  <dimension ref="A1:V221"/>
  <sheetViews>
    <sheetView topLeftCell="A108" workbookViewId="0">
      <selection activeCell="C61" sqref="C6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38" t="s">
        <v>15</v>
      </c>
      <c r="C1" s="539"/>
      <c r="D1" s="539"/>
      <c r="E1" s="539"/>
      <c r="F1" s="539"/>
      <c r="G1" s="539"/>
      <c r="H1" s="539"/>
      <c r="I1" s="539"/>
      <c r="J1" s="135"/>
      <c r="K1" s="135"/>
      <c r="L1" s="135"/>
      <c r="N1" s="82">
        <f>A1</f>
        <v>0</v>
      </c>
      <c r="O1" s="630" t="s">
        <v>15</v>
      </c>
      <c r="P1" s="631"/>
      <c r="Q1" s="631"/>
      <c r="R1" s="631"/>
      <c r="S1" s="631"/>
      <c r="T1" s="631"/>
      <c r="U1" s="631"/>
    </row>
    <row r="2" spans="1:21" ht="21" x14ac:dyDescent="0.35">
      <c r="A2" s="1" t="s">
        <v>359</v>
      </c>
      <c r="B2" s="2"/>
      <c r="C2" s="2"/>
      <c r="D2" s="2"/>
      <c r="E2" s="2"/>
      <c r="F2" s="2"/>
      <c r="G2" s="2"/>
      <c r="H2" s="2"/>
      <c r="I2" s="2"/>
      <c r="N2" s="632" t="s">
        <v>18</v>
      </c>
      <c r="O2" s="632"/>
      <c r="P2" s="632"/>
      <c r="Q2" s="632"/>
      <c r="R2" s="632"/>
      <c r="S2" s="632"/>
      <c r="T2" s="632"/>
      <c r="U2" s="632"/>
    </row>
    <row r="3" spans="1:21" x14ac:dyDescent="0.25">
      <c r="A3" s="81" t="str">
        <f>'1461'!A3</f>
        <v>Based on the FLDOE 2023-24 FEFP Third Calculation</v>
      </c>
      <c r="N3" s="599" t="str">
        <f>A3</f>
        <v>Based on the FLDOE 2023-24 FEFP Third Calculation</v>
      </c>
      <c r="O3" s="599"/>
      <c r="P3" s="599"/>
      <c r="Q3" s="599"/>
      <c r="R3" s="599"/>
      <c r="S3" s="599"/>
      <c r="T3" s="599"/>
      <c r="U3" s="599"/>
    </row>
    <row r="4" spans="1:21" x14ac:dyDescent="0.25">
      <c r="A4" s="540" t="s">
        <v>0</v>
      </c>
      <c r="B4" s="540"/>
      <c r="C4" s="541" t="s">
        <v>9</v>
      </c>
      <c r="D4" s="541"/>
      <c r="E4" s="541"/>
      <c r="F4" s="4" t="str">
        <f>'1461'!F4</f>
        <v>Apr 2024</v>
      </c>
      <c r="G4" s="4"/>
      <c r="H4" s="4"/>
      <c r="I4" s="4"/>
      <c r="N4" s="633" t="s">
        <v>0</v>
      </c>
      <c r="O4" s="633"/>
      <c r="P4" s="634" t="str">
        <f>C4</f>
        <v>Palm Beach</v>
      </c>
      <c r="Q4" s="634"/>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42" t="s">
        <v>428</v>
      </c>
      <c r="B7" s="636"/>
      <c r="C7" s="636"/>
      <c r="D7" s="636"/>
      <c r="E7" s="636"/>
      <c r="F7" s="636"/>
      <c r="G7" s="636"/>
      <c r="H7" s="636"/>
      <c r="I7" s="636"/>
      <c r="N7" s="633" t="str">
        <f>A7</f>
        <v>1A.   2023-24 FEFP State and Local Funding</v>
      </c>
      <c r="O7" s="633"/>
      <c r="P7" s="633"/>
      <c r="Q7" s="633"/>
      <c r="R7" s="633"/>
      <c r="S7" s="633"/>
      <c r="T7" s="633"/>
      <c r="U7" s="633"/>
    </row>
    <row r="8" spans="1:21" x14ac:dyDescent="0.25">
      <c r="A8" s="84"/>
      <c r="B8" s="85" t="s">
        <v>92</v>
      </c>
      <c r="C8" s="300">
        <f>'1461'!C8</f>
        <v>5139.7299999999996</v>
      </c>
      <c r="D8" s="86"/>
      <c r="E8" s="87"/>
      <c r="F8" s="84"/>
      <c r="G8" s="85" t="s">
        <v>388</v>
      </c>
      <c r="H8" s="288">
        <f>'1461'!H8</f>
        <v>1.0442</v>
      </c>
      <c r="I8" s="75"/>
      <c r="N8" s="637" t="s">
        <v>10</v>
      </c>
      <c r="O8" s="637"/>
      <c r="P8" s="638">
        <f>C8</f>
        <v>5139.7299999999996</v>
      </c>
      <c r="Q8" s="638"/>
      <c r="R8" s="620" t="s">
        <v>389</v>
      </c>
      <c r="S8" s="621"/>
      <c r="T8" s="622">
        <f>H8</f>
        <v>1.0442</v>
      </c>
      <c r="U8" s="622"/>
    </row>
    <row r="9" spans="1:21" x14ac:dyDescent="0.25">
      <c r="A9" s="84"/>
      <c r="B9" s="85"/>
      <c r="C9" s="222"/>
      <c r="D9" s="86"/>
      <c r="E9" s="87"/>
      <c r="F9" s="84"/>
      <c r="G9" s="85" t="s">
        <v>386</v>
      </c>
      <c r="H9" s="288">
        <f>'1461'!H9</f>
        <v>1</v>
      </c>
      <c r="I9" s="75"/>
      <c r="N9" s="12"/>
      <c r="O9" s="12"/>
      <c r="P9" s="13"/>
      <c r="Q9" s="13"/>
      <c r="R9" s="388" t="s">
        <v>387</v>
      </c>
      <c r="S9" s="385"/>
      <c r="T9" s="622">
        <f>H9</f>
        <v>1</v>
      </c>
      <c r="U9" s="622"/>
    </row>
    <row r="10" spans="1:21" x14ac:dyDescent="0.25">
      <c r="A10" s="7"/>
      <c r="B10" s="42" t="s">
        <v>303</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43" t="s">
        <v>1</v>
      </c>
      <c r="G11" s="543"/>
      <c r="H11" s="10" t="s">
        <v>60</v>
      </c>
      <c r="I11" s="11" t="s">
        <v>27</v>
      </c>
      <c r="N11" s="12"/>
      <c r="O11" s="12"/>
      <c r="P11" s="13"/>
      <c r="Q11" s="13"/>
      <c r="R11" s="623" t="s">
        <v>1</v>
      </c>
      <c r="S11" s="623"/>
      <c r="T11" s="15" t="s">
        <v>60</v>
      </c>
      <c r="U11" s="16" t="s">
        <v>27</v>
      </c>
    </row>
    <row r="12" spans="1:21" ht="15.75" customHeight="1" x14ac:dyDescent="0.25">
      <c r="A12" s="544" t="s">
        <v>1</v>
      </c>
      <c r="B12" s="544"/>
      <c r="C12" s="325" t="str">
        <f>'1461'!C12</f>
        <v>FTE</v>
      </c>
      <c r="D12" s="325" t="str">
        <f>'1461'!D12</f>
        <v>FTE</v>
      </c>
      <c r="E12" s="325" t="s">
        <v>2</v>
      </c>
      <c r="F12" s="545" t="s">
        <v>63</v>
      </c>
      <c r="G12" s="545"/>
      <c r="H12" s="17" t="s">
        <v>59</v>
      </c>
      <c r="I12" s="389" t="s">
        <v>390</v>
      </c>
      <c r="N12" s="611" t="s">
        <v>1</v>
      </c>
      <c r="O12" s="611"/>
      <c r="P12" s="624" t="s">
        <v>19</v>
      </c>
      <c r="Q12" s="624"/>
      <c r="R12" s="625" t="s">
        <v>63</v>
      </c>
      <c r="S12" s="625"/>
      <c r="T12" s="18" t="s">
        <v>59</v>
      </c>
      <c r="U12" s="19" t="str">
        <f>I12</f>
        <v>(WFTE x BSA x CWF x SDF)</v>
      </c>
    </row>
    <row r="13" spans="1:21" x14ac:dyDescent="0.25">
      <c r="A13" s="546" t="s">
        <v>36</v>
      </c>
      <c r="B13" s="546"/>
      <c r="C13" s="91"/>
      <c r="D13" s="91"/>
      <c r="E13" s="92" t="s">
        <v>37</v>
      </c>
      <c r="F13" s="547" t="s">
        <v>38</v>
      </c>
      <c r="G13" s="547"/>
      <c r="H13" s="20" t="s">
        <v>39</v>
      </c>
      <c r="I13" s="21" t="s">
        <v>40</v>
      </c>
      <c r="N13" s="626" t="s">
        <v>36</v>
      </c>
      <c r="O13" s="626"/>
      <c r="P13" s="627" t="s">
        <v>37</v>
      </c>
      <c r="Q13" s="627"/>
      <c r="R13" s="628" t="s">
        <v>38</v>
      </c>
      <c r="S13" s="628"/>
      <c r="T13" s="22" t="s">
        <v>39</v>
      </c>
      <c r="U13" s="23" t="s">
        <v>40</v>
      </c>
    </row>
    <row r="14" spans="1:21" x14ac:dyDescent="0.25">
      <c r="A14" s="548" t="s">
        <v>20</v>
      </c>
      <c r="B14" s="548"/>
      <c r="C14" s="143">
        <v>133.43</v>
      </c>
      <c r="D14" s="141">
        <v>129.69999999999999</v>
      </c>
      <c r="E14" s="187">
        <f>IF(D$30=0,C14*2,C14+D14)</f>
        <v>263.13</v>
      </c>
      <c r="F14" s="639">
        <f>'1461'!F14:G14</f>
        <v>1.1220000000000001</v>
      </c>
      <c r="G14" s="639"/>
      <c r="H14" s="145">
        <f>ROUND(E14*F14,4)</f>
        <v>295.2319</v>
      </c>
      <c r="I14" s="111">
        <f>ROUND(ROUND(ROUND(H14*$C$8,4)*($H$8),2)*(MAX($H$9,1)),2)</f>
        <v>1584481.88</v>
      </c>
      <c r="N14" s="613" t="s">
        <v>20</v>
      </c>
      <c r="O14" s="613"/>
      <c r="P14" s="614">
        <f t="shared" ref="P14:P29" si="0">IF($H$133=1,E14,0)</f>
        <v>0</v>
      </c>
      <c r="Q14" s="614"/>
      <c r="R14" s="629">
        <v>1</v>
      </c>
      <c r="S14" s="629"/>
      <c r="T14" s="95">
        <f>ROUND(P14*R14,4)</f>
        <v>0</v>
      </c>
      <c r="U14" s="474">
        <f>ROUND(ROUND(ROUND(T14*$C$8,4)*($H$8),2)*(MAX($H$9,1)),2)</f>
        <v>0</v>
      </c>
    </row>
    <row r="15" spans="1:21" x14ac:dyDescent="0.25">
      <c r="A15" s="550" t="s">
        <v>21</v>
      </c>
      <c r="B15" s="550"/>
      <c r="C15" s="143">
        <v>20.5</v>
      </c>
      <c r="D15" s="143">
        <v>23.01</v>
      </c>
      <c r="E15" s="116">
        <f t="shared" ref="E15:E29" si="1">IF(D$30=0,C15*2,C15+D15)</f>
        <v>43.510000000000005</v>
      </c>
      <c r="F15" s="635">
        <f>'1461'!F15:G15</f>
        <v>1.1220000000000001</v>
      </c>
      <c r="G15" s="635"/>
      <c r="H15" s="80">
        <f t="shared" ref="H15:H29" si="2">ROUND(E15*F15,4)</f>
        <v>48.818199999999997</v>
      </c>
      <c r="I15" s="101">
        <f t="shared" ref="I15:I29" si="3">ROUND(ROUND(ROUND(H15*$C$8,4)*($H$8),2)*(MAX($H$9,1)),2)</f>
        <v>262002.69</v>
      </c>
      <c r="J15" s="65" t="str">
        <f>IF(ROUND(E15,2)=ROUND(SUM(E57:E59),2)," ","CHECK PK-3 LINES BELOW")</f>
        <v xml:space="preserve"> </v>
      </c>
      <c r="N15" s="573" t="s">
        <v>21</v>
      </c>
      <c r="O15" s="573"/>
      <c r="P15" s="614">
        <f t="shared" si="0"/>
        <v>0</v>
      </c>
      <c r="Q15" s="614"/>
      <c r="R15" s="619">
        <v>1</v>
      </c>
      <c r="S15" s="619"/>
      <c r="T15" s="95">
        <f t="shared" ref="T15:T29" si="4">ROUND(P15*R15,4)</f>
        <v>0</v>
      </c>
      <c r="U15" s="474">
        <f t="shared" ref="U15:U29" si="5">ROUND(ROUND(ROUND(T15*$C$8,4)*($H$8),2)*(MAX($H$9,1)),2)</f>
        <v>0</v>
      </c>
    </row>
    <row r="16" spans="1:21" x14ac:dyDescent="0.25">
      <c r="A16" s="550" t="s">
        <v>22</v>
      </c>
      <c r="B16" s="550"/>
      <c r="C16" s="143">
        <v>58.46</v>
      </c>
      <c r="D16" s="143">
        <v>57.07</v>
      </c>
      <c r="E16" s="116">
        <f t="shared" si="1"/>
        <v>115.53</v>
      </c>
      <c r="F16" s="635">
        <f>'1461'!F16:G16</f>
        <v>1</v>
      </c>
      <c r="G16" s="635"/>
      <c r="H16" s="80">
        <f t="shared" si="2"/>
        <v>115.53</v>
      </c>
      <c r="I16" s="101">
        <f t="shared" si="3"/>
        <v>620038.66</v>
      </c>
      <c r="N16" s="573" t="s">
        <v>22</v>
      </c>
      <c r="O16" s="573"/>
      <c r="P16" s="614">
        <f t="shared" si="0"/>
        <v>0</v>
      </c>
      <c r="Q16" s="614"/>
      <c r="R16" s="619">
        <v>1</v>
      </c>
      <c r="S16" s="619"/>
      <c r="T16" s="95">
        <f t="shared" si="4"/>
        <v>0</v>
      </c>
      <c r="U16" s="474">
        <f t="shared" si="5"/>
        <v>0</v>
      </c>
    </row>
    <row r="17" spans="1:21" x14ac:dyDescent="0.25">
      <c r="A17" s="550" t="s">
        <v>23</v>
      </c>
      <c r="B17" s="550"/>
      <c r="C17" s="143">
        <v>20</v>
      </c>
      <c r="D17" s="143">
        <v>18.989999999999998</v>
      </c>
      <c r="E17" s="116">
        <f t="shared" si="1"/>
        <v>38.989999999999995</v>
      </c>
      <c r="F17" s="635">
        <f>'1461'!F17:G17</f>
        <v>1</v>
      </c>
      <c r="G17" s="635"/>
      <c r="H17" s="80">
        <f t="shared" si="2"/>
        <v>38.99</v>
      </c>
      <c r="I17" s="101">
        <f t="shared" si="3"/>
        <v>209255.67</v>
      </c>
      <c r="J17" s="65" t="str">
        <f>IF(ROUND(E17,2)=ROUND(SUM(E60:E62),2)," ","CHECK 4-8 LINES BELOW")</f>
        <v xml:space="preserve"> </v>
      </c>
      <c r="N17" s="573" t="s">
        <v>23</v>
      </c>
      <c r="O17" s="573"/>
      <c r="P17" s="614">
        <f t="shared" si="0"/>
        <v>0</v>
      </c>
      <c r="Q17" s="614"/>
      <c r="R17" s="619">
        <v>1</v>
      </c>
      <c r="S17" s="619"/>
      <c r="T17" s="95">
        <f t="shared" si="4"/>
        <v>0</v>
      </c>
      <c r="U17" s="474">
        <f t="shared" si="5"/>
        <v>0</v>
      </c>
    </row>
    <row r="18" spans="1:21" x14ac:dyDescent="0.25">
      <c r="A18" s="550" t="s">
        <v>24</v>
      </c>
      <c r="B18" s="550"/>
      <c r="C18" s="143">
        <v>0</v>
      </c>
      <c r="D18" s="143">
        <v>0</v>
      </c>
      <c r="E18" s="116">
        <f t="shared" si="1"/>
        <v>0</v>
      </c>
      <c r="F18" s="635">
        <f>'1461'!F18:G18</f>
        <v>0.98799999999999999</v>
      </c>
      <c r="G18" s="635"/>
      <c r="H18" s="80">
        <f t="shared" si="2"/>
        <v>0</v>
      </c>
      <c r="I18" s="101">
        <f t="shared" si="3"/>
        <v>0</v>
      </c>
      <c r="N18" s="573" t="s">
        <v>24</v>
      </c>
      <c r="O18" s="573"/>
      <c r="P18" s="614">
        <f t="shared" si="0"/>
        <v>0</v>
      </c>
      <c r="Q18" s="614"/>
      <c r="R18" s="619">
        <v>1</v>
      </c>
      <c r="S18" s="619"/>
      <c r="T18" s="95">
        <f t="shared" si="4"/>
        <v>0</v>
      </c>
      <c r="U18" s="474">
        <f t="shared" si="5"/>
        <v>0</v>
      </c>
    </row>
    <row r="19" spans="1:21" x14ac:dyDescent="0.25">
      <c r="A19" s="550" t="s">
        <v>25</v>
      </c>
      <c r="B19" s="550"/>
      <c r="C19" s="143">
        <v>0</v>
      </c>
      <c r="D19" s="143">
        <v>0</v>
      </c>
      <c r="E19" s="116">
        <f t="shared" si="1"/>
        <v>0</v>
      </c>
      <c r="F19" s="635">
        <f>'1461'!F19:G19</f>
        <v>0.98799999999999999</v>
      </c>
      <c r="G19" s="635"/>
      <c r="H19" s="80">
        <f t="shared" si="2"/>
        <v>0</v>
      </c>
      <c r="I19" s="101">
        <f t="shared" si="3"/>
        <v>0</v>
      </c>
      <c r="J19" s="65" t="str">
        <f>IF(ROUND(E19,2)=ROUND(SUM(E63:E65),2)," ","CHECK 4-8 LINES BELOW")</f>
        <v xml:space="preserve"> </v>
      </c>
      <c r="N19" s="573" t="s">
        <v>25</v>
      </c>
      <c r="O19" s="573"/>
      <c r="P19" s="614">
        <f t="shared" si="0"/>
        <v>0</v>
      </c>
      <c r="Q19" s="614"/>
      <c r="R19" s="619">
        <v>1</v>
      </c>
      <c r="S19" s="619"/>
      <c r="T19" s="95">
        <f t="shared" si="4"/>
        <v>0</v>
      </c>
      <c r="U19" s="473">
        <f t="shared" si="5"/>
        <v>0</v>
      </c>
    </row>
    <row r="20" spans="1:21" x14ac:dyDescent="0.25">
      <c r="A20" s="550" t="s">
        <v>79</v>
      </c>
      <c r="B20" s="550"/>
      <c r="C20" s="143">
        <v>0</v>
      </c>
      <c r="D20" s="143">
        <v>0</v>
      </c>
      <c r="E20" s="116">
        <f t="shared" si="1"/>
        <v>0</v>
      </c>
      <c r="F20" s="635">
        <f>'1461'!F20:G20</f>
        <v>3.706</v>
      </c>
      <c r="G20" s="635"/>
      <c r="H20" s="80">
        <f t="shared" si="2"/>
        <v>0</v>
      </c>
      <c r="I20" s="101">
        <f t="shared" si="3"/>
        <v>0</v>
      </c>
      <c r="N20" s="573" t="s">
        <v>79</v>
      </c>
      <c r="O20" s="573"/>
      <c r="P20" s="614">
        <f t="shared" si="0"/>
        <v>0</v>
      </c>
      <c r="Q20" s="614"/>
      <c r="R20" s="619">
        <v>1</v>
      </c>
      <c r="S20" s="619"/>
      <c r="T20" s="95">
        <f t="shared" si="4"/>
        <v>0</v>
      </c>
      <c r="U20" s="474">
        <f t="shared" si="5"/>
        <v>0</v>
      </c>
    </row>
    <row r="21" spans="1:21" x14ac:dyDescent="0.25">
      <c r="A21" s="550" t="s">
        <v>80</v>
      </c>
      <c r="B21" s="550"/>
      <c r="C21" s="143">
        <v>0</v>
      </c>
      <c r="D21" s="143">
        <v>0</v>
      </c>
      <c r="E21" s="116">
        <f t="shared" si="1"/>
        <v>0</v>
      </c>
      <c r="F21" s="635">
        <f>'1461'!F21:G21</f>
        <v>3.706</v>
      </c>
      <c r="G21" s="635"/>
      <c r="H21" s="80">
        <f t="shared" si="2"/>
        <v>0</v>
      </c>
      <c r="I21" s="101">
        <f t="shared" si="3"/>
        <v>0</v>
      </c>
      <c r="N21" s="573" t="s">
        <v>80</v>
      </c>
      <c r="O21" s="573"/>
      <c r="P21" s="614">
        <f t="shared" si="0"/>
        <v>0</v>
      </c>
      <c r="Q21" s="614"/>
      <c r="R21" s="619">
        <v>1</v>
      </c>
      <c r="S21" s="619"/>
      <c r="T21" s="95">
        <f t="shared" si="4"/>
        <v>0</v>
      </c>
      <c r="U21" s="474">
        <f t="shared" si="5"/>
        <v>0</v>
      </c>
    </row>
    <row r="22" spans="1:21" x14ac:dyDescent="0.25">
      <c r="A22" s="550" t="s">
        <v>81</v>
      </c>
      <c r="B22" s="550"/>
      <c r="C22" s="143">
        <v>0</v>
      </c>
      <c r="D22" s="143">
        <v>0</v>
      </c>
      <c r="E22" s="116">
        <f t="shared" si="1"/>
        <v>0</v>
      </c>
      <c r="F22" s="635">
        <f>'1461'!F22:G22</f>
        <v>3.706</v>
      </c>
      <c r="G22" s="635"/>
      <c r="H22" s="80">
        <f t="shared" si="2"/>
        <v>0</v>
      </c>
      <c r="I22" s="101">
        <f t="shared" si="3"/>
        <v>0</v>
      </c>
      <c r="N22" s="573" t="s">
        <v>81</v>
      </c>
      <c r="O22" s="573"/>
      <c r="P22" s="614">
        <f t="shared" si="0"/>
        <v>0</v>
      </c>
      <c r="Q22" s="614"/>
      <c r="R22" s="619">
        <v>1</v>
      </c>
      <c r="S22" s="619"/>
      <c r="T22" s="95">
        <f t="shared" si="4"/>
        <v>0</v>
      </c>
      <c r="U22" s="474">
        <f t="shared" si="5"/>
        <v>0</v>
      </c>
    </row>
    <row r="23" spans="1:21" x14ac:dyDescent="0.25">
      <c r="A23" s="550" t="s">
        <v>82</v>
      </c>
      <c r="B23" s="550"/>
      <c r="C23" s="143">
        <v>0</v>
      </c>
      <c r="D23" s="143">
        <v>0</v>
      </c>
      <c r="E23" s="116">
        <f t="shared" si="1"/>
        <v>0</v>
      </c>
      <c r="F23" s="635">
        <f>'1461'!F23:G23</f>
        <v>5.7069999999999999</v>
      </c>
      <c r="G23" s="635"/>
      <c r="H23" s="80">
        <f t="shared" si="2"/>
        <v>0</v>
      </c>
      <c r="I23" s="101">
        <f t="shared" si="3"/>
        <v>0</v>
      </c>
      <c r="N23" s="573" t="s">
        <v>82</v>
      </c>
      <c r="O23" s="573"/>
      <c r="P23" s="614">
        <f t="shared" si="0"/>
        <v>0</v>
      </c>
      <c r="Q23" s="614"/>
      <c r="R23" s="619">
        <v>1</v>
      </c>
      <c r="S23" s="619"/>
      <c r="T23" s="95">
        <f t="shared" si="4"/>
        <v>0</v>
      </c>
      <c r="U23" s="474">
        <f t="shared" si="5"/>
        <v>0</v>
      </c>
    </row>
    <row r="24" spans="1:21" x14ac:dyDescent="0.25">
      <c r="A24" s="550" t="s">
        <v>83</v>
      </c>
      <c r="B24" s="550"/>
      <c r="C24" s="143">
        <v>0</v>
      </c>
      <c r="D24" s="143">
        <v>0</v>
      </c>
      <c r="E24" s="116">
        <f t="shared" si="1"/>
        <v>0</v>
      </c>
      <c r="F24" s="635">
        <f>'1461'!F24:G24</f>
        <v>5.7069999999999999</v>
      </c>
      <c r="G24" s="635"/>
      <c r="H24" s="80">
        <f t="shared" si="2"/>
        <v>0</v>
      </c>
      <c r="I24" s="101">
        <f t="shared" si="3"/>
        <v>0</v>
      </c>
      <c r="N24" s="573" t="s">
        <v>83</v>
      </c>
      <c r="O24" s="573"/>
      <c r="P24" s="614">
        <f t="shared" si="0"/>
        <v>0</v>
      </c>
      <c r="Q24" s="614"/>
      <c r="R24" s="619">
        <v>1</v>
      </c>
      <c r="S24" s="619"/>
      <c r="T24" s="95">
        <f t="shared" si="4"/>
        <v>0</v>
      </c>
      <c r="U24" s="474">
        <f t="shared" si="5"/>
        <v>0</v>
      </c>
    </row>
    <row r="25" spans="1:21" x14ac:dyDescent="0.25">
      <c r="A25" s="550" t="s">
        <v>84</v>
      </c>
      <c r="B25" s="550"/>
      <c r="C25" s="143">
        <v>0</v>
      </c>
      <c r="D25" s="143">
        <v>0</v>
      </c>
      <c r="E25" s="116">
        <f t="shared" si="1"/>
        <v>0</v>
      </c>
      <c r="F25" s="635">
        <f>'1461'!F25:G25</f>
        <v>5.7069999999999999</v>
      </c>
      <c r="G25" s="635"/>
      <c r="H25" s="80">
        <f t="shared" si="2"/>
        <v>0</v>
      </c>
      <c r="I25" s="101">
        <f t="shared" si="3"/>
        <v>0</v>
      </c>
      <c r="N25" s="573" t="s">
        <v>84</v>
      </c>
      <c r="O25" s="573"/>
      <c r="P25" s="614">
        <f t="shared" si="0"/>
        <v>0</v>
      </c>
      <c r="Q25" s="614"/>
      <c r="R25" s="619">
        <v>1</v>
      </c>
      <c r="S25" s="619"/>
      <c r="T25" s="95">
        <f t="shared" si="4"/>
        <v>0</v>
      </c>
      <c r="U25" s="474">
        <f t="shared" si="5"/>
        <v>0</v>
      </c>
    </row>
    <row r="26" spans="1:21" x14ac:dyDescent="0.25">
      <c r="A26" s="550" t="s">
        <v>85</v>
      </c>
      <c r="B26" s="550"/>
      <c r="C26" s="143">
        <v>50.57</v>
      </c>
      <c r="D26" s="143">
        <v>52.3</v>
      </c>
      <c r="E26" s="116">
        <f t="shared" si="1"/>
        <v>102.87</v>
      </c>
      <c r="F26" s="635">
        <f>'1461'!F26:G26</f>
        <v>1.208</v>
      </c>
      <c r="G26" s="635"/>
      <c r="H26" s="80">
        <f t="shared" si="2"/>
        <v>124.267</v>
      </c>
      <c r="I26" s="101">
        <f t="shared" si="3"/>
        <v>666929.31999999995</v>
      </c>
      <c r="N26" s="573" t="s">
        <v>85</v>
      </c>
      <c r="O26" s="573"/>
      <c r="P26" s="614">
        <f t="shared" si="0"/>
        <v>0</v>
      </c>
      <c r="Q26" s="614"/>
      <c r="R26" s="619">
        <v>1</v>
      </c>
      <c r="S26" s="619"/>
      <c r="T26" s="95">
        <f t="shared" si="4"/>
        <v>0</v>
      </c>
      <c r="U26" s="474">
        <f t="shared" si="5"/>
        <v>0</v>
      </c>
    </row>
    <row r="27" spans="1:21" x14ac:dyDescent="0.25">
      <c r="A27" s="550" t="s">
        <v>86</v>
      </c>
      <c r="B27" s="550"/>
      <c r="C27" s="143">
        <v>12.54</v>
      </c>
      <c r="D27" s="143">
        <v>12.42</v>
      </c>
      <c r="E27" s="116">
        <f t="shared" si="1"/>
        <v>24.96</v>
      </c>
      <c r="F27" s="635">
        <f>'1461'!F27:G27</f>
        <v>1.208</v>
      </c>
      <c r="G27" s="635"/>
      <c r="H27" s="80">
        <f t="shared" si="2"/>
        <v>30.151700000000002</v>
      </c>
      <c r="I27" s="101">
        <f t="shared" si="3"/>
        <v>161821.34</v>
      </c>
      <c r="N27" s="573" t="s">
        <v>86</v>
      </c>
      <c r="O27" s="573"/>
      <c r="P27" s="614">
        <f t="shared" si="0"/>
        <v>0</v>
      </c>
      <c r="Q27" s="614"/>
      <c r="R27" s="619">
        <v>1</v>
      </c>
      <c r="S27" s="619"/>
      <c r="T27" s="95">
        <f t="shared" si="4"/>
        <v>0</v>
      </c>
      <c r="U27" s="474">
        <f t="shared" si="5"/>
        <v>0</v>
      </c>
    </row>
    <row r="28" spans="1:21" x14ac:dyDescent="0.25">
      <c r="A28" s="550" t="s">
        <v>87</v>
      </c>
      <c r="B28" s="550"/>
      <c r="C28" s="143">
        <v>0</v>
      </c>
      <c r="D28" s="143">
        <v>0</v>
      </c>
      <c r="E28" s="116">
        <f t="shared" si="1"/>
        <v>0</v>
      </c>
      <c r="F28" s="635">
        <f>'1461'!F28:G28</f>
        <v>1.208</v>
      </c>
      <c r="G28" s="635"/>
      <c r="H28" s="80">
        <f t="shared" si="2"/>
        <v>0</v>
      </c>
      <c r="I28" s="101">
        <f t="shared" si="3"/>
        <v>0</v>
      </c>
      <c r="N28" s="573" t="s">
        <v>87</v>
      </c>
      <c r="O28" s="573"/>
      <c r="P28" s="614">
        <f t="shared" si="0"/>
        <v>0</v>
      </c>
      <c r="Q28" s="614"/>
      <c r="R28" s="619">
        <v>1</v>
      </c>
      <c r="S28" s="619"/>
      <c r="T28" s="95">
        <f t="shared" si="4"/>
        <v>0</v>
      </c>
      <c r="U28" s="474">
        <f t="shared" si="5"/>
        <v>0</v>
      </c>
    </row>
    <row r="29" spans="1:21" x14ac:dyDescent="0.25">
      <c r="A29" s="550" t="s">
        <v>88</v>
      </c>
      <c r="B29" s="550"/>
      <c r="C29" s="110">
        <v>0</v>
      </c>
      <c r="D29" s="110">
        <v>0</v>
      </c>
      <c r="E29" s="154">
        <f t="shared" si="1"/>
        <v>0</v>
      </c>
      <c r="F29" s="635">
        <f>'1461'!F29:G29</f>
        <v>1.0720000000000001</v>
      </c>
      <c r="G29" s="635"/>
      <c r="H29" s="93">
        <f t="shared" si="2"/>
        <v>0</v>
      </c>
      <c r="I29" s="94">
        <f t="shared" si="3"/>
        <v>0</v>
      </c>
      <c r="N29" s="588" t="s">
        <v>88</v>
      </c>
      <c r="O29" s="588"/>
      <c r="P29" s="614">
        <f t="shared" si="0"/>
        <v>0</v>
      </c>
      <c r="Q29" s="614"/>
      <c r="R29" s="615">
        <v>1</v>
      </c>
      <c r="S29" s="615"/>
      <c r="T29" s="95">
        <f t="shared" si="4"/>
        <v>0</v>
      </c>
      <c r="U29" s="474">
        <f t="shared" si="5"/>
        <v>0</v>
      </c>
    </row>
    <row r="30" spans="1:21" x14ac:dyDescent="0.25">
      <c r="A30" s="562" t="s">
        <v>5</v>
      </c>
      <c r="B30" s="562"/>
      <c r="C30" s="94">
        <f>SUM(C14:C29)</f>
        <v>295.50000000000006</v>
      </c>
      <c r="D30" s="94">
        <f>SUM(D14:D29)</f>
        <v>293.49</v>
      </c>
      <c r="E30" s="94">
        <f>SUM(E14:E29)</f>
        <v>588.99</v>
      </c>
      <c r="F30" s="554"/>
      <c r="G30" s="554"/>
      <c r="H30" s="99">
        <f>SUM(H14:H29)</f>
        <v>652.98879999999997</v>
      </c>
      <c r="I30" s="94">
        <f>SUM(I14:I29)</f>
        <v>3504529.5599999996</v>
      </c>
      <c r="N30" s="616" t="s">
        <v>5</v>
      </c>
      <c r="O30" s="616"/>
      <c r="P30" s="617">
        <f>SUM(P14:P29)</f>
        <v>0</v>
      </c>
      <c r="Q30" s="617"/>
      <c r="R30" s="589"/>
      <c r="S30" s="58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42" t="s">
        <v>233</v>
      </c>
      <c r="G34" s="642"/>
      <c r="H34" s="642"/>
      <c r="I34" s="101"/>
      <c r="N34" s="28"/>
      <c r="O34" s="28"/>
      <c r="P34" s="29"/>
      <c r="Q34" s="29"/>
      <c r="R34" s="30"/>
      <c r="S34" s="30"/>
      <c r="T34" s="102"/>
      <c r="U34" s="103"/>
    </row>
    <row r="35" spans="1:21" hidden="1" x14ac:dyDescent="0.25">
      <c r="A35" s="3"/>
      <c r="B35" s="69"/>
      <c r="C35" s="69"/>
      <c r="D35" s="69"/>
      <c r="E35" s="69"/>
      <c r="F35" s="642"/>
      <c r="G35" s="642"/>
      <c r="H35" s="642"/>
      <c r="I35" s="24" t="s">
        <v>61</v>
      </c>
      <c r="N35" s="599" t="s">
        <v>26</v>
      </c>
      <c r="O35" s="599"/>
      <c r="P35" s="599"/>
      <c r="Q35" s="599"/>
      <c r="R35" s="599"/>
      <c r="S35" s="599"/>
      <c r="T35" s="599"/>
      <c r="U35" s="25" t="str">
        <f>I35</f>
        <v>2015-16</v>
      </c>
    </row>
    <row r="36" spans="1:21" hidden="1" x14ac:dyDescent="0.25">
      <c r="A36" s="26"/>
      <c r="B36" s="26"/>
      <c r="C36" s="88" t="s">
        <v>93</v>
      </c>
      <c r="D36" s="88" t="s">
        <v>94</v>
      </c>
      <c r="E36" s="89" t="s">
        <v>8</v>
      </c>
      <c r="F36" s="642"/>
      <c r="G36" s="642"/>
      <c r="H36" s="642"/>
      <c r="I36" s="24" t="s">
        <v>27</v>
      </c>
      <c r="N36" s="28"/>
      <c r="O36" s="28"/>
      <c r="P36" s="29"/>
      <c r="Q36" s="29"/>
      <c r="R36" s="30"/>
      <c r="S36" s="30"/>
      <c r="T36" s="102"/>
      <c r="U36" s="25" t="s">
        <v>27</v>
      </c>
    </row>
    <row r="37" spans="1:21" ht="26.25" hidden="1" x14ac:dyDescent="0.25">
      <c r="A37" s="544" t="s">
        <v>50</v>
      </c>
      <c r="B37" s="544"/>
      <c r="C37" s="90" t="s">
        <v>2</v>
      </c>
      <c r="D37" s="90" t="s">
        <v>2</v>
      </c>
      <c r="E37" s="90" t="s">
        <v>2</v>
      </c>
      <c r="F37" s="643"/>
      <c r="G37" s="643"/>
      <c r="H37" s="643"/>
      <c r="I37" s="31" t="s">
        <v>390</v>
      </c>
      <c r="N37" s="611" t="s">
        <v>50</v>
      </c>
      <c r="O37" s="611"/>
      <c r="P37" s="612" t="s">
        <v>19</v>
      </c>
      <c r="Q37" s="612"/>
      <c r="R37" s="612"/>
      <c r="S37" s="612"/>
      <c r="T37" s="612"/>
      <c r="U37" s="19" t="str">
        <f>I37</f>
        <v>(WFTE x BSA x CWF x SDF)</v>
      </c>
    </row>
    <row r="38" spans="1:21" hidden="1" x14ac:dyDescent="0.25">
      <c r="A38" s="548" t="s">
        <v>45</v>
      </c>
      <c r="B38" s="548"/>
      <c r="C38" s="147">
        <v>0</v>
      </c>
      <c r="D38" s="147">
        <v>0</v>
      </c>
      <c r="E38" s="187">
        <f t="shared" ref="E38:E43" si="6">IF(D$44=0,C38*2,C38+D38)</f>
        <v>0</v>
      </c>
      <c r="F38" s="148"/>
      <c r="G38" s="148"/>
      <c r="H38" s="148"/>
      <c r="I38" s="111">
        <f>ROUND(ROUND(ROUND(E38*$C$8,4)*($H$8),2)*(MAX($H$9,1)),2)</f>
        <v>0</v>
      </c>
      <c r="N38" s="613" t="s">
        <v>45</v>
      </c>
      <c r="O38" s="613"/>
      <c r="P38" s="580">
        <f t="shared" ref="P38:P43" si="7">IF($H$133=1,E38,0)</f>
        <v>0</v>
      </c>
      <c r="Q38" s="580"/>
      <c r="R38" s="580"/>
      <c r="S38" s="580"/>
      <c r="T38" s="580"/>
      <c r="U38" s="98">
        <f>ROUND(ROUND(ROUND(P38*$C$8,4)*($H$8),2)*(MAX($H$9,1)),2)</f>
        <v>0</v>
      </c>
    </row>
    <row r="39" spans="1:21" hidden="1" x14ac:dyDescent="0.25">
      <c r="A39" s="550" t="s">
        <v>46</v>
      </c>
      <c r="B39" s="550"/>
      <c r="C39" s="150">
        <v>0</v>
      </c>
      <c r="D39" s="150">
        <v>0</v>
      </c>
      <c r="E39" s="116">
        <f t="shared" si="6"/>
        <v>0</v>
      </c>
      <c r="F39" s="151"/>
      <c r="G39" s="151"/>
      <c r="H39" s="151"/>
      <c r="I39" s="101">
        <f t="shared" ref="I39:I43" si="8">ROUND(ROUND(ROUND(E39*$C$8,4)*($H$8),2)*(MAX($H$9,1)),2)</f>
        <v>0</v>
      </c>
      <c r="N39" s="573" t="s">
        <v>46</v>
      </c>
      <c r="O39" s="573"/>
      <c r="P39" s="580">
        <f t="shared" si="7"/>
        <v>0</v>
      </c>
      <c r="Q39" s="580"/>
      <c r="R39" s="580"/>
      <c r="S39" s="580"/>
      <c r="T39" s="580"/>
      <c r="U39" s="98">
        <f t="shared" ref="U39:U43" si="9">ROUND(ROUND(ROUND(P39*$C$8,4)*($H$8),2)*(MAX($H$9,1)),2)</f>
        <v>0</v>
      </c>
    </row>
    <row r="40" spans="1:21" hidden="1" x14ac:dyDescent="0.25">
      <c r="A40" s="555" t="s">
        <v>47</v>
      </c>
      <c r="B40" s="555"/>
      <c r="C40" s="150">
        <v>0</v>
      </c>
      <c r="D40" s="150">
        <v>0</v>
      </c>
      <c r="E40" s="116">
        <f t="shared" si="6"/>
        <v>0</v>
      </c>
      <c r="F40" s="151"/>
      <c r="G40" s="151"/>
      <c r="H40" s="151"/>
      <c r="I40" s="101">
        <f t="shared" si="8"/>
        <v>0</v>
      </c>
      <c r="N40" s="618" t="s">
        <v>47</v>
      </c>
      <c r="O40" s="618"/>
      <c r="P40" s="580">
        <f t="shared" si="7"/>
        <v>0</v>
      </c>
      <c r="Q40" s="580"/>
      <c r="R40" s="580"/>
      <c r="S40" s="580"/>
      <c r="T40" s="580"/>
      <c r="U40" s="98">
        <f t="shared" si="9"/>
        <v>0</v>
      </c>
    </row>
    <row r="41" spans="1:21" hidden="1" x14ac:dyDescent="0.25">
      <c r="A41" s="550" t="s">
        <v>48</v>
      </c>
      <c r="B41" s="550"/>
      <c r="C41" s="150">
        <v>0</v>
      </c>
      <c r="D41" s="150">
        <v>0</v>
      </c>
      <c r="E41" s="116">
        <f t="shared" si="6"/>
        <v>0</v>
      </c>
      <c r="F41" s="151"/>
      <c r="G41" s="151"/>
      <c r="H41" s="151"/>
      <c r="I41" s="101">
        <f t="shared" si="8"/>
        <v>0</v>
      </c>
      <c r="N41" s="573" t="s">
        <v>48</v>
      </c>
      <c r="O41" s="573"/>
      <c r="P41" s="580">
        <f t="shared" si="7"/>
        <v>0</v>
      </c>
      <c r="Q41" s="580"/>
      <c r="R41" s="580"/>
      <c r="S41" s="580"/>
      <c r="T41" s="580"/>
      <c r="U41" s="98">
        <f t="shared" si="9"/>
        <v>0</v>
      </c>
    </row>
    <row r="42" spans="1:21" hidden="1" x14ac:dyDescent="0.25">
      <c r="A42" s="550" t="s">
        <v>49</v>
      </c>
      <c r="B42" s="550"/>
      <c r="C42" s="150">
        <v>0</v>
      </c>
      <c r="D42" s="150">
        <v>0</v>
      </c>
      <c r="E42" s="116">
        <f t="shared" si="6"/>
        <v>0</v>
      </c>
      <c r="F42" s="151"/>
      <c r="G42" s="151"/>
      <c r="H42" s="151"/>
      <c r="I42" s="101">
        <f t="shared" si="8"/>
        <v>0</v>
      </c>
      <c r="N42" s="573" t="s">
        <v>49</v>
      </c>
      <c r="O42" s="573"/>
      <c r="P42" s="580">
        <f t="shared" si="7"/>
        <v>0</v>
      </c>
      <c r="Q42" s="580"/>
      <c r="R42" s="580"/>
      <c r="S42" s="580"/>
      <c r="T42" s="580"/>
      <c r="U42" s="98">
        <f t="shared" si="9"/>
        <v>0</v>
      </c>
    </row>
    <row r="43" spans="1:21" hidden="1" x14ac:dyDescent="0.25">
      <c r="A43" s="550" t="s">
        <v>41</v>
      </c>
      <c r="B43" s="550"/>
      <c r="C43" s="149">
        <v>0</v>
      </c>
      <c r="D43" s="149">
        <v>0</v>
      </c>
      <c r="E43" s="154">
        <f t="shared" si="6"/>
        <v>0</v>
      </c>
      <c r="F43" s="151"/>
      <c r="G43" s="151"/>
      <c r="H43" s="151"/>
      <c r="I43" s="94">
        <f t="shared" si="8"/>
        <v>0</v>
      </c>
      <c r="N43" s="588" t="s">
        <v>41</v>
      </c>
      <c r="O43" s="588"/>
      <c r="P43" s="580">
        <f t="shared" si="7"/>
        <v>0</v>
      </c>
      <c r="Q43" s="580"/>
      <c r="R43" s="580"/>
      <c r="S43" s="580"/>
      <c r="T43" s="58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75" t="s">
        <v>43</v>
      </c>
      <c r="O44" s="575"/>
      <c r="P44" s="575"/>
      <c r="Q44" s="575"/>
      <c r="R44" s="33">
        <f>SUM(P38:R43)</f>
        <v>0</v>
      </c>
      <c r="S44" s="589" t="s">
        <v>51</v>
      </c>
      <c r="T44" s="58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652.98879999999997</v>
      </c>
      <c r="F46" s="34"/>
      <c r="G46" s="106"/>
      <c r="H46" s="107" t="s">
        <v>98</v>
      </c>
      <c r="I46" s="94">
        <f>SUM(I44,I30)</f>
        <v>3504529.5599999996</v>
      </c>
      <c r="N46" s="575" t="s">
        <v>44</v>
      </c>
      <c r="O46" s="575"/>
      <c r="P46" s="575"/>
      <c r="Q46" s="575"/>
      <c r="R46" s="35">
        <f>R44+T30</f>
        <v>0</v>
      </c>
      <c r="S46" s="589" t="s">
        <v>42</v>
      </c>
      <c r="T46" s="58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391</v>
      </c>
      <c r="B48" s="26"/>
      <c r="C48" s="26"/>
      <c r="D48" s="26"/>
      <c r="E48" s="26"/>
      <c r="F48" s="34"/>
      <c r="G48" s="27"/>
      <c r="H48" s="27"/>
      <c r="I48" s="101"/>
      <c r="N48" s="384" t="s">
        <v>391</v>
      </c>
      <c r="O48" s="28"/>
      <c r="P48" s="28"/>
      <c r="Q48" s="28"/>
      <c r="R48" s="35"/>
      <c r="S48" s="30"/>
      <c r="T48" s="30"/>
      <c r="U48" s="403"/>
    </row>
    <row r="49" spans="1:22" s="392" customFormat="1" ht="9" customHeight="1" x14ac:dyDescent="0.2">
      <c r="A49" s="482" t="s">
        <v>392</v>
      </c>
      <c r="F49" s="393"/>
      <c r="G49" s="394"/>
      <c r="H49" s="394"/>
      <c r="I49" s="395"/>
      <c r="N49" s="404" t="s">
        <v>392</v>
      </c>
      <c r="O49" s="396"/>
      <c r="P49" s="396"/>
      <c r="Q49" s="396"/>
      <c r="R49" s="397"/>
      <c r="S49" s="398"/>
      <c r="T49" s="398"/>
      <c r="U49" s="405"/>
    </row>
    <row r="50" spans="1:22" s="392" customFormat="1" ht="11.25" customHeight="1" x14ac:dyDescent="0.2">
      <c r="A50" s="484" t="s">
        <v>393</v>
      </c>
      <c r="F50" s="393"/>
      <c r="G50" s="394"/>
      <c r="H50" s="394"/>
      <c r="I50" s="395"/>
      <c r="N50" s="406" t="s">
        <v>393</v>
      </c>
      <c r="O50" s="396"/>
      <c r="P50" s="396"/>
      <c r="Q50" s="396"/>
      <c r="R50" s="397"/>
      <c r="S50" s="398"/>
      <c r="T50" s="398"/>
      <c r="U50" s="405"/>
    </row>
    <row r="51" spans="1:22" x14ac:dyDescent="0.25">
      <c r="A51" s="390"/>
      <c r="B51" s="400" t="s">
        <v>394</v>
      </c>
      <c r="C51" s="26"/>
      <c r="D51" s="26"/>
      <c r="E51" s="43" t="s">
        <v>395</v>
      </c>
      <c r="F51" s="401">
        <f>I46</f>
        <v>3504529.5599999996</v>
      </c>
      <c r="G51" s="109" t="s">
        <v>6</v>
      </c>
      <c r="H51" s="402">
        <v>4.5199999999999997E-2</v>
      </c>
      <c r="I51" s="101">
        <f>ROUND(F51*H51,2)</f>
        <v>158404.74</v>
      </c>
      <c r="N51" s="407"/>
      <c r="O51" s="408" t="s">
        <v>394</v>
      </c>
      <c r="P51" s="28"/>
      <c r="Q51" s="44" t="s">
        <v>395</v>
      </c>
      <c r="R51" s="409">
        <f>U30</f>
        <v>0</v>
      </c>
      <c r="S51" s="410" t="s">
        <v>6</v>
      </c>
      <c r="T51" s="411">
        <v>4.5199999999999997E-2</v>
      </c>
      <c r="U51" s="403">
        <f>ROUND(R51*T51,2)</f>
        <v>0</v>
      </c>
    </row>
    <row r="52" spans="1:22" x14ac:dyDescent="0.25">
      <c r="A52" s="26"/>
      <c r="B52" s="81" t="s">
        <v>396</v>
      </c>
      <c r="C52" s="26"/>
      <c r="D52" s="26"/>
      <c r="E52" s="43" t="s">
        <v>395</v>
      </c>
      <c r="F52" s="401">
        <f>I46</f>
        <v>3504529.5599999996</v>
      </c>
      <c r="G52" s="109" t="s">
        <v>6</v>
      </c>
      <c r="H52" s="402">
        <v>1.41E-2</v>
      </c>
      <c r="I52" s="101">
        <f>ROUND(F52*H52,2)</f>
        <v>49413.87</v>
      </c>
      <c r="N52" s="28"/>
      <c r="O52" s="384" t="s">
        <v>396</v>
      </c>
      <c r="P52" s="28"/>
      <c r="Q52" s="44" t="s">
        <v>395</v>
      </c>
      <c r="R52" s="409">
        <f>U30</f>
        <v>0</v>
      </c>
      <c r="S52" s="410" t="s">
        <v>6</v>
      </c>
      <c r="T52" s="411">
        <v>1.41E-2</v>
      </c>
      <c r="U52" s="412">
        <f>ROUND(R52*T52,2)</f>
        <v>0</v>
      </c>
    </row>
    <row r="53" spans="1:22" x14ac:dyDescent="0.25">
      <c r="A53" s="26"/>
      <c r="B53" s="81" t="s">
        <v>397</v>
      </c>
      <c r="C53" s="26"/>
      <c r="D53" s="26"/>
      <c r="E53" s="43"/>
      <c r="F53" s="401"/>
      <c r="G53" s="109"/>
      <c r="H53" s="402"/>
      <c r="I53" s="97">
        <f>SUM(I51:I52)</f>
        <v>207818.61</v>
      </c>
      <c r="N53" s="28"/>
      <c r="O53" s="384" t="s">
        <v>397</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435</v>
      </c>
      <c r="G55" s="109" t="s">
        <v>436</v>
      </c>
      <c r="H55" s="455" t="s">
        <v>437</v>
      </c>
      <c r="I55" s="101"/>
      <c r="N55" s="449"/>
      <c r="O55" s="449"/>
      <c r="P55" s="465"/>
      <c r="Q55" s="466"/>
      <c r="R55" s="467"/>
      <c r="S55" s="469" t="s">
        <v>436</v>
      </c>
      <c r="T55" s="470" t="s">
        <v>437</v>
      </c>
      <c r="U55" s="468"/>
      <c r="V55" s="425"/>
    </row>
    <row r="56" spans="1:22" x14ac:dyDescent="0.25">
      <c r="A56" s="36" t="s">
        <v>438</v>
      </c>
      <c r="B56" s="36"/>
      <c r="C56" s="325" t="str">
        <f>'1461'!C56</f>
        <v>FTE</v>
      </c>
      <c r="D56" s="325" t="str">
        <f>'1461'!D56</f>
        <v>FTE</v>
      </c>
      <c r="E56" s="90" t="s">
        <v>2</v>
      </c>
      <c r="F56" s="440" t="s">
        <v>439</v>
      </c>
      <c r="G56" s="442" t="s">
        <v>439</v>
      </c>
      <c r="H56" s="456" t="s">
        <v>440</v>
      </c>
      <c r="I56" s="36"/>
      <c r="N56" s="460" t="s">
        <v>438</v>
      </c>
      <c r="O56" s="460"/>
      <c r="P56" s="592" t="s">
        <v>2</v>
      </c>
      <c r="Q56" s="592"/>
      <c r="R56" s="460" t="s">
        <v>444</v>
      </c>
      <c r="S56" s="451" t="s">
        <v>439</v>
      </c>
      <c r="T56" s="471" t="s">
        <v>440</v>
      </c>
      <c r="U56" s="460"/>
      <c r="V56" s="459"/>
    </row>
    <row r="57" spans="1:22" x14ac:dyDescent="0.25">
      <c r="A57" s="560" t="s">
        <v>442</v>
      </c>
      <c r="B57" s="560"/>
      <c r="C57" s="143">
        <v>18.5</v>
      </c>
      <c r="D57" s="143">
        <v>20.77</v>
      </c>
      <c r="E57" s="116">
        <f>IF(D$66=0,C57*2,C57+D57)</f>
        <v>39.269999999999996</v>
      </c>
      <c r="F57" s="444" t="s">
        <v>434</v>
      </c>
      <c r="G57" s="444">
        <v>251</v>
      </c>
      <c r="H57" s="458">
        <f>'1461'!H57</f>
        <v>1047</v>
      </c>
      <c r="I57" s="101">
        <f>ROUND(E57*H57,2)</f>
        <v>41115.69</v>
      </c>
      <c r="N57" s="590" t="s">
        <v>442</v>
      </c>
      <c r="O57" s="590"/>
      <c r="P57" s="593"/>
      <c r="Q57" s="593"/>
      <c r="R57" s="450" t="s">
        <v>434</v>
      </c>
      <c r="S57" s="450">
        <v>251</v>
      </c>
      <c r="T57" s="461">
        <f>H57</f>
        <v>1047</v>
      </c>
      <c r="U57" s="475">
        <f>ROUND(P57*T57,2)</f>
        <v>0</v>
      </c>
      <c r="V57" s="425"/>
    </row>
    <row r="58" spans="1:22" x14ac:dyDescent="0.25">
      <c r="A58" s="561"/>
      <c r="B58" s="561"/>
      <c r="C58" s="143">
        <v>2</v>
      </c>
      <c r="D58" s="143">
        <v>2.2400000000000002</v>
      </c>
      <c r="E58" s="116">
        <f>IF(D$66=0,C58*2,C58+D58)</f>
        <v>4.24</v>
      </c>
      <c r="F58" s="444" t="s">
        <v>434</v>
      </c>
      <c r="G58" s="444">
        <v>252</v>
      </c>
      <c r="H58" s="458">
        <f>'1461'!H58</f>
        <v>3380</v>
      </c>
      <c r="I58" s="101">
        <f t="shared" ref="I58:I65" si="10">ROUND(E58*H58,2)</f>
        <v>14331.2</v>
      </c>
      <c r="N58" s="591"/>
      <c r="O58" s="591"/>
      <c r="P58" s="594"/>
      <c r="Q58" s="594"/>
      <c r="R58" s="450" t="s">
        <v>434</v>
      </c>
      <c r="S58" s="450">
        <v>252</v>
      </c>
      <c r="T58" s="461">
        <f t="shared" ref="T58:T65" si="11">H58</f>
        <v>3380</v>
      </c>
      <c r="U58" s="475">
        <f t="shared" ref="U58:U65" si="12">ROUND(P58*T58,2)</f>
        <v>0</v>
      </c>
      <c r="V58" s="425"/>
    </row>
    <row r="59" spans="1:22" x14ac:dyDescent="0.25">
      <c r="A59" s="561"/>
      <c r="B59" s="561"/>
      <c r="C59" s="143">
        <v>0</v>
      </c>
      <c r="D59" s="143">
        <v>0</v>
      </c>
      <c r="E59" s="116">
        <f>IF(D$66=0,C59*2,C59+D59)</f>
        <v>0</v>
      </c>
      <c r="F59" s="444" t="s">
        <v>434</v>
      </c>
      <c r="G59" s="444">
        <v>253</v>
      </c>
      <c r="H59" s="458">
        <f>'1461'!H59</f>
        <v>6896</v>
      </c>
      <c r="I59" s="101">
        <f t="shared" si="10"/>
        <v>0</v>
      </c>
      <c r="N59" s="591"/>
      <c r="O59" s="591"/>
      <c r="P59" s="594"/>
      <c r="Q59" s="594"/>
      <c r="R59" s="450" t="s">
        <v>434</v>
      </c>
      <c r="S59" s="450">
        <v>253</v>
      </c>
      <c r="T59" s="461">
        <f t="shared" si="11"/>
        <v>6896</v>
      </c>
      <c r="U59" s="475">
        <f t="shared" si="12"/>
        <v>0</v>
      </c>
      <c r="V59" s="425"/>
    </row>
    <row r="60" spans="1:22" x14ac:dyDescent="0.25">
      <c r="A60" s="561"/>
      <c r="B60" s="561"/>
      <c r="C60" s="143">
        <v>19</v>
      </c>
      <c r="D60" s="143">
        <v>18.04</v>
      </c>
      <c r="E60" s="116">
        <f>IF(D$66=0,C60*2,C60+D60)</f>
        <v>37.04</v>
      </c>
      <c r="F60" s="445" t="s">
        <v>13</v>
      </c>
      <c r="G60" s="444">
        <v>251</v>
      </c>
      <c r="H60" s="458">
        <f>'1461'!H60</f>
        <v>1173</v>
      </c>
      <c r="I60" s="101">
        <f t="shared" si="10"/>
        <v>43447.92</v>
      </c>
      <c r="N60" s="591"/>
      <c r="O60" s="591"/>
      <c r="P60" s="594"/>
      <c r="Q60" s="594"/>
      <c r="R60" s="40" t="s">
        <v>13</v>
      </c>
      <c r="S60" s="450">
        <v>251</v>
      </c>
      <c r="T60" s="461">
        <f t="shared" si="11"/>
        <v>1173</v>
      </c>
      <c r="U60" s="475">
        <f t="shared" si="12"/>
        <v>0</v>
      </c>
      <c r="V60" s="425"/>
    </row>
    <row r="61" spans="1:22" x14ac:dyDescent="0.25">
      <c r="A61" s="561"/>
      <c r="B61" s="561"/>
      <c r="C61" s="143">
        <v>1</v>
      </c>
      <c r="D61" s="143">
        <v>0.95</v>
      </c>
      <c r="E61" s="116">
        <f>IF(D$66=0,C61*2,C61+D61)</f>
        <v>1.95</v>
      </c>
      <c r="F61" s="445" t="s">
        <v>13</v>
      </c>
      <c r="G61" s="444">
        <v>252</v>
      </c>
      <c r="H61" s="458">
        <f>'1461'!H61</f>
        <v>3506</v>
      </c>
      <c r="I61" s="101">
        <f t="shared" si="10"/>
        <v>6836.7</v>
      </c>
      <c r="N61" s="591"/>
      <c r="O61" s="591"/>
      <c r="P61" s="594"/>
      <c r="Q61" s="594"/>
      <c r="R61" s="40" t="s">
        <v>13</v>
      </c>
      <c r="S61" s="450">
        <v>252</v>
      </c>
      <c r="T61" s="461">
        <f t="shared" si="11"/>
        <v>3506</v>
      </c>
      <c r="U61" s="475">
        <f t="shared" si="12"/>
        <v>0</v>
      </c>
      <c r="V61" s="425"/>
    </row>
    <row r="62" spans="1:22" x14ac:dyDescent="0.25">
      <c r="A62" s="561"/>
      <c r="B62" s="561"/>
      <c r="C62" s="143">
        <v>0</v>
      </c>
      <c r="D62" s="143">
        <v>0</v>
      </c>
      <c r="E62" s="116">
        <f t="shared" ref="E62:E65" si="13">IF(D$72=0,C62*2,C62+D62)</f>
        <v>0</v>
      </c>
      <c r="F62" s="445" t="s">
        <v>13</v>
      </c>
      <c r="G62" s="444">
        <v>253</v>
      </c>
      <c r="H62" s="458">
        <f>'1461'!H62</f>
        <v>7023</v>
      </c>
      <c r="I62" s="101">
        <f t="shared" si="10"/>
        <v>0</v>
      </c>
      <c r="N62" s="591"/>
      <c r="O62" s="591"/>
      <c r="P62" s="594"/>
      <c r="Q62" s="594"/>
      <c r="R62" s="40" t="s">
        <v>13</v>
      </c>
      <c r="S62" s="450">
        <v>253</v>
      </c>
      <c r="T62" s="461">
        <f t="shared" si="11"/>
        <v>7023</v>
      </c>
      <c r="U62" s="475">
        <f t="shared" si="12"/>
        <v>0</v>
      </c>
      <c r="V62" s="425"/>
    </row>
    <row r="63" spans="1:22" x14ac:dyDescent="0.25">
      <c r="A63" s="561"/>
      <c r="B63" s="561"/>
      <c r="C63" s="143">
        <v>0</v>
      </c>
      <c r="D63" s="143">
        <v>0</v>
      </c>
      <c r="E63" s="116">
        <f t="shared" si="13"/>
        <v>0</v>
      </c>
      <c r="F63" s="445" t="s">
        <v>14</v>
      </c>
      <c r="G63" s="444">
        <v>251</v>
      </c>
      <c r="H63" s="458">
        <f>'1461'!H63</f>
        <v>835</v>
      </c>
      <c r="I63" s="101">
        <f t="shared" si="10"/>
        <v>0</v>
      </c>
      <c r="N63" s="591"/>
      <c r="O63" s="591"/>
      <c r="P63" s="594"/>
      <c r="Q63" s="594"/>
      <c r="R63" s="40" t="s">
        <v>14</v>
      </c>
      <c r="S63" s="450">
        <v>251</v>
      </c>
      <c r="T63" s="461">
        <f t="shared" si="11"/>
        <v>835</v>
      </c>
      <c r="U63" s="475">
        <f t="shared" si="12"/>
        <v>0</v>
      </c>
      <c r="V63" s="425"/>
    </row>
    <row r="64" spans="1:22" x14ac:dyDescent="0.25">
      <c r="A64" s="561"/>
      <c r="B64" s="561"/>
      <c r="C64" s="143">
        <v>0</v>
      </c>
      <c r="D64" s="143">
        <v>0</v>
      </c>
      <c r="E64" s="116">
        <f t="shared" si="13"/>
        <v>0</v>
      </c>
      <c r="F64" s="445" t="s">
        <v>14</v>
      </c>
      <c r="G64" s="444">
        <v>252</v>
      </c>
      <c r="H64" s="458">
        <f>'1461'!H64</f>
        <v>3168</v>
      </c>
      <c r="I64" s="101">
        <f t="shared" si="10"/>
        <v>0</v>
      </c>
      <c r="N64" s="591"/>
      <c r="O64" s="591"/>
      <c r="P64" s="594"/>
      <c r="Q64" s="594"/>
      <c r="R64" s="40" t="s">
        <v>14</v>
      </c>
      <c r="S64" s="450">
        <v>252</v>
      </c>
      <c r="T64" s="461">
        <f t="shared" si="11"/>
        <v>3168</v>
      </c>
      <c r="U64" s="475">
        <f t="shared" si="12"/>
        <v>0</v>
      </c>
      <c r="V64" s="425"/>
    </row>
    <row r="65" spans="1:22" ht="16.5" thickBot="1" x14ac:dyDescent="0.3">
      <c r="A65" s="561"/>
      <c r="B65" s="561"/>
      <c r="C65" s="143">
        <v>0</v>
      </c>
      <c r="D65" s="143">
        <v>0</v>
      </c>
      <c r="E65" s="116">
        <f t="shared" si="13"/>
        <v>0</v>
      </c>
      <c r="F65" s="445" t="s">
        <v>14</v>
      </c>
      <c r="G65" s="444">
        <v>253</v>
      </c>
      <c r="H65" s="458">
        <f>'1461'!H65</f>
        <v>6685</v>
      </c>
      <c r="I65" s="101">
        <f t="shared" si="10"/>
        <v>0</v>
      </c>
      <c r="N65" s="591"/>
      <c r="O65" s="591"/>
      <c r="P65" s="595"/>
      <c r="Q65" s="595"/>
      <c r="R65" s="40" t="s">
        <v>14</v>
      </c>
      <c r="S65" s="450">
        <v>253</v>
      </c>
      <c r="T65" s="461">
        <f t="shared" si="11"/>
        <v>6685</v>
      </c>
      <c r="U65" s="476">
        <f t="shared" si="12"/>
        <v>0</v>
      </c>
      <c r="V65" s="425"/>
    </row>
    <row r="66" spans="1:22" ht="16.5" thickBot="1" x14ac:dyDescent="0.3">
      <c r="A66" s="441"/>
      <c r="C66" s="97">
        <f>SUM(C57:C65)</f>
        <v>40.5</v>
      </c>
      <c r="D66" s="97">
        <f>SUM(D57:D65)</f>
        <v>42</v>
      </c>
      <c r="E66" s="97">
        <f>SUM(E57:E65)</f>
        <v>82.5</v>
      </c>
      <c r="F66" s="562" t="s">
        <v>443</v>
      </c>
      <c r="G66" s="562"/>
      <c r="H66" s="562"/>
      <c r="I66" s="97">
        <f>SUM(I57:I65)</f>
        <v>105731.51</v>
      </c>
      <c r="N66" s="447"/>
      <c r="O66" s="51"/>
      <c r="P66" s="574">
        <f>SUM(P57:P65)</f>
        <v>0</v>
      </c>
      <c r="Q66" s="574"/>
      <c r="R66" s="575" t="s">
        <v>443</v>
      </c>
      <c r="S66" s="575"/>
      <c r="T66" s="575"/>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445</v>
      </c>
      <c r="N68" s="454" t="s">
        <v>453</v>
      </c>
      <c r="O68" s="51"/>
      <c r="P68" s="51"/>
      <c r="Q68" s="51"/>
      <c r="R68" s="51"/>
      <c r="S68" s="51"/>
      <c r="T68" s="51"/>
      <c r="U68" s="51"/>
    </row>
    <row r="69" spans="1:22" x14ac:dyDescent="0.25">
      <c r="A69" s="556" t="s">
        <v>398</v>
      </c>
      <c r="B69" s="550"/>
      <c r="C69" s="112">
        <f>E30</f>
        <v>588.99</v>
      </c>
      <c r="D69" s="537" t="s">
        <v>409</v>
      </c>
      <c r="E69" s="537"/>
      <c r="F69" s="537"/>
      <c r="G69" s="537"/>
      <c r="H69" s="301">
        <f>'1461'!H69</f>
        <v>201799.89</v>
      </c>
      <c r="I69" s="113"/>
      <c r="N69" s="572" t="s">
        <v>402</v>
      </c>
      <c r="O69" s="573"/>
      <c r="P69" s="41">
        <f>P30</f>
        <v>0</v>
      </c>
      <c r="Q69" s="578" t="s">
        <v>404</v>
      </c>
      <c r="R69" s="579"/>
      <c r="S69" s="579"/>
      <c r="T69" s="576">
        <f>H69</f>
        <v>201799.89</v>
      </c>
      <c r="U69" s="576"/>
    </row>
    <row r="70" spans="1:22" x14ac:dyDescent="0.25">
      <c r="B70" s="69"/>
      <c r="G70" s="42" t="s">
        <v>12</v>
      </c>
      <c r="H70" s="114">
        <f>ROUND(C69/H69,6)</f>
        <v>2.9190000000000002E-3</v>
      </c>
      <c r="I70" s="115"/>
      <c r="N70" s="573"/>
      <c r="O70" s="573"/>
      <c r="P70" s="573"/>
      <c r="Q70" s="573"/>
      <c r="R70" s="573"/>
      <c r="S70" s="573"/>
      <c r="T70" s="577">
        <f>ROUND(P69/T69,6)</f>
        <v>0</v>
      </c>
      <c r="U70" s="577"/>
    </row>
    <row r="71" spans="1:22" x14ac:dyDescent="0.25">
      <c r="A71" s="443" t="s">
        <v>446</v>
      </c>
      <c r="N71" s="454" t="s">
        <v>454</v>
      </c>
      <c r="O71" s="51"/>
      <c r="P71" s="51"/>
      <c r="Q71" s="51"/>
      <c r="R71" s="51"/>
      <c r="S71" s="51"/>
      <c r="T71" s="51"/>
      <c r="U71" s="51"/>
    </row>
    <row r="72" spans="1:22" x14ac:dyDescent="0.25">
      <c r="A72" s="556" t="s">
        <v>399</v>
      </c>
      <c r="B72" s="550"/>
      <c r="C72" s="112">
        <f>H30</f>
        <v>652.98879999999997</v>
      </c>
      <c r="D72" s="537" t="s">
        <v>410</v>
      </c>
      <c r="E72" s="537"/>
      <c r="F72" s="537"/>
      <c r="G72" s="537"/>
      <c r="H72" s="302">
        <f>'1461'!H72</f>
        <v>227090.59</v>
      </c>
      <c r="I72" s="116"/>
      <c r="N72" s="572" t="s">
        <v>403</v>
      </c>
      <c r="O72" s="573"/>
      <c r="P72" s="41">
        <f>T30</f>
        <v>0</v>
      </c>
      <c r="Q72" s="578" t="s">
        <v>405</v>
      </c>
      <c r="R72" s="579"/>
      <c r="S72" s="579"/>
      <c r="T72" s="576">
        <f>H72</f>
        <v>227090.59</v>
      </c>
      <c r="U72" s="576"/>
    </row>
    <row r="73" spans="1:22" x14ac:dyDescent="0.25">
      <c r="G73" s="42" t="s">
        <v>12</v>
      </c>
      <c r="H73" s="114">
        <f>ROUND(C72/H72,6)</f>
        <v>2.875E-3</v>
      </c>
      <c r="I73" s="114"/>
      <c r="N73" s="573"/>
      <c r="O73" s="573"/>
      <c r="P73" s="573"/>
      <c r="Q73" s="573"/>
      <c r="R73" s="573"/>
      <c r="S73" s="573"/>
      <c r="T73" s="577">
        <f>ROUND(P72/T72,6)</f>
        <v>0</v>
      </c>
      <c r="U73" s="577"/>
    </row>
    <row r="74" spans="1:22" x14ac:dyDescent="0.25">
      <c r="A74" s="418" t="s">
        <v>447</v>
      </c>
      <c r="B74" s="415"/>
      <c r="C74" s="415"/>
      <c r="D74" s="415"/>
      <c r="E74" s="415"/>
      <c r="F74" s="415"/>
      <c r="G74" s="415"/>
      <c r="H74" s="415"/>
      <c r="I74" s="415"/>
      <c r="N74" s="417" t="s">
        <v>455</v>
      </c>
      <c r="O74" s="416"/>
      <c r="P74" s="416"/>
      <c r="Q74" s="416"/>
      <c r="R74" s="416"/>
      <c r="S74" s="416"/>
      <c r="T74" s="416"/>
      <c r="U74" s="416"/>
      <c r="V74" s="415"/>
    </row>
    <row r="75" spans="1:22" x14ac:dyDescent="0.25">
      <c r="A75" s="556" t="s">
        <v>400</v>
      </c>
      <c r="B75" s="550"/>
      <c r="C75" s="112">
        <f>E30</f>
        <v>588.99</v>
      </c>
      <c r="D75" s="529" t="s">
        <v>411</v>
      </c>
      <c r="E75" s="529"/>
      <c r="F75" s="529"/>
      <c r="G75" s="529"/>
      <c r="H75" s="301">
        <f>'1461'!H75</f>
        <v>186438.39</v>
      </c>
      <c r="I75" s="113"/>
      <c r="N75" s="572" t="s">
        <v>401</v>
      </c>
      <c r="O75" s="573"/>
      <c r="P75" s="41">
        <f>P30</f>
        <v>0</v>
      </c>
      <c r="Q75" s="608" t="s">
        <v>406</v>
      </c>
      <c r="R75" s="609"/>
      <c r="S75" s="609"/>
      <c r="T75" s="576">
        <f>H75</f>
        <v>186438.39</v>
      </c>
      <c r="U75" s="576"/>
    </row>
    <row r="76" spans="1:22" x14ac:dyDescent="0.25">
      <c r="B76" s="69"/>
      <c r="G76" s="42" t="s">
        <v>12</v>
      </c>
      <c r="H76" s="114">
        <f>ROUND(C75/H75,6)</f>
        <v>3.1589999999999999E-3</v>
      </c>
      <c r="I76" s="115"/>
      <c r="N76" s="573"/>
      <c r="O76" s="573"/>
      <c r="P76" s="573"/>
      <c r="Q76" s="573"/>
      <c r="R76" s="573"/>
      <c r="S76" s="573"/>
      <c r="T76" s="577">
        <f>ROUND(P75/T75,6)</f>
        <v>0</v>
      </c>
      <c r="U76" s="577"/>
    </row>
    <row r="77" spans="1:22" x14ac:dyDescent="0.25">
      <c r="A77" s="418" t="s">
        <v>448</v>
      </c>
      <c r="B77" s="415"/>
      <c r="C77" s="415"/>
      <c r="D77" s="415"/>
      <c r="E77" s="415"/>
      <c r="F77" s="415"/>
      <c r="G77" s="415"/>
      <c r="H77" s="415"/>
      <c r="I77" s="415"/>
      <c r="N77" s="417" t="s">
        <v>456</v>
      </c>
      <c r="O77" s="416"/>
      <c r="P77" s="416"/>
      <c r="Q77" s="416"/>
      <c r="R77" s="416"/>
      <c r="S77" s="416"/>
      <c r="T77" s="416"/>
      <c r="U77" s="416"/>
      <c r="V77" s="415"/>
    </row>
    <row r="78" spans="1:22" x14ac:dyDescent="0.25">
      <c r="A78" s="556" t="s">
        <v>400</v>
      </c>
      <c r="B78" s="550"/>
      <c r="C78" s="112">
        <f>E30</f>
        <v>588.99</v>
      </c>
      <c r="D78" s="557" t="s">
        <v>412</v>
      </c>
      <c r="E78" s="557"/>
      <c r="F78" s="557"/>
      <c r="G78" s="557"/>
      <c r="H78" s="301">
        <f>'1461'!H78</f>
        <v>201460.8</v>
      </c>
      <c r="I78" s="113"/>
      <c r="N78" s="572" t="s">
        <v>401</v>
      </c>
      <c r="O78" s="573"/>
      <c r="P78" s="41">
        <f>P30</f>
        <v>0</v>
      </c>
      <c r="Q78" s="606" t="s">
        <v>407</v>
      </c>
      <c r="R78" s="607"/>
      <c r="S78" s="607"/>
      <c r="T78" s="576">
        <f>H78</f>
        <v>201460.8</v>
      </c>
      <c r="U78" s="576"/>
    </row>
    <row r="79" spans="1:22" x14ac:dyDescent="0.25">
      <c r="B79" s="69"/>
      <c r="G79" s="42" t="s">
        <v>12</v>
      </c>
      <c r="H79" s="114">
        <f>ROUND(C78/H78,6)</f>
        <v>2.9239999999999999E-3</v>
      </c>
      <c r="I79" s="115"/>
      <c r="N79" s="573"/>
      <c r="O79" s="573"/>
      <c r="P79" s="573"/>
      <c r="Q79" s="573"/>
      <c r="R79" s="573"/>
      <c r="S79" s="573"/>
      <c r="T79" s="577">
        <f>ROUND(P78/T78,6)</f>
        <v>0</v>
      </c>
      <c r="U79" s="577"/>
    </row>
    <row r="80" spans="1:22" x14ac:dyDescent="0.25">
      <c r="A80" s="418" t="s">
        <v>449</v>
      </c>
      <c r="B80" s="415"/>
      <c r="C80" s="415"/>
      <c r="D80" s="415"/>
      <c r="E80" s="415"/>
      <c r="F80" s="415"/>
      <c r="G80" s="415"/>
      <c r="H80" s="415"/>
      <c r="I80" s="415"/>
      <c r="N80" s="417" t="s">
        <v>457</v>
      </c>
      <c r="O80" s="416"/>
      <c r="P80" s="416"/>
      <c r="Q80" s="416"/>
      <c r="R80" s="416"/>
      <c r="S80" s="416"/>
      <c r="T80" s="416"/>
      <c r="U80" s="416"/>
      <c r="V80" s="415"/>
    </row>
    <row r="81" spans="1:21" x14ac:dyDescent="0.25">
      <c r="A81" s="556" t="s">
        <v>408</v>
      </c>
      <c r="B81" s="550"/>
      <c r="C81" s="112">
        <f>E30</f>
        <v>588.99</v>
      </c>
      <c r="D81" s="529" t="s">
        <v>413</v>
      </c>
      <c r="E81" s="529"/>
      <c r="F81" s="529"/>
      <c r="G81" s="529"/>
      <c r="H81" s="301">
        <f>'1461'!H81</f>
        <v>186099.3</v>
      </c>
      <c r="I81" s="113"/>
      <c r="N81" s="572" t="s">
        <v>414</v>
      </c>
      <c r="O81" s="573"/>
      <c r="P81" s="41">
        <f>P30</f>
        <v>0</v>
      </c>
      <c r="Q81" s="608" t="s">
        <v>415</v>
      </c>
      <c r="R81" s="609"/>
      <c r="S81" s="609"/>
      <c r="T81" s="576">
        <f>H81</f>
        <v>186099.3</v>
      </c>
      <c r="U81" s="576"/>
    </row>
    <row r="82" spans="1:21" x14ac:dyDescent="0.25">
      <c r="B82" s="69"/>
      <c r="G82" s="42" t="s">
        <v>12</v>
      </c>
      <c r="H82" s="114">
        <f>ROUND(C81/H81,6)</f>
        <v>3.1649999999999998E-3</v>
      </c>
      <c r="I82" s="115"/>
      <c r="N82" s="573"/>
      <c r="O82" s="573"/>
      <c r="P82" s="573"/>
      <c r="Q82" s="573"/>
      <c r="R82" s="573"/>
      <c r="S82" s="573"/>
      <c r="T82" s="577">
        <f>ROUND(P81/T81,6)</f>
        <v>0</v>
      </c>
      <c r="U82" s="577"/>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450</v>
      </c>
      <c r="D85" s="69"/>
      <c r="E85" s="43" t="s">
        <v>293</v>
      </c>
      <c r="F85" s="303">
        <f>'1461'!F85</f>
        <v>44309288</v>
      </c>
      <c r="G85" s="37" t="s">
        <v>6</v>
      </c>
      <c r="H85" s="423">
        <f>H79</f>
        <v>2.9239999999999999E-3</v>
      </c>
      <c r="I85" s="101">
        <f>ROUND(F85*H85,2)</f>
        <v>129560.36</v>
      </c>
      <c r="N85" s="454" t="s">
        <v>450</v>
      </c>
      <c r="O85" s="51"/>
      <c r="P85" s="51"/>
      <c r="Q85" s="44"/>
      <c r="R85" s="420">
        <f>F85</f>
        <v>44309288</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59" t="s">
        <v>71</v>
      </c>
      <c r="B87" s="550"/>
      <c r="C87" s="550"/>
      <c r="D87" s="69"/>
      <c r="E87" s="43"/>
      <c r="F87" s="117"/>
      <c r="G87" s="37"/>
      <c r="H87" s="423"/>
      <c r="I87" s="101"/>
      <c r="N87" s="572" t="s">
        <v>458</v>
      </c>
      <c r="O87" s="573"/>
      <c r="P87" s="573"/>
      <c r="Q87" s="51"/>
      <c r="R87" s="421"/>
      <c r="S87" s="51"/>
      <c r="T87" s="38"/>
      <c r="U87" s="479"/>
    </row>
    <row r="88" spans="1:21" x14ac:dyDescent="0.25">
      <c r="A88" s="559" t="s">
        <v>99</v>
      </c>
      <c r="B88" s="550"/>
      <c r="C88" s="550"/>
      <c r="D88" s="69"/>
      <c r="E88" s="43" t="s">
        <v>3</v>
      </c>
      <c r="F88" s="303">
        <f>'1461'!F88</f>
        <v>0</v>
      </c>
      <c r="G88" s="37" t="s">
        <v>6</v>
      </c>
      <c r="H88" s="423">
        <f>H70</f>
        <v>2.9190000000000002E-3</v>
      </c>
      <c r="I88" s="101">
        <f>ROUND(F88*H88,2)</f>
        <v>0</v>
      </c>
      <c r="N88" s="610" t="s">
        <v>99</v>
      </c>
      <c r="O88" s="573"/>
      <c r="P88" s="573"/>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451</v>
      </c>
      <c r="D90" s="69"/>
      <c r="E90" s="43" t="s">
        <v>416</v>
      </c>
      <c r="F90" s="303">
        <f>'1461'!F90</f>
        <v>16275680</v>
      </c>
      <c r="G90" s="37" t="s">
        <v>6</v>
      </c>
      <c r="H90" s="423">
        <f>H82</f>
        <v>3.1649999999999998E-3</v>
      </c>
      <c r="I90" s="101">
        <f>ROUND(F90*H90,2)</f>
        <v>51512.53</v>
      </c>
      <c r="N90" s="454" t="s">
        <v>451</v>
      </c>
      <c r="O90" s="51"/>
      <c r="P90" s="51"/>
      <c r="Q90" s="44"/>
      <c r="R90" s="420">
        <f>F90</f>
        <v>16275680</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452</v>
      </c>
      <c r="D92" s="69"/>
      <c r="E92" s="43" t="s">
        <v>3</v>
      </c>
      <c r="F92" s="303">
        <f>'1461'!F92</f>
        <v>10128039</v>
      </c>
      <c r="G92" s="37" t="s">
        <v>6</v>
      </c>
      <c r="H92" s="423">
        <f>H76</f>
        <v>3.1589999999999999E-3</v>
      </c>
      <c r="I92" s="101">
        <f t="shared" ref="I92:I96" si="14">ROUND(F92*H92,2)</f>
        <v>31994.48</v>
      </c>
      <c r="N92" s="454" t="s">
        <v>452</v>
      </c>
      <c r="O92" s="51"/>
      <c r="P92" s="51"/>
      <c r="Q92" s="44"/>
      <c r="R92" s="420">
        <f t="shared" ref="R92:R96" si="15">F92</f>
        <v>10128039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56" t="s">
        <v>417</v>
      </c>
      <c r="B94" s="550"/>
      <c r="C94" s="550"/>
      <c r="D94" s="69"/>
      <c r="E94" s="43" t="s">
        <v>4</v>
      </c>
      <c r="F94" s="303">
        <f>'1461'!F94</f>
        <v>238997674</v>
      </c>
      <c r="G94" s="37" t="s">
        <v>6</v>
      </c>
      <c r="H94" s="423">
        <f>H73</f>
        <v>2.875E-3</v>
      </c>
      <c r="I94" s="101">
        <f t="shared" si="14"/>
        <v>687118.31</v>
      </c>
      <c r="N94" s="573" t="s">
        <v>417</v>
      </c>
      <c r="O94" s="573"/>
      <c r="P94" s="573"/>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56" t="s">
        <v>418</v>
      </c>
      <c r="B96" s="550"/>
      <c r="C96" s="550"/>
      <c r="D96" s="69"/>
      <c r="E96" s="43" t="s">
        <v>4</v>
      </c>
      <c r="F96" s="303">
        <f>'1461'!F96</f>
        <v>0</v>
      </c>
      <c r="G96" s="37" t="s">
        <v>6</v>
      </c>
      <c r="H96" s="423">
        <f>H73</f>
        <v>2.875E-3</v>
      </c>
      <c r="I96" s="101">
        <f t="shared" si="14"/>
        <v>0</v>
      </c>
      <c r="N96" s="572" t="s">
        <v>418</v>
      </c>
      <c r="O96" s="573"/>
      <c r="P96" s="573"/>
      <c r="Q96" s="44"/>
      <c r="R96" s="420">
        <f t="shared" si="15"/>
        <v>0</v>
      </c>
      <c r="S96" s="38" t="s">
        <v>6</v>
      </c>
      <c r="T96" s="422">
        <f>T73</f>
        <v>0</v>
      </c>
      <c r="U96" s="474">
        <f>ROUND(R96*T96,2)</f>
        <v>0</v>
      </c>
    </row>
    <row r="97" spans="1:21" x14ac:dyDescent="0.25">
      <c r="A97" s="513"/>
      <c r="B97" s="512"/>
      <c r="C97" s="512"/>
      <c r="D97" s="512"/>
      <c r="E97" s="510"/>
      <c r="F97" s="117"/>
      <c r="G97" s="511"/>
      <c r="H97" s="423"/>
      <c r="I97" s="101"/>
      <c r="N97" s="516"/>
      <c r="O97" s="515"/>
      <c r="P97" s="515"/>
      <c r="Q97" s="44"/>
      <c r="R97" s="518"/>
      <c r="S97" s="517"/>
      <c r="T97" s="422"/>
      <c r="U97" s="478"/>
    </row>
    <row r="98" spans="1:21" x14ac:dyDescent="0.25">
      <c r="A98" s="513" t="s">
        <v>475</v>
      </c>
      <c r="B98" s="512"/>
      <c r="C98" s="512"/>
      <c r="D98" s="512"/>
      <c r="E98" s="510" t="s">
        <v>3</v>
      </c>
      <c r="F98" s="291">
        <v>0</v>
      </c>
      <c r="G98" s="511" t="s">
        <v>6</v>
      </c>
      <c r="H98" s="423">
        <f>H70</f>
        <v>2.9190000000000002E-3</v>
      </c>
      <c r="I98" s="101">
        <f t="shared" ref="I98" si="16">ROUND(F98*H98,2)</f>
        <v>0</v>
      </c>
      <c r="N98" s="516" t="s">
        <v>475</v>
      </c>
      <c r="O98" s="516"/>
      <c r="P98" s="516"/>
      <c r="Q98" s="44"/>
      <c r="R98" s="519">
        <f>F98</f>
        <v>0</v>
      </c>
      <c r="S98" s="517" t="s">
        <v>6</v>
      </c>
      <c r="T98" s="422">
        <f>T70</f>
        <v>0</v>
      </c>
      <c r="U98" s="474">
        <f>ROUND(R98*T98,2)</f>
        <v>0</v>
      </c>
    </row>
    <row r="99" spans="1:21" x14ac:dyDescent="0.25">
      <c r="A99" s="513"/>
      <c r="B99" s="512"/>
      <c r="C99" s="512"/>
      <c r="D99" s="512"/>
      <c r="E99" s="510"/>
      <c r="F99" s="277"/>
      <c r="G99" s="511"/>
      <c r="H99" s="423"/>
      <c r="I99" s="101"/>
      <c r="N99" s="516"/>
      <c r="O99" s="516"/>
      <c r="P99" s="516"/>
      <c r="Q99" s="44"/>
      <c r="R99" s="518"/>
      <c r="S99" s="517"/>
      <c r="T99" s="422"/>
      <c r="U99" s="478"/>
    </row>
    <row r="100" spans="1:21" x14ac:dyDescent="0.25">
      <c r="A100" s="513"/>
      <c r="B100" s="512"/>
      <c r="C100" s="512"/>
      <c r="D100" s="512"/>
      <c r="E100" s="510"/>
      <c r="F100" s="277"/>
      <c r="G100" s="511"/>
      <c r="H100" s="423"/>
      <c r="I100" s="101"/>
      <c r="N100" s="516"/>
      <c r="O100" s="516"/>
      <c r="P100" s="516"/>
      <c r="Q100" s="44"/>
      <c r="R100" s="421"/>
      <c r="S100" s="517"/>
      <c r="T100" s="422"/>
      <c r="U100" s="103"/>
    </row>
    <row r="101" spans="1:21" x14ac:dyDescent="0.25">
      <c r="A101" s="400" t="s">
        <v>476</v>
      </c>
      <c r="N101" s="408" t="s">
        <v>476</v>
      </c>
      <c r="O101" s="51"/>
      <c r="P101" s="51"/>
      <c r="Q101" s="51"/>
      <c r="R101" s="51"/>
      <c r="S101" s="51"/>
      <c r="T101" s="51"/>
      <c r="U101" s="51"/>
    </row>
    <row r="102" spans="1:21" x14ac:dyDescent="0.25">
      <c r="B102" s="69"/>
      <c r="C102" s="535" t="s">
        <v>60</v>
      </c>
      <c r="D102" s="535"/>
      <c r="E102" s="69"/>
      <c r="F102" s="39" t="s">
        <v>28</v>
      </c>
      <c r="G102" s="69"/>
      <c r="H102" s="69"/>
      <c r="I102" s="69"/>
      <c r="N102" s="45"/>
      <c r="O102" s="45"/>
      <c r="P102" s="45"/>
      <c r="Q102" s="45"/>
      <c r="R102" s="45"/>
      <c r="S102" s="45"/>
      <c r="T102" s="45"/>
      <c r="U102" s="45"/>
    </row>
    <row r="103" spans="1:21" x14ac:dyDescent="0.25">
      <c r="A103" s="3"/>
      <c r="B103" s="118"/>
      <c r="C103" s="536" t="s">
        <v>101</v>
      </c>
      <c r="D103" s="536"/>
      <c r="E103" s="424" t="s">
        <v>421</v>
      </c>
      <c r="F103" s="120" t="s">
        <v>106</v>
      </c>
      <c r="G103" s="121"/>
      <c r="H103" s="121"/>
      <c r="I103" s="121"/>
      <c r="N103" s="603" t="s">
        <v>35</v>
      </c>
      <c r="O103" s="603"/>
      <c r="P103" s="644" t="s">
        <v>423</v>
      </c>
      <c r="Q103" s="605"/>
      <c r="R103" s="576" t="s">
        <v>31</v>
      </c>
      <c r="S103" s="576"/>
      <c r="T103" s="576"/>
      <c r="U103" s="576"/>
    </row>
    <row r="104" spans="1:21" x14ac:dyDescent="0.25">
      <c r="A104" s="26"/>
      <c r="B104" s="52" t="s">
        <v>105</v>
      </c>
      <c r="C104" s="568">
        <f>H14+H15+H20+H23+H26</f>
        <v>468.31709999999998</v>
      </c>
      <c r="D104" s="568"/>
      <c r="E104" s="46">
        <f>H8</f>
        <v>1.0442</v>
      </c>
      <c r="F104" s="304">
        <f>'1461'!F104</f>
        <v>947.59</v>
      </c>
      <c r="G104" s="39" t="s">
        <v>12</v>
      </c>
      <c r="H104" s="101">
        <f>ROUND(C104*E104*F104,2)</f>
        <v>463387.35</v>
      </c>
      <c r="I104" s="104"/>
      <c r="N104" s="28" t="s">
        <v>17</v>
      </c>
      <c r="O104" s="47">
        <f>T14+T15+T20+T23+T26</f>
        <v>0</v>
      </c>
      <c r="P104" s="583">
        <f>T8</f>
        <v>1.0442</v>
      </c>
      <c r="Q104" s="583"/>
      <c r="R104" s="48">
        <f>F104</f>
        <v>947.59</v>
      </c>
      <c r="S104" s="40" t="s">
        <v>12</v>
      </c>
      <c r="T104" s="480">
        <f>ROUND(O104*P104*R104,2)</f>
        <v>0</v>
      </c>
      <c r="U104" s="102"/>
    </row>
    <row r="105" spans="1:21" x14ac:dyDescent="0.25">
      <c r="A105" s="49"/>
      <c r="B105" s="49" t="s">
        <v>104</v>
      </c>
      <c r="C105" s="568">
        <f>H16+H17+H21+H24+H27</f>
        <v>184.67170000000002</v>
      </c>
      <c r="D105" s="568"/>
      <c r="E105" s="46">
        <f>H8</f>
        <v>1.0442</v>
      </c>
      <c r="F105" s="304">
        <f>'1461'!F105</f>
        <v>904.74</v>
      </c>
      <c r="G105" s="39" t="s">
        <v>12</v>
      </c>
      <c r="H105" s="101">
        <f>ROUND(C105*E105*F105,2)</f>
        <v>174464.8</v>
      </c>
      <c r="N105" s="50" t="s">
        <v>13</v>
      </c>
      <c r="O105" s="47">
        <f>T16+T17+T21+T24+T27</f>
        <v>0</v>
      </c>
      <c r="P105" s="583">
        <f>T8</f>
        <v>1.0442</v>
      </c>
      <c r="Q105" s="583"/>
      <c r="R105" s="48">
        <f>F105</f>
        <v>904.74</v>
      </c>
      <c r="S105" s="40" t="s">
        <v>12</v>
      </c>
      <c r="T105" s="480">
        <f>ROUND(O105*P105*R105,2)</f>
        <v>0</v>
      </c>
      <c r="U105" s="51"/>
    </row>
    <row r="106" spans="1:21" ht="16.5" thickBot="1" x14ac:dyDescent="0.3">
      <c r="A106" s="52"/>
      <c r="B106" s="52" t="s">
        <v>103</v>
      </c>
      <c r="C106" s="568">
        <f>H18+H19+H22+H25+H28+H29</f>
        <v>0</v>
      </c>
      <c r="D106" s="568"/>
      <c r="E106" s="46">
        <f>H8</f>
        <v>1.0442</v>
      </c>
      <c r="F106" s="304">
        <f>'1461'!F106</f>
        <v>906.93</v>
      </c>
      <c r="G106" s="39" t="s">
        <v>12</v>
      </c>
      <c r="H106" s="94">
        <f>ROUND(C106*E106*F106,2)</f>
        <v>0</v>
      </c>
      <c r="N106" s="53" t="s">
        <v>14</v>
      </c>
      <c r="O106" s="54">
        <f>T18+T19+T22+T25+T28+T29</f>
        <v>0</v>
      </c>
      <c r="P106" s="583">
        <f>T8</f>
        <v>1.0442</v>
      </c>
      <c r="Q106" s="583"/>
      <c r="R106" s="48">
        <f>F106</f>
        <v>906.93</v>
      </c>
      <c r="S106" s="40" t="s">
        <v>12</v>
      </c>
      <c r="T106" s="480">
        <f>ROUND(O106*P106*R106,2)</f>
        <v>0</v>
      </c>
      <c r="U106" s="51"/>
    </row>
    <row r="107" spans="1:21" ht="16.5" thickBot="1" x14ac:dyDescent="0.3">
      <c r="A107" s="55"/>
      <c r="B107" s="122" t="s">
        <v>102</v>
      </c>
      <c r="C107" s="558">
        <f>SUM(C104:C106)</f>
        <v>652.98879999999997</v>
      </c>
      <c r="D107" s="558"/>
      <c r="E107" s="123"/>
      <c r="F107" s="123"/>
      <c r="G107" s="123"/>
      <c r="H107" s="124" t="s">
        <v>100</v>
      </c>
      <c r="I107" s="101">
        <f>IF(A1=75,0,H106+H105+H104)</f>
        <v>637852.14999999991</v>
      </c>
      <c r="N107" s="56" t="s">
        <v>89</v>
      </c>
      <c r="O107" s="57">
        <f>SUM(O104:O106)</f>
        <v>0</v>
      </c>
      <c r="P107" s="584" t="s">
        <v>16</v>
      </c>
      <c r="Q107" s="585"/>
      <c r="R107" s="585"/>
      <c r="S107" s="585"/>
      <c r="T107" s="585"/>
      <c r="U107" s="474">
        <f>IF(N1=75,0,T106+T105+T104)</f>
        <v>0</v>
      </c>
    </row>
    <row r="108" spans="1:21" ht="16.5" thickTop="1" x14ac:dyDescent="0.25">
      <c r="A108" s="527" t="s">
        <v>65</v>
      </c>
      <c r="B108" s="527"/>
      <c r="C108" s="527"/>
      <c r="D108" s="527"/>
      <c r="E108" s="527"/>
      <c r="F108" s="527"/>
      <c r="G108" s="527"/>
      <c r="H108" s="527"/>
      <c r="I108" s="527"/>
      <c r="N108" s="586" t="s">
        <v>65</v>
      </c>
      <c r="O108" s="586"/>
      <c r="P108" s="586"/>
      <c r="Q108" s="586"/>
      <c r="R108" s="586"/>
      <c r="S108" s="586"/>
      <c r="T108" s="586"/>
      <c r="U108" s="586"/>
    </row>
    <row r="109" spans="1:21" x14ac:dyDescent="0.25">
      <c r="A109" s="433"/>
      <c r="B109" s="433"/>
      <c r="C109" s="433"/>
      <c r="D109" s="433"/>
      <c r="E109" s="433"/>
      <c r="F109" s="433"/>
      <c r="G109" s="433"/>
      <c r="H109" s="433"/>
      <c r="I109" s="433"/>
      <c r="N109" s="434"/>
      <c r="O109" s="434"/>
      <c r="P109" s="434"/>
      <c r="Q109" s="434"/>
      <c r="R109" s="434"/>
      <c r="S109" s="434"/>
      <c r="T109" s="434"/>
      <c r="U109" s="434"/>
    </row>
    <row r="110" spans="1:21" x14ac:dyDescent="0.25">
      <c r="A110" s="513" t="s">
        <v>477</v>
      </c>
      <c r="C110" s="43"/>
      <c r="D110" s="69"/>
      <c r="E110" s="43" t="s">
        <v>32</v>
      </c>
      <c r="F110" s="528"/>
      <c r="G110" s="528"/>
      <c r="H110" s="528"/>
      <c r="I110" s="528"/>
      <c r="N110" s="572" t="s">
        <v>477</v>
      </c>
      <c r="O110" s="573"/>
      <c r="P110" s="573"/>
      <c r="Q110" s="587"/>
      <c r="R110" s="587"/>
      <c r="S110" s="587"/>
      <c r="T110" s="587"/>
      <c r="U110" s="103"/>
    </row>
    <row r="111" spans="1:21" x14ac:dyDescent="0.25">
      <c r="B111" s="69"/>
      <c r="C111" s="88" t="s">
        <v>473</v>
      </c>
      <c r="D111" s="334" t="s">
        <v>474</v>
      </c>
      <c r="E111" s="89" t="s">
        <v>107</v>
      </c>
      <c r="F111" s="43"/>
      <c r="G111" s="43"/>
      <c r="H111" s="43"/>
      <c r="I111" s="43"/>
      <c r="N111" s="45"/>
      <c r="O111" s="45"/>
      <c r="P111" s="45"/>
      <c r="Q111" s="125"/>
      <c r="R111" s="125"/>
      <c r="S111" s="125"/>
      <c r="T111" s="125"/>
      <c r="U111" s="103"/>
    </row>
    <row r="112" spans="1:21" x14ac:dyDescent="0.25">
      <c r="B112" s="69"/>
      <c r="C112" s="325" t="s">
        <v>2</v>
      </c>
      <c r="D112" s="325" t="s">
        <v>2</v>
      </c>
      <c r="E112" s="325" t="s">
        <v>2</v>
      </c>
      <c r="F112" s="43"/>
      <c r="G112" s="43"/>
      <c r="H112" s="43"/>
      <c r="I112" s="43"/>
      <c r="N112" s="45"/>
      <c r="O112" s="45"/>
      <c r="P112" s="45"/>
      <c r="Q112" s="125"/>
      <c r="R112" s="125"/>
      <c r="S112" s="125"/>
      <c r="T112" s="125"/>
      <c r="U112" s="103"/>
    </row>
    <row r="113" spans="1:21" x14ac:dyDescent="0.25">
      <c r="A113" s="529" t="s">
        <v>375</v>
      </c>
      <c r="B113" s="530"/>
      <c r="C113" s="143">
        <v>203</v>
      </c>
      <c r="D113" s="143">
        <v>0</v>
      </c>
      <c r="E113" s="116">
        <f>C113</f>
        <v>203</v>
      </c>
      <c r="F113" s="126" t="s">
        <v>30</v>
      </c>
      <c r="G113" s="305">
        <f>'1461'!G113</f>
        <v>548</v>
      </c>
      <c r="I113" s="101">
        <f>ROUND(G113*E113,2)</f>
        <v>111244</v>
      </c>
      <c r="N113" s="602" t="s">
        <v>52</v>
      </c>
      <c r="O113" s="602"/>
      <c r="P113" s="582">
        <f>IF(H133=1,E113,0)</f>
        <v>0</v>
      </c>
      <c r="Q113" s="582"/>
      <c r="R113" s="582"/>
      <c r="S113" s="83" t="s">
        <v>30</v>
      </c>
      <c r="T113" s="58">
        <f>G113</f>
        <v>548</v>
      </c>
      <c r="U113" s="474">
        <f>ROUND(T113*P113,2)</f>
        <v>0</v>
      </c>
    </row>
    <row r="114" spans="1:21" x14ac:dyDescent="0.25">
      <c r="A114" s="529" t="s">
        <v>376</v>
      </c>
      <c r="B114" s="530"/>
      <c r="C114" s="143">
        <v>0</v>
      </c>
      <c r="D114" s="143">
        <v>0</v>
      </c>
      <c r="E114" s="116">
        <f>C114</f>
        <v>0</v>
      </c>
      <c r="F114" s="126" t="s">
        <v>30</v>
      </c>
      <c r="G114" s="305">
        <f>'1461'!G114</f>
        <v>1762</v>
      </c>
      <c r="I114" s="101">
        <f>ROUND(G114*E114,2)</f>
        <v>0</v>
      </c>
      <c r="N114" s="602" t="s">
        <v>64</v>
      </c>
      <c r="O114" s="602"/>
      <c r="P114" s="580"/>
      <c r="Q114" s="580"/>
      <c r="R114" s="580"/>
      <c r="S114" s="83" t="s">
        <v>30</v>
      </c>
      <c r="T114" s="58">
        <f>G114</f>
        <v>1762</v>
      </c>
      <c r="U114" s="474">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56" t="s">
        <v>425</v>
      </c>
      <c r="B117" s="550"/>
      <c r="C117" s="550"/>
      <c r="D117" s="69"/>
      <c r="E117" s="39" t="s">
        <v>294</v>
      </c>
      <c r="F117" s="535"/>
      <c r="G117" s="535"/>
      <c r="H117" s="535"/>
      <c r="I117" s="535"/>
      <c r="N117" s="572" t="s">
        <v>426</v>
      </c>
      <c r="O117" s="573"/>
      <c r="P117" s="573"/>
      <c r="Q117" s="573"/>
      <c r="R117" s="573"/>
      <c r="S117" s="573"/>
      <c r="T117" s="573"/>
      <c r="U117" s="573"/>
    </row>
    <row r="118" spans="1:21" hidden="1" x14ac:dyDescent="0.25">
      <c r="B118" s="69"/>
      <c r="C118" s="536" t="s">
        <v>66</v>
      </c>
      <c r="D118" s="536"/>
      <c r="E118" s="536"/>
      <c r="F118" s="37"/>
      <c r="G118" s="37"/>
      <c r="H118" s="39" t="s">
        <v>108</v>
      </c>
      <c r="I118" s="37"/>
      <c r="N118" s="45"/>
      <c r="O118" s="45"/>
      <c r="P118" s="45"/>
      <c r="Q118" s="45"/>
      <c r="R118" s="45"/>
      <c r="S118" s="45"/>
      <c r="T118" s="45"/>
      <c r="U118" s="45"/>
    </row>
    <row r="119" spans="1:21" hidden="1" x14ac:dyDescent="0.25">
      <c r="B119" s="69"/>
      <c r="C119" s="88" t="s">
        <v>304</v>
      </c>
      <c r="D119" s="88" t="s">
        <v>291</v>
      </c>
      <c r="E119" s="137" t="s">
        <v>8</v>
      </c>
      <c r="F119" s="537" t="s">
        <v>109</v>
      </c>
      <c r="G119" s="535"/>
      <c r="H119" s="37" t="s">
        <v>29</v>
      </c>
      <c r="I119" s="37"/>
      <c r="N119" s="45"/>
      <c r="O119" s="45"/>
      <c r="P119" s="45"/>
      <c r="Q119" s="45"/>
      <c r="R119" s="45"/>
      <c r="S119" s="45"/>
      <c r="T119" s="45"/>
      <c r="U119" s="45"/>
    </row>
    <row r="120" spans="1:21" hidden="1" x14ac:dyDescent="0.25">
      <c r="A120" s="536" t="s">
        <v>69</v>
      </c>
      <c r="B120" s="536"/>
      <c r="C120" s="90" t="s">
        <v>2</v>
      </c>
      <c r="D120" s="90" t="s">
        <v>2</v>
      </c>
      <c r="E120" s="59" t="s">
        <v>2</v>
      </c>
      <c r="F120" s="536" t="s">
        <v>28</v>
      </c>
      <c r="G120" s="536"/>
      <c r="H120" s="59" t="s">
        <v>28</v>
      </c>
      <c r="I120" s="59" t="s">
        <v>8</v>
      </c>
      <c r="N120" s="581" t="s">
        <v>53</v>
      </c>
      <c r="O120" s="581"/>
      <c r="P120" s="582" t="s">
        <v>66</v>
      </c>
      <c r="Q120" s="582"/>
      <c r="R120" s="581" t="s">
        <v>54</v>
      </c>
      <c r="S120" s="581"/>
      <c r="T120" s="60" t="s">
        <v>55</v>
      </c>
      <c r="U120" s="60" t="s">
        <v>8</v>
      </c>
    </row>
    <row r="121" spans="1:21" hidden="1" x14ac:dyDescent="0.25">
      <c r="A121" s="533" t="s">
        <v>56</v>
      </c>
      <c r="B121" s="533"/>
      <c r="C121" s="141">
        <v>0</v>
      </c>
      <c r="D121" s="141">
        <v>0</v>
      </c>
      <c r="E121" s="187">
        <f>IF(D30=0,C121*2,C121+D121)</f>
        <v>0</v>
      </c>
      <c r="F121" s="534">
        <v>0</v>
      </c>
      <c r="G121" s="534"/>
      <c r="H121" s="224">
        <f>IF(C121=0,0,125)</f>
        <v>0</v>
      </c>
      <c r="I121" s="101">
        <f>ROUND((H121+F121)*E121,2)</f>
        <v>0</v>
      </c>
      <c r="N121" s="573" t="s">
        <v>56</v>
      </c>
      <c r="O121" s="573"/>
      <c r="P121" s="580">
        <f>IF(H$133=1,C121,0)</f>
        <v>0</v>
      </c>
      <c r="Q121" s="580"/>
      <c r="R121" s="600">
        <f>F121</f>
        <v>0</v>
      </c>
      <c r="S121" s="600"/>
      <c r="T121" s="62">
        <f>H121</f>
        <v>0</v>
      </c>
      <c r="U121" s="96">
        <f>ROUND((T121+R121)*P121,0)</f>
        <v>0</v>
      </c>
    </row>
    <row r="122" spans="1:21" hidden="1" x14ac:dyDescent="0.25">
      <c r="A122" s="553" t="s">
        <v>57</v>
      </c>
      <c r="B122" s="553"/>
      <c r="C122" s="143">
        <v>0</v>
      </c>
      <c r="D122" s="143">
        <v>0</v>
      </c>
      <c r="E122" s="116">
        <f>IF(D31=0,C122*2,C122+D122)</f>
        <v>0</v>
      </c>
      <c r="F122" s="570">
        <f>ROUND(F121/2,2)</f>
        <v>0</v>
      </c>
      <c r="G122" s="570"/>
      <c r="H122" s="224">
        <f>IF(C122=0,0,62.5)</f>
        <v>0</v>
      </c>
      <c r="I122" s="101">
        <f>ROUND((H122+F122)*E122,2)</f>
        <v>0</v>
      </c>
      <c r="N122" s="573" t="s">
        <v>57</v>
      </c>
      <c r="O122" s="573"/>
      <c r="P122" s="580">
        <f>IF(H$133=1,C122,0)</f>
        <v>0</v>
      </c>
      <c r="Q122" s="580"/>
      <c r="R122" s="601">
        <f>ROUND(R121/2,2)</f>
        <v>0</v>
      </c>
      <c r="S122" s="601"/>
      <c r="T122" s="62">
        <f>H122</f>
        <v>0</v>
      </c>
      <c r="U122" s="96">
        <f>ROUND((T122+R122)*P122,0)</f>
        <v>0</v>
      </c>
    </row>
    <row r="123" spans="1:21" ht="16.5" hidden="1" thickBot="1" x14ac:dyDescent="0.3">
      <c r="A123" s="553" t="s">
        <v>58</v>
      </c>
      <c r="B123" s="553"/>
      <c r="C123" s="143">
        <v>0</v>
      </c>
      <c r="D123" s="143">
        <v>0</v>
      </c>
      <c r="E123" s="116">
        <f>IF(D32=0,C123*2,C123+D123)</f>
        <v>0</v>
      </c>
      <c r="F123" s="571"/>
      <c r="G123" s="571"/>
      <c r="H123" s="225">
        <f>IF(H121&gt;0,436,0)</f>
        <v>0</v>
      </c>
      <c r="I123" s="101">
        <f>ROUND(H123*E123,2)</f>
        <v>0</v>
      </c>
      <c r="N123" s="588" t="s">
        <v>58</v>
      </c>
      <c r="O123" s="588"/>
      <c r="P123" s="580">
        <f>IF(H$133=1,C123,0)</f>
        <v>0</v>
      </c>
      <c r="Q123" s="580"/>
      <c r="R123" s="581"/>
      <c r="S123" s="581"/>
      <c r="T123" s="64">
        <f>H123</f>
        <v>0</v>
      </c>
      <c r="U123" s="103">
        <f>ROUND(T123*P123,0)</f>
        <v>0</v>
      </c>
    </row>
    <row r="124" spans="1:21" ht="16.5" hidden="1" thickBot="1" x14ac:dyDescent="0.3">
      <c r="A124" s="535" t="s">
        <v>8</v>
      </c>
      <c r="B124" s="535"/>
      <c r="C124" s="65"/>
      <c r="D124" s="65"/>
      <c r="E124" s="65"/>
      <c r="F124" s="65"/>
      <c r="G124" s="65"/>
      <c r="H124" s="65"/>
      <c r="I124" s="97">
        <f>SUM(I121:I123)</f>
        <v>0</v>
      </c>
      <c r="N124" s="599" t="s">
        <v>8</v>
      </c>
      <c r="O124" s="599"/>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56" t="s">
        <v>427</v>
      </c>
      <c r="B126" s="550"/>
      <c r="C126" s="550"/>
      <c r="D126" s="69"/>
      <c r="E126" s="68" t="s">
        <v>34</v>
      </c>
      <c r="F126" s="569"/>
      <c r="G126" s="569"/>
      <c r="H126" s="569"/>
      <c r="I126" s="154">
        <v>0</v>
      </c>
      <c r="N126" s="572" t="s">
        <v>427</v>
      </c>
      <c r="O126" s="573"/>
      <c r="P126" s="573"/>
      <c r="Q126" s="307"/>
      <c r="R126" s="307"/>
      <c r="S126" s="307"/>
      <c r="T126" s="307"/>
      <c r="U126" s="474">
        <f>IF($H$133=1,I126,0)</f>
        <v>0</v>
      </c>
    </row>
    <row r="127" spans="1:21" x14ac:dyDescent="0.25">
      <c r="B127" s="69"/>
      <c r="C127" s="69"/>
      <c r="D127" s="69"/>
      <c r="E127" s="68"/>
      <c r="F127" s="68"/>
      <c r="G127" s="68"/>
      <c r="H127" s="68"/>
      <c r="I127" s="116"/>
      <c r="N127" s="454"/>
      <c r="O127" s="453"/>
      <c r="P127" s="453"/>
      <c r="Q127" s="307"/>
      <c r="R127" s="307"/>
      <c r="S127" s="307"/>
      <c r="T127" s="307"/>
      <c r="U127" s="478"/>
    </row>
    <row r="128" spans="1:21" ht="16.5" thickBot="1" x14ac:dyDescent="0.3">
      <c r="A128" s="562" t="s">
        <v>8</v>
      </c>
      <c r="B128" s="562"/>
      <c r="C128" s="562"/>
      <c r="D128" s="562"/>
      <c r="E128" s="562"/>
      <c r="F128" s="562"/>
      <c r="G128" s="562"/>
      <c r="H128" s="562"/>
      <c r="I128" s="94">
        <f>SUM(I46,I66,I85,I88,I90,I92,I94,I96,I107,I113,I114,I124,I126)</f>
        <v>5259542.8999999985</v>
      </c>
      <c r="N128" s="454"/>
      <c r="O128" s="453"/>
      <c r="P128" s="453"/>
      <c r="Q128" s="307"/>
      <c r="R128" s="307"/>
      <c r="S128" s="307"/>
      <c r="T128" s="307"/>
      <c r="U128" s="481">
        <f>SUM(U30,U85,U88,U90,U92,U94,U96,U107,U113,U114,U124,U126)</f>
        <v>0</v>
      </c>
    </row>
    <row r="129" spans="1:21" ht="16.5" thickTop="1" x14ac:dyDescent="0.25">
      <c r="A129" s="26"/>
      <c r="B129" s="26"/>
      <c r="C129" s="26"/>
      <c r="D129" s="26"/>
      <c r="E129" s="26"/>
      <c r="F129" s="26"/>
      <c r="G129" s="26"/>
      <c r="H129" s="26"/>
      <c r="I129" s="101"/>
      <c r="N129" s="454"/>
      <c r="O129" s="453"/>
      <c r="P129" s="453"/>
      <c r="Q129" s="307"/>
      <c r="R129" s="307"/>
      <c r="S129" s="307"/>
      <c r="T129" s="307"/>
      <c r="U129" s="103"/>
    </row>
    <row r="130" spans="1:21" ht="16.5" thickBot="1" x14ac:dyDescent="0.3">
      <c r="A130" s="81" t="s">
        <v>429</v>
      </c>
      <c r="B130" s="26"/>
      <c r="C130" s="26"/>
      <c r="D130" s="26"/>
      <c r="E130" s="26"/>
      <c r="F130" s="26"/>
      <c r="G130" s="26"/>
      <c r="H130" s="26"/>
      <c r="I130" s="101">
        <f>I128-I53</f>
        <v>5051724.2899999982</v>
      </c>
      <c r="N130" s="572" t="s">
        <v>429</v>
      </c>
      <c r="O130" s="573"/>
      <c r="P130" s="573"/>
      <c r="Q130" s="573"/>
      <c r="R130" s="573"/>
      <c r="S130" s="573"/>
      <c r="T130" s="573"/>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56" t="s">
        <v>480</v>
      </c>
      <c r="B132" s="550"/>
      <c r="C132" s="550"/>
      <c r="D132" s="550"/>
      <c r="E132" s="550"/>
      <c r="F132" s="550"/>
      <c r="G132" s="550"/>
      <c r="H132" s="81" t="s">
        <v>325</v>
      </c>
      <c r="I132" s="134"/>
      <c r="N132" s="572" t="s">
        <v>480</v>
      </c>
      <c r="O132" s="573"/>
      <c r="P132" s="573"/>
      <c r="Q132" s="573"/>
      <c r="R132" s="573"/>
      <c r="S132" s="573"/>
      <c r="T132" s="573"/>
      <c r="U132" s="138"/>
    </row>
    <row r="133" spans="1:21" x14ac:dyDescent="0.25">
      <c r="A133" s="550" t="s">
        <v>70</v>
      </c>
      <c r="B133" s="550"/>
      <c r="C133" s="550"/>
      <c r="D133" s="550"/>
      <c r="E133" s="550"/>
      <c r="F133" s="550"/>
      <c r="G133" s="550"/>
      <c r="H133" s="70" t="str">
        <f>IF(E30=0,"",IF((E15+E17+SUM(E19:E25))/E30&gt;0.75,1,""))</f>
        <v/>
      </c>
      <c r="I133" s="116">
        <f>U130</f>
        <v>0</v>
      </c>
      <c r="N133" s="573" t="s">
        <v>70</v>
      </c>
      <c r="O133" s="573"/>
      <c r="P133" s="573"/>
      <c r="Q133" s="573"/>
      <c r="R133" s="573"/>
      <c r="S133" s="573"/>
      <c r="T133" s="573"/>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8"/>
      <c r="H135" s="139">
        <f>IF(H133=1,I133,I130)</f>
        <v>5051724.2899999982</v>
      </c>
      <c r="I135" s="94">
        <f>ROUND(IF(E30=0,0,IF(E30&gt;250,-(((250/E30)*H135)*IF(G135="H",0.02,0.05)),IF(G135="H",-0.02*H135,-0.05*H135))),2)</f>
        <v>-107211.59</v>
      </c>
      <c r="N135" s="598"/>
      <c r="O135" s="598"/>
      <c r="P135" s="598"/>
      <c r="Q135" s="598"/>
      <c r="R135" s="598"/>
      <c r="S135" s="598"/>
      <c r="T135" s="598"/>
      <c r="U135" s="598"/>
    </row>
    <row r="136" spans="1:21" x14ac:dyDescent="0.25">
      <c r="B136" s="69"/>
      <c r="C136" s="69"/>
      <c r="D136" s="69"/>
      <c r="E136" s="69"/>
      <c r="F136" s="69"/>
      <c r="G136" s="69"/>
      <c r="H136" s="65"/>
      <c r="I136" s="101"/>
      <c r="N136" s="596" t="s">
        <v>7</v>
      </c>
      <c r="O136" s="596"/>
      <c r="P136" s="596"/>
      <c r="Q136" s="596"/>
      <c r="R136" s="596"/>
      <c r="S136" s="596"/>
      <c r="T136" s="596"/>
      <c r="U136" s="596"/>
    </row>
    <row r="137" spans="1:21" x14ac:dyDescent="0.25">
      <c r="A137" s="310" t="s">
        <v>74</v>
      </c>
      <c r="B137" s="311"/>
      <c r="C137" s="311"/>
      <c r="D137" s="311"/>
      <c r="E137" s="311"/>
      <c r="F137" s="311"/>
      <c r="G137" s="311"/>
      <c r="H137" s="312"/>
      <c r="I137" s="313">
        <f>I128+I135</f>
        <v>5152331.3099999987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2">
        <f>-881958.48-430423.13-430423.13-430423.13-430423.13-427648.38-426043.01-426836.22</f>
        <v>-3884178.6099999994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1268152.6999999993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3">
        <f>'1461'!I143</f>
        <v>3</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422717.57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145374.62449999992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2" t="s">
        <v>7</v>
      </c>
      <c r="B151" s="252"/>
      <c r="C151" s="252"/>
      <c r="D151" s="252"/>
      <c r="E151" s="252"/>
      <c r="F151" s="252"/>
      <c r="G151" s="252"/>
      <c r="H151" s="252"/>
      <c r="I151" s="252"/>
      <c r="J151" s="134"/>
      <c r="N151" s="73"/>
      <c r="O151" s="73"/>
      <c r="P151" s="73"/>
      <c r="Q151" s="73"/>
      <c r="R151" s="73"/>
      <c r="S151" s="73"/>
      <c r="T151" s="73"/>
      <c r="U151" s="73"/>
    </row>
    <row r="152" spans="1:21" ht="15.75" customHeight="1" x14ac:dyDescent="0.25">
      <c r="A152" s="321" t="str">
        <f>'1461'!A152</f>
        <v>(a) Additional FTE includes FTE earned through Advanced Placement, International Baccalaureate, Advanced International Certificate of Education, Industry Certified Career</v>
      </c>
      <c r="B152" s="387"/>
      <c r="C152" s="387"/>
      <c r="D152" s="387"/>
      <c r="E152" s="387"/>
      <c r="F152" s="387"/>
      <c r="G152" s="387"/>
      <c r="H152" s="387"/>
      <c r="I152" s="387"/>
      <c r="J152" s="77"/>
      <c r="K152" s="76"/>
      <c r="L152" s="76"/>
      <c r="M152" s="76"/>
      <c r="N152" s="73"/>
      <c r="O152" s="73"/>
      <c r="P152" s="73"/>
      <c r="Q152" s="73"/>
      <c r="R152" s="73"/>
      <c r="S152" s="73"/>
      <c r="T152" s="73"/>
      <c r="U152" s="73"/>
    </row>
    <row r="153" spans="1:21" ht="15.75" customHeight="1" x14ac:dyDescent="0.25">
      <c r="A153" s="352" t="s">
        <v>366</v>
      </c>
      <c r="B153" s="387"/>
      <c r="C153" s="387"/>
      <c r="D153" s="387"/>
      <c r="E153" s="387"/>
      <c r="F153" s="387"/>
      <c r="G153" s="387"/>
      <c r="H153" s="387"/>
      <c r="I153" s="387"/>
      <c r="J153" s="77"/>
      <c r="K153" s="76"/>
      <c r="L153" s="76"/>
      <c r="M153" s="76"/>
      <c r="N153" s="73"/>
      <c r="O153" s="73"/>
      <c r="P153" s="73"/>
      <c r="Q153" s="73"/>
      <c r="R153" s="73"/>
      <c r="S153" s="73"/>
      <c r="T153" s="73"/>
      <c r="U153" s="73"/>
    </row>
    <row r="154" spans="1:21" x14ac:dyDescent="0.25">
      <c r="A154" s="321" t="s">
        <v>367</v>
      </c>
      <c r="B154" s="252"/>
      <c r="C154" s="252"/>
      <c r="D154" s="252"/>
      <c r="E154" s="252"/>
      <c r="F154" s="252"/>
      <c r="G154" s="252"/>
      <c r="H154" s="252"/>
      <c r="I154" s="252"/>
      <c r="J154" s="76"/>
      <c r="K154" s="76"/>
      <c r="L154" s="76"/>
      <c r="M154" s="76"/>
      <c r="N154" s="73"/>
      <c r="O154" s="73"/>
      <c r="P154" s="73"/>
      <c r="Q154" s="73"/>
      <c r="R154" s="73"/>
      <c r="S154" s="73"/>
      <c r="T154" s="73"/>
      <c r="U154" s="73"/>
    </row>
    <row r="155" spans="1:21" s="76" customFormat="1" x14ac:dyDescent="0.2">
      <c r="A155" s="321" t="s">
        <v>368</v>
      </c>
      <c r="B155" s="252"/>
      <c r="C155" s="252"/>
      <c r="D155" s="252"/>
      <c r="E155" s="252"/>
      <c r="F155" s="252"/>
      <c r="G155" s="252"/>
      <c r="H155" s="252"/>
      <c r="I155" s="252"/>
      <c r="N155" s="597"/>
      <c r="O155" s="597"/>
      <c r="P155" s="597"/>
      <c r="Q155" s="597"/>
      <c r="R155" s="597"/>
      <c r="S155" s="597"/>
      <c r="T155" s="597"/>
      <c r="U155" s="597"/>
    </row>
    <row r="156" spans="1:21" s="76" customFormat="1" x14ac:dyDescent="0.2">
      <c r="A156" s="321" t="s">
        <v>369</v>
      </c>
      <c r="B156" s="252"/>
      <c r="C156" s="252"/>
      <c r="D156" s="252"/>
      <c r="E156" s="252"/>
      <c r="F156" s="252"/>
      <c r="G156" s="252"/>
      <c r="H156" s="252"/>
      <c r="I156" s="252"/>
      <c r="N156" s="73"/>
      <c r="O156" s="73"/>
      <c r="P156" s="73"/>
      <c r="Q156" s="73"/>
      <c r="R156" s="73"/>
      <c r="S156" s="73"/>
      <c r="T156" s="73"/>
      <c r="U156" s="73"/>
    </row>
    <row r="157" spans="1:21" s="76" customFormat="1" x14ac:dyDescent="0.2">
      <c r="A157" s="321" t="s">
        <v>370</v>
      </c>
      <c r="B157" s="252"/>
      <c r="C157" s="252"/>
      <c r="D157" s="252"/>
      <c r="E157" s="252"/>
      <c r="F157" s="252"/>
      <c r="G157" s="252"/>
      <c r="H157" s="252"/>
      <c r="I157" s="252"/>
      <c r="N157" s="78"/>
      <c r="O157" s="79"/>
      <c r="P157" s="79"/>
      <c r="Q157" s="79"/>
      <c r="R157" s="79"/>
      <c r="S157" s="79"/>
      <c r="T157" s="79"/>
      <c r="U157" s="79"/>
    </row>
    <row r="158" spans="1:21" s="76" customFormat="1" x14ac:dyDescent="0.2">
      <c r="A158" s="321" t="s">
        <v>371</v>
      </c>
      <c r="B158" s="252"/>
      <c r="C158" s="252"/>
      <c r="D158" s="252"/>
      <c r="E158" s="252"/>
      <c r="F158" s="252"/>
      <c r="G158" s="252"/>
      <c r="H158" s="252"/>
      <c r="I158" s="252"/>
      <c r="N158" s="78"/>
    </row>
    <row r="159" spans="1:21" s="76" customFormat="1" x14ac:dyDescent="0.2">
      <c r="A159" s="321" t="s">
        <v>373</v>
      </c>
      <c r="B159" s="252"/>
      <c r="C159" s="252"/>
      <c r="D159" s="252"/>
      <c r="E159" s="252"/>
      <c r="F159" s="252"/>
      <c r="G159" s="252"/>
      <c r="H159" s="252"/>
      <c r="I159" s="252"/>
      <c r="N159" s="78"/>
    </row>
    <row r="160" spans="1:21" s="76" customFormat="1" x14ac:dyDescent="0.2">
      <c r="A160" s="386" t="s">
        <v>372</v>
      </c>
      <c r="B160" s="252"/>
      <c r="C160" s="252"/>
      <c r="D160" s="252"/>
      <c r="E160" s="252"/>
      <c r="F160" s="252"/>
      <c r="G160" s="252"/>
      <c r="H160" s="252"/>
      <c r="I160" s="252"/>
      <c r="N160" s="78"/>
    </row>
    <row r="161" spans="1:14" s="76" customFormat="1" x14ac:dyDescent="0.2">
      <c r="A161" s="321" t="s">
        <v>374</v>
      </c>
      <c r="B161" s="252"/>
      <c r="C161" s="252"/>
      <c r="D161" s="252"/>
      <c r="E161" s="252"/>
      <c r="F161" s="252"/>
      <c r="G161" s="252"/>
      <c r="H161" s="252"/>
      <c r="I161" s="252"/>
      <c r="N161" s="78"/>
    </row>
    <row r="162" spans="1:14" s="76" customFormat="1" x14ac:dyDescent="0.2">
      <c r="A162" s="352" t="str">
        <f>'1461'!A162</f>
        <v>"All Adjusted ESE Riders" should include only ESE Riders.</v>
      </c>
      <c r="B162" s="252"/>
      <c r="C162" s="252"/>
      <c r="D162" s="252"/>
      <c r="E162" s="252"/>
      <c r="F162" s="252"/>
      <c r="G162" s="252"/>
      <c r="H162" s="252"/>
      <c r="I162" s="252"/>
      <c r="N162" s="78"/>
    </row>
    <row r="163" spans="1:14" s="76" customFormat="1" x14ac:dyDescent="0.2">
      <c r="A163" s="321" t="s">
        <v>377</v>
      </c>
      <c r="B163" s="252"/>
      <c r="C163" s="252"/>
      <c r="D163" s="252"/>
      <c r="E163" s="252"/>
      <c r="F163" s="252"/>
      <c r="G163" s="252"/>
      <c r="H163" s="252"/>
      <c r="I163" s="252"/>
      <c r="N163" s="78"/>
    </row>
    <row r="164" spans="1:14" s="76" customFormat="1" ht="15.75" customHeight="1" x14ac:dyDescent="0.2">
      <c r="A164" s="321" t="str">
        <f>'1461'!A164</f>
        <v xml:space="preserve">(j) Funding based on student eligibility and meals provided, if participating in the National School Lunch Program. </v>
      </c>
      <c r="B164" s="294"/>
      <c r="C164" s="294"/>
      <c r="D164" s="294"/>
      <c r="E164" s="294"/>
      <c r="F164" s="294"/>
      <c r="G164" s="294"/>
      <c r="H164" s="294"/>
      <c r="I164" s="294"/>
      <c r="N164" s="78"/>
    </row>
    <row r="165" spans="1:14" s="76" customFormat="1" ht="15.75" customHeight="1" x14ac:dyDescent="0.2">
      <c r="A165" s="321" t="s">
        <v>379</v>
      </c>
      <c r="B165" s="294"/>
      <c r="C165" s="294"/>
      <c r="D165" s="294"/>
      <c r="E165" s="294"/>
      <c r="F165" s="294"/>
      <c r="G165" s="294"/>
      <c r="H165" s="294"/>
      <c r="I165" s="294"/>
      <c r="N165" s="78"/>
    </row>
    <row r="166" spans="1:14" s="76" customFormat="1" ht="15.75" customHeight="1" x14ac:dyDescent="0.2">
      <c r="A166" s="352" t="s">
        <v>378</v>
      </c>
      <c r="B166" s="294"/>
      <c r="C166" s="294"/>
      <c r="D166" s="294"/>
      <c r="E166" s="294"/>
      <c r="F166" s="294"/>
      <c r="G166" s="294"/>
      <c r="H166" s="294"/>
      <c r="I166" s="294"/>
      <c r="N166" s="78"/>
    </row>
    <row r="167" spans="1:14" s="76" customFormat="1" ht="15.75" customHeight="1" x14ac:dyDescent="0.2">
      <c r="A167" s="321" t="s">
        <v>380</v>
      </c>
      <c r="B167" s="344"/>
      <c r="C167" s="344"/>
      <c r="D167" s="344"/>
      <c r="E167" s="344"/>
      <c r="F167" s="344"/>
      <c r="G167" s="344"/>
      <c r="H167" s="344"/>
      <c r="I167" s="344"/>
      <c r="N167" s="78"/>
    </row>
    <row r="168" spans="1:14" s="76" customFormat="1" ht="15.75" customHeight="1" x14ac:dyDescent="0.2">
      <c r="A168" s="352" t="str">
        <f>'1461'!A168</f>
        <v xml:space="preserve">unweighted full-time equivalent students. </v>
      </c>
      <c r="B168" s="344"/>
      <c r="C168" s="344"/>
      <c r="D168" s="344"/>
      <c r="E168" s="344"/>
      <c r="F168" s="344"/>
      <c r="G168" s="344"/>
      <c r="H168" s="344"/>
      <c r="I168" s="344"/>
      <c r="N168" s="78"/>
    </row>
    <row r="169" spans="1:14" s="76" customFormat="1" ht="15.75" customHeight="1" x14ac:dyDescent="0.2">
      <c r="A169" s="321" t="s">
        <v>382</v>
      </c>
      <c r="B169" s="344"/>
      <c r="C169" s="344"/>
      <c r="D169" s="344"/>
      <c r="E169" s="344"/>
      <c r="F169" s="344"/>
      <c r="G169" s="344"/>
      <c r="H169" s="344"/>
      <c r="I169" s="344"/>
      <c r="N169" s="78"/>
    </row>
    <row r="170" spans="1:14" s="76" customFormat="1" ht="15.75" customHeight="1" x14ac:dyDescent="0.2">
      <c r="A170" s="352" t="s">
        <v>381</v>
      </c>
      <c r="B170" s="344"/>
      <c r="C170" s="344"/>
      <c r="D170" s="344"/>
      <c r="E170" s="344"/>
      <c r="F170" s="344"/>
      <c r="G170" s="344"/>
      <c r="H170" s="344"/>
      <c r="I170" s="344"/>
      <c r="N170" s="78"/>
    </row>
    <row r="171" spans="1:14" s="76" customFormat="1" ht="15.75" customHeight="1" x14ac:dyDescent="0.2">
      <c r="A171" s="321"/>
      <c r="B171" s="344"/>
      <c r="C171" s="344"/>
      <c r="D171" s="344"/>
      <c r="E171" s="344"/>
      <c r="F171" s="344"/>
      <c r="G171" s="344"/>
      <c r="H171" s="344"/>
      <c r="I171" s="344"/>
      <c r="N171" s="78"/>
    </row>
    <row r="172" spans="1:14" s="76" customFormat="1" ht="15.75" customHeight="1" x14ac:dyDescent="0.25">
      <c r="A172" s="360" t="str">
        <f>'1461'!A172</f>
        <v>Administrative fees:</v>
      </c>
      <c r="B172" s="294"/>
      <c r="C172" s="294"/>
      <c r="D172" s="294"/>
      <c r="E172" s="294"/>
      <c r="F172" s="294"/>
      <c r="G172" s="294"/>
      <c r="H172" s="294"/>
      <c r="I172" s="294"/>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294"/>
      <c r="C173" s="294"/>
      <c r="D173" s="294"/>
      <c r="E173" s="294"/>
      <c r="F173" s="294"/>
      <c r="G173" s="294"/>
      <c r="H173" s="294"/>
      <c r="I173" s="294"/>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294"/>
      <c r="C174" s="294"/>
      <c r="D174" s="294"/>
      <c r="E174" s="294"/>
      <c r="F174" s="294"/>
      <c r="G174" s="294"/>
      <c r="H174" s="294"/>
      <c r="I174" s="294"/>
      <c r="J174" s="3"/>
      <c r="K174" s="3"/>
      <c r="L174" s="3"/>
      <c r="M174" s="3"/>
      <c r="N174" s="78"/>
    </row>
    <row r="175" spans="1:14" s="76" customFormat="1" ht="15.75" customHeight="1" x14ac:dyDescent="0.25">
      <c r="A175" s="362" t="s">
        <v>383</v>
      </c>
      <c r="B175" s="294"/>
      <c r="C175" s="294"/>
      <c r="D175" s="294"/>
      <c r="E175" s="294"/>
      <c r="F175" s="294"/>
      <c r="G175" s="294"/>
      <c r="H175" s="294"/>
      <c r="I175" s="294"/>
      <c r="J175" s="3"/>
      <c r="K175" s="3"/>
      <c r="L175" s="3"/>
      <c r="M175" s="3"/>
      <c r="N175" s="78"/>
    </row>
    <row r="176" spans="1:14" s="76" customFormat="1" ht="15.75" customHeight="1" x14ac:dyDescent="0.2">
      <c r="A176" s="362" t="s">
        <v>384</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294"/>
      <c r="C178" s="294"/>
      <c r="D178" s="294"/>
      <c r="E178" s="294"/>
      <c r="F178" s="294"/>
      <c r="G178" s="294"/>
      <c r="H178" s="294"/>
      <c r="I178" s="294"/>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4"/>
      <c r="C179" s="344"/>
      <c r="D179" s="344"/>
      <c r="E179" s="344"/>
      <c r="F179" s="344"/>
      <c r="G179" s="344"/>
      <c r="H179" s="344"/>
      <c r="I179" s="344"/>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294"/>
      <c r="C180" s="294"/>
      <c r="D180" s="294"/>
      <c r="E180" s="294"/>
      <c r="F180" s="294"/>
      <c r="G180" s="294"/>
      <c r="H180" s="294"/>
      <c r="I180" s="294"/>
      <c r="N180" s="74"/>
      <c r="O180" s="3"/>
      <c r="P180" s="3"/>
      <c r="Q180" s="3"/>
      <c r="R180" s="3"/>
      <c r="S180" s="3"/>
      <c r="T180" s="3"/>
      <c r="U180" s="3"/>
    </row>
    <row r="181" spans="1:21" x14ac:dyDescent="0.25">
      <c r="A181" s="321"/>
      <c r="N181" s="78"/>
      <c r="O181" s="76"/>
      <c r="P181" s="76"/>
      <c r="Q181" s="76"/>
      <c r="R181" s="76"/>
      <c r="S181" s="76"/>
      <c r="T181" s="76"/>
      <c r="U181" s="76"/>
    </row>
    <row r="182" spans="1:21" x14ac:dyDescent="0.25">
      <c r="A182" s="360" t="str">
        <f>'1461'!A182</f>
        <v>Other:</v>
      </c>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4" t="str">
        <f>'1461'!A184</f>
        <v>by the Commissioner of Education.</v>
      </c>
      <c r="N184" s="74"/>
    </row>
    <row r="185" spans="1:21" x14ac:dyDescent="0.25">
      <c r="A185" s="361"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6</vt:i4>
      </vt:variant>
    </vt:vector>
  </HeadingPairs>
  <TitlesOfParts>
    <vt:vector size="57" baseType="lpstr">
      <vt:lpstr>Net Payment</vt:lpstr>
      <vt:lpstr>Charter Schools</vt:lpstr>
      <vt:lpstr>Consolidated</vt:lpstr>
      <vt:lpstr>1461</vt:lpstr>
      <vt:lpstr>1571</vt:lpstr>
      <vt:lpstr>2521</vt:lpstr>
      <vt:lpstr>2531</vt:lpstr>
      <vt:lpstr>2791</vt:lpstr>
      <vt:lpstr>2801</vt:lpstr>
      <vt:lpstr>2911</vt:lpstr>
      <vt:lpstr>2941</vt:lpstr>
      <vt:lpstr>3083</vt:lpstr>
      <vt:lpstr>3345</vt:lpstr>
      <vt:lpstr>3381</vt:lpstr>
      <vt:lpstr>3382</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4131</vt:lpstr>
      <vt:lpstr>Virtual</vt:lpstr>
      <vt:lpstr>'1461'!Print_Area</vt:lpstr>
      <vt:lpstr>Consolidated!Print_Area</vt:lpstr>
      <vt:lpstr>'Net Payment'!Print_Area</vt:lpstr>
      <vt:lpstr>Virtual!Print_Area</vt:lpstr>
      <vt:lpstr>'1461'!Print_Titles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Frederick Passelli</cp:lastModifiedBy>
  <cp:lastPrinted>2024-04-05T12:33:11Z</cp:lastPrinted>
  <dcterms:created xsi:type="dcterms:W3CDTF">1998-02-12T20:21:54Z</dcterms:created>
  <dcterms:modified xsi:type="dcterms:W3CDTF">2024-04-09T18:23:26Z</dcterms:modified>
</cp:coreProperties>
</file>