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Charter Schools\!!FEFP\FY 24 - FEFP Funding\!Payments 2023-24\2023-07 Pmt\"/>
    </mc:Choice>
  </mc:AlternateContent>
  <bookViews>
    <workbookView xWindow="-120" yWindow="-120" windowWidth="38640" windowHeight="21240" tabRatio="759"/>
  </bookViews>
  <sheets>
    <sheet name="Net Payment" sheetId="64" r:id="rId1"/>
    <sheet name="Chg in Pmts" sheetId="79" r:id="rId2"/>
    <sheet name="FEFP - 23 vs 24" sheetId="80" r:id="rId3"/>
    <sheet name="Charter Schools" sheetId="65" r:id="rId4"/>
    <sheet name="Consolidated" sheetId="60" r:id="rId5"/>
    <sheet name="0664" sheetId="7" r:id="rId6"/>
    <sheet name="1461" sheetId="15" r:id="rId7"/>
    <sheet name="1571" sheetId="16" r:id="rId8"/>
    <sheet name="2521" sheetId="17" r:id="rId9"/>
    <sheet name="2531" sheetId="18" r:id="rId10"/>
    <sheet name="2791" sheetId="20" r:id="rId11"/>
    <sheet name="2801" sheetId="21" r:id="rId12"/>
    <sheet name="2911" sheetId="25" r:id="rId13"/>
    <sheet name="2941" sheetId="24" r:id="rId14"/>
    <sheet name="3083" sheetId="22" r:id="rId15"/>
    <sheet name="3345" sheetId="26" r:id="rId16"/>
    <sheet name="3381" sheetId="27" r:id="rId17"/>
    <sheet name="3382" sheetId="28" r:id="rId18"/>
    <sheet name="3391" sheetId="31" r:id="rId19"/>
    <sheet name="3394" sheetId="32" r:id="rId20"/>
    <sheet name="3395" sheetId="33" r:id="rId21"/>
    <sheet name="3396" sheetId="34" r:id="rId22"/>
    <sheet name="3398" sheetId="35" r:id="rId23"/>
    <sheet name="3400" sheetId="23" r:id="rId24"/>
    <sheet name="3401" sheetId="36" r:id="rId25"/>
    <sheet name="3413" sheetId="37" r:id="rId26"/>
    <sheet name="3421" sheetId="38" r:id="rId27"/>
    <sheet name="3431" sheetId="39" r:id="rId28"/>
    <sheet name="3441" sheetId="40" r:id="rId29"/>
    <sheet name="3924" sheetId="42" r:id="rId30"/>
    <sheet name="3941" sheetId="43" r:id="rId31"/>
    <sheet name="3961" sheetId="44" r:id="rId32"/>
    <sheet name="3971" sheetId="45" r:id="rId33"/>
    <sheet name="4001" sheetId="47" r:id="rId34"/>
    <sheet name="4002" sheetId="48" r:id="rId35"/>
    <sheet name="4012" sheetId="50" r:id="rId36"/>
    <sheet name="4013" sheetId="51" r:id="rId37"/>
    <sheet name="4020" sheetId="52" r:id="rId38"/>
    <sheet name="4030" sheetId="75" r:id="rId39"/>
    <sheet name="4031" sheetId="76" r:id="rId40"/>
    <sheet name="4041" sheetId="55" r:id="rId41"/>
    <sheet name="4050" sheetId="56" r:id="rId42"/>
    <sheet name="4051" sheetId="57" r:id="rId43"/>
    <sheet name="4061" sheetId="58" r:id="rId44"/>
    <sheet name="4080" sheetId="66" r:id="rId45"/>
    <sheet name="4081" sheetId="67" r:id="rId46"/>
    <sheet name="4090" sheetId="69" r:id="rId47"/>
    <sheet name="4091" sheetId="70" r:id="rId48"/>
    <sheet name="4100" sheetId="71" r:id="rId49"/>
    <sheet name="4102" sheetId="68" r:id="rId50"/>
    <sheet name="4103" sheetId="77" r:id="rId51"/>
    <sheet name="4111" sheetId="78" r:id="rId52"/>
    <sheet name="4131" sheetId="30" r:id="rId53"/>
    <sheet name="Virtual" sheetId="62" state="hidden" r:id="rId54"/>
  </sheets>
  <definedNames>
    <definedName name="_xlnm._FilterDatabase" localSheetId="2" hidden="1">'FEFP - 23 vs 24'!$B$1:$H$58</definedName>
    <definedName name="_xlnm._FilterDatabase" localSheetId="0" hidden="1">'Net Payment'!$A$4:$G$450</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1"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localSheetId="1" hidden="1">{"'AssumptionsHTML'!$B$9:$E$357","'SummationHTML'!$A$4:$J$93","'Difference'!$A$11:$K$101","'DifferenceFTE'!$A$11:$K$101","'Detail1'!$A$11:$I$97","'Detail2'!$A$11:$J$97","'Detail3'!$A$11:$J$97","'Categorical1'!$A$11:$L$97"}</definedName>
    <definedName name="HTML_Control" localSheetId="2"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1"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5">'0664'!$A$6:$I$135</definedName>
    <definedName name="_xlnm.Print_Area" localSheetId="1">'Chg in Pmts'!$A$4:$E$54</definedName>
    <definedName name="_xlnm.Print_Area" localSheetId="2">'FEFP - 23 vs 24'!$F$5:$GR$58</definedName>
    <definedName name="_xlnm.Print_Area" localSheetId="0">'Net Payment'!$A$5:$G$510</definedName>
    <definedName name="_xlnm.Print_Area" localSheetId="53">Virtual!$B$2:$G$38</definedName>
    <definedName name="_xlnm.Print_Titles" localSheetId="5">'0664'!$2:$5</definedName>
    <definedName name="_xlnm.Print_Titles" localSheetId="1">'Chg in Pmts'!$1:$3</definedName>
    <definedName name="_xlnm.Print_Titles" localSheetId="2">'FEFP - 23 vs 24'!$A:$E,'FEFP - 23 vs 24'!$1:$4</definedName>
    <definedName name="_xlnm.Print_Titles" localSheetId="0">'Net Payment'!$1:$4</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1"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62913"/>
</workbook>
</file>

<file path=xl/calcChain.xml><?xml version="1.0" encoding="utf-8"?>
<calcChain xmlns="http://schemas.openxmlformats.org/spreadsheetml/2006/main">
  <c r="GP58" i="80" l="1"/>
  <c r="GR58" i="80" s="1"/>
  <c r="GL58" i="80"/>
  <c r="GN58" i="80" s="1"/>
  <c r="GH58" i="80"/>
  <c r="GJ58" i="80" s="1"/>
  <c r="GD58" i="80"/>
  <c r="GF58" i="80" s="1"/>
  <c r="FZ58" i="80"/>
  <c r="GB58" i="80" s="1"/>
  <c r="FV58" i="80"/>
  <c r="FX58" i="80" s="1"/>
  <c r="FR58" i="80"/>
  <c r="FT58" i="80" s="1"/>
  <c r="FN58" i="80"/>
  <c r="FP58" i="80" s="1"/>
  <c r="FJ58" i="80"/>
  <c r="FL58" i="80" s="1"/>
  <c r="FF58" i="80"/>
  <c r="FH58" i="80" s="1"/>
  <c r="FD58" i="80"/>
  <c r="FB58" i="80"/>
  <c r="EX58" i="80"/>
  <c r="EZ58" i="80" s="1"/>
  <c r="ET58" i="80"/>
  <c r="EV58" i="80" s="1"/>
  <c r="EP58" i="80"/>
  <c r="ER58" i="80" s="1"/>
  <c r="EL58" i="80"/>
  <c r="EN58" i="80" s="1"/>
  <c r="EH58" i="80"/>
  <c r="EJ58" i="80" s="1"/>
  <c r="ED58" i="80"/>
  <c r="EF58" i="80" s="1"/>
  <c r="DZ58" i="80"/>
  <c r="EB58" i="80" s="1"/>
  <c r="DV58" i="80"/>
  <c r="DX58" i="80" s="1"/>
  <c r="DR58" i="80"/>
  <c r="DT58" i="80" s="1"/>
  <c r="DN58" i="80"/>
  <c r="DP58" i="80" s="1"/>
  <c r="DJ58" i="80"/>
  <c r="DL58" i="80" s="1"/>
  <c r="DF58" i="80"/>
  <c r="DH58" i="80" s="1"/>
  <c r="DB58" i="80"/>
  <c r="DD58" i="80" s="1"/>
  <c r="CX58" i="80"/>
  <c r="CZ58" i="80" s="1"/>
  <c r="CT58" i="80"/>
  <c r="CV58" i="80" s="1"/>
  <c r="CP58" i="80"/>
  <c r="CR58" i="80" s="1"/>
  <c r="CL58" i="80"/>
  <c r="CN58" i="80" s="1"/>
  <c r="CH58" i="80"/>
  <c r="CJ58" i="80" s="1"/>
  <c r="CD58" i="80"/>
  <c r="CF58" i="80" s="1"/>
  <c r="BZ58" i="80"/>
  <c r="CB58" i="80" s="1"/>
  <c r="BV58" i="80"/>
  <c r="BX58" i="80" s="1"/>
  <c r="BR58" i="80"/>
  <c r="BT58" i="80" s="1"/>
  <c r="BN58" i="80"/>
  <c r="BP58" i="80" s="1"/>
  <c r="BJ58" i="80"/>
  <c r="BL58" i="80" s="1"/>
  <c r="BF58" i="80"/>
  <c r="BH58" i="80" s="1"/>
  <c r="BB58" i="80"/>
  <c r="BD58" i="80" s="1"/>
  <c r="AX58" i="80"/>
  <c r="AZ58" i="80" s="1"/>
  <c r="AT58" i="80"/>
  <c r="AV58" i="80" s="1"/>
  <c r="AP58" i="80"/>
  <c r="AR58" i="80" s="1"/>
  <c r="AL58" i="80"/>
  <c r="AN58" i="80" s="1"/>
  <c r="AH58" i="80"/>
  <c r="AJ58" i="80" s="1"/>
  <c r="AD58" i="80"/>
  <c r="AF58" i="80" s="1"/>
  <c r="Z58" i="80"/>
  <c r="AB58" i="80" s="1"/>
  <c r="V58" i="80"/>
  <c r="X58" i="80" s="1"/>
  <c r="R58" i="80"/>
  <c r="T58" i="80" s="1"/>
  <c r="N58" i="80"/>
  <c r="P58" i="80" s="1"/>
  <c r="J58" i="80"/>
  <c r="L58" i="80" s="1"/>
  <c r="F58" i="80"/>
  <c r="H58" i="80" s="1"/>
  <c r="GQ57" i="80"/>
  <c r="GM57" i="80"/>
  <c r="GI57" i="80"/>
  <c r="GE57" i="80"/>
  <c r="GA57" i="80"/>
  <c r="FW57" i="80"/>
  <c r="FS57" i="80"/>
  <c r="FO57" i="80"/>
  <c r="FK57" i="80"/>
  <c r="FG57" i="80"/>
  <c r="FC57" i="80"/>
  <c r="EY57" i="80"/>
  <c r="EU57" i="80"/>
  <c r="EQ57" i="80"/>
  <c r="EM57" i="80"/>
  <c r="EI57" i="80"/>
  <c r="EE57" i="80"/>
  <c r="EA57" i="80"/>
  <c r="DW57" i="80"/>
  <c r="DS57" i="80"/>
  <c r="DO57" i="80"/>
  <c r="DK57" i="80"/>
  <c r="DG57" i="80"/>
  <c r="DC57" i="80"/>
  <c r="CY57" i="80"/>
  <c r="CU57" i="80"/>
  <c r="CQ57" i="80"/>
  <c r="CM57" i="80"/>
  <c r="CI57" i="80"/>
  <c r="CE57" i="80"/>
  <c r="CA57" i="80"/>
  <c r="BW57" i="80"/>
  <c r="BS57" i="80"/>
  <c r="BO57" i="80"/>
  <c r="BK57" i="80"/>
  <c r="BG57" i="80"/>
  <c r="BC57" i="80"/>
  <c r="AY57" i="80"/>
  <c r="AU57" i="80"/>
  <c r="AQ57" i="80"/>
  <c r="AM57" i="80"/>
  <c r="AI57" i="80"/>
  <c r="AE57" i="80"/>
  <c r="AA57" i="80"/>
  <c r="W57" i="80"/>
  <c r="S57" i="80"/>
  <c r="O57" i="80"/>
  <c r="K57" i="80"/>
  <c r="G57" i="80"/>
  <c r="GQ56" i="80"/>
  <c r="GM56" i="80"/>
  <c r="GI56" i="80"/>
  <c r="GE56" i="80"/>
  <c r="GA56" i="80"/>
  <c r="FW56" i="80"/>
  <c r="FS56" i="80"/>
  <c r="FO56" i="80"/>
  <c r="FK56" i="80"/>
  <c r="FG56" i="80"/>
  <c r="FC56" i="80"/>
  <c r="EY56" i="80"/>
  <c r="EU56" i="80"/>
  <c r="EQ56" i="80"/>
  <c r="EM56" i="80"/>
  <c r="EI56" i="80"/>
  <c r="EE56" i="80"/>
  <c r="EA56" i="80"/>
  <c r="DW56" i="80"/>
  <c r="DS56" i="80"/>
  <c r="DO56" i="80"/>
  <c r="DK56" i="80"/>
  <c r="DG56" i="80"/>
  <c r="DC56" i="80"/>
  <c r="CY56" i="80"/>
  <c r="CU56" i="80"/>
  <c r="CQ56" i="80"/>
  <c r="CM56" i="80"/>
  <c r="CI56" i="80"/>
  <c r="CE56" i="80"/>
  <c r="CA56" i="80"/>
  <c r="BW56" i="80"/>
  <c r="BS56" i="80"/>
  <c r="BO56" i="80"/>
  <c r="BK56" i="80"/>
  <c r="BG56" i="80"/>
  <c r="BC56" i="80"/>
  <c r="AY56" i="80"/>
  <c r="AU56" i="80"/>
  <c r="AQ56" i="80"/>
  <c r="AM56" i="80"/>
  <c r="AI56" i="80"/>
  <c r="AE56" i="80"/>
  <c r="AA56" i="80"/>
  <c r="W56" i="80"/>
  <c r="S56" i="80"/>
  <c r="O56" i="80"/>
  <c r="K56" i="80"/>
  <c r="G56" i="80"/>
  <c r="GQ55" i="80"/>
  <c r="GM55" i="80"/>
  <c r="GI55" i="80"/>
  <c r="GE55" i="80"/>
  <c r="GA55" i="80"/>
  <c r="FW55" i="80"/>
  <c r="FS55" i="80"/>
  <c r="FO55" i="80"/>
  <c r="FK55" i="80"/>
  <c r="FG55" i="80"/>
  <c r="FC55" i="80"/>
  <c r="EY55" i="80"/>
  <c r="EU55" i="80"/>
  <c r="EQ55" i="80"/>
  <c r="EM55" i="80"/>
  <c r="EI55" i="80"/>
  <c r="EE55" i="80"/>
  <c r="EA55" i="80"/>
  <c r="DW55" i="80"/>
  <c r="DS55" i="80"/>
  <c r="DO55" i="80"/>
  <c r="DK55" i="80"/>
  <c r="DG55" i="80"/>
  <c r="DC55" i="80"/>
  <c r="CY55" i="80"/>
  <c r="CU55" i="80"/>
  <c r="CQ55" i="80"/>
  <c r="CM55" i="80"/>
  <c r="CI55" i="80"/>
  <c r="CE55" i="80"/>
  <c r="CA55" i="80"/>
  <c r="BW55" i="80"/>
  <c r="BS55" i="80"/>
  <c r="BO55" i="80"/>
  <c r="BK55" i="80"/>
  <c r="BG55" i="80"/>
  <c r="BC55" i="80"/>
  <c r="AY55" i="80"/>
  <c r="AU55" i="80"/>
  <c r="AQ55" i="80"/>
  <c r="AM55" i="80"/>
  <c r="AI55" i="80"/>
  <c r="AE55" i="80"/>
  <c r="AA55" i="80"/>
  <c r="W55" i="80"/>
  <c r="S55" i="80"/>
  <c r="O55" i="80"/>
  <c r="K55" i="80"/>
  <c r="G55" i="80"/>
  <c r="GQ54" i="80"/>
  <c r="GM54" i="80"/>
  <c r="GI54" i="80"/>
  <c r="GE54" i="80"/>
  <c r="GA54" i="80"/>
  <c r="FW54" i="80"/>
  <c r="FS54" i="80"/>
  <c r="FO54" i="80"/>
  <c r="FK54" i="80"/>
  <c r="FG54" i="80"/>
  <c r="FC54" i="80"/>
  <c r="EY54" i="80"/>
  <c r="EU54" i="80"/>
  <c r="EQ54" i="80"/>
  <c r="EM54" i="80"/>
  <c r="EI54" i="80"/>
  <c r="EE54" i="80"/>
  <c r="EA54" i="80"/>
  <c r="DW54" i="80"/>
  <c r="DS54" i="80"/>
  <c r="DO54" i="80"/>
  <c r="DK54" i="80"/>
  <c r="DG54" i="80"/>
  <c r="DC54" i="80"/>
  <c r="CY54" i="80"/>
  <c r="CU54" i="80"/>
  <c r="CQ54" i="80"/>
  <c r="CM54" i="80"/>
  <c r="CI54" i="80"/>
  <c r="CE54" i="80"/>
  <c r="CA54" i="80"/>
  <c r="BW54" i="80"/>
  <c r="BS54" i="80"/>
  <c r="BO54" i="80"/>
  <c r="BK54" i="80"/>
  <c r="BG54" i="80"/>
  <c r="BC54" i="80"/>
  <c r="AY54" i="80"/>
  <c r="AU54" i="80"/>
  <c r="AQ54" i="80"/>
  <c r="AM54" i="80"/>
  <c r="AI54" i="80"/>
  <c r="AE54" i="80"/>
  <c r="AA54" i="80"/>
  <c r="W54" i="80"/>
  <c r="S54" i="80"/>
  <c r="O54" i="80"/>
  <c r="K54" i="80"/>
  <c r="G54" i="80"/>
  <c r="GQ53" i="80"/>
  <c r="GM53" i="80"/>
  <c r="GI53" i="80"/>
  <c r="GE53" i="80"/>
  <c r="GA53" i="80"/>
  <c r="FW53" i="80"/>
  <c r="FS53" i="80"/>
  <c r="FO53" i="80"/>
  <c r="FK53" i="80"/>
  <c r="FG53" i="80"/>
  <c r="FC53" i="80"/>
  <c r="EY53" i="80"/>
  <c r="EU53" i="80"/>
  <c r="EQ53" i="80"/>
  <c r="EM53" i="80"/>
  <c r="EI53" i="80"/>
  <c r="EE53" i="80"/>
  <c r="EA53" i="80"/>
  <c r="DW53" i="80"/>
  <c r="DS53" i="80"/>
  <c r="DO53" i="80"/>
  <c r="DK53" i="80"/>
  <c r="DG53" i="80"/>
  <c r="DC53" i="80"/>
  <c r="CY53" i="80"/>
  <c r="CU53" i="80"/>
  <c r="CQ53" i="80"/>
  <c r="CM53" i="80"/>
  <c r="CI53" i="80"/>
  <c r="CE53" i="80"/>
  <c r="CA53" i="80"/>
  <c r="BW53" i="80"/>
  <c r="BS53" i="80"/>
  <c r="BO53" i="80"/>
  <c r="BK53" i="80"/>
  <c r="BG53" i="80"/>
  <c r="BC53" i="80"/>
  <c r="AY53" i="80"/>
  <c r="AU53" i="80"/>
  <c r="AQ53" i="80"/>
  <c r="AM53" i="80"/>
  <c r="AI53" i="80"/>
  <c r="AE53" i="80"/>
  <c r="AA53" i="80"/>
  <c r="W53" i="80"/>
  <c r="S53" i="80"/>
  <c r="O53" i="80"/>
  <c r="K53" i="80"/>
  <c r="G53" i="80"/>
  <c r="GQ52" i="80"/>
  <c r="GM52" i="80"/>
  <c r="GI52" i="80"/>
  <c r="GE52" i="80"/>
  <c r="GA52" i="80"/>
  <c r="FW52" i="80"/>
  <c r="FS52" i="80"/>
  <c r="FO52" i="80"/>
  <c r="FK52" i="80"/>
  <c r="FG52" i="80"/>
  <c r="FC52" i="80"/>
  <c r="EY52" i="80"/>
  <c r="EU52" i="80"/>
  <c r="EQ52" i="80"/>
  <c r="EM52" i="80"/>
  <c r="EI52" i="80"/>
  <c r="EE52" i="80"/>
  <c r="EA52" i="80"/>
  <c r="DW52" i="80"/>
  <c r="DS52" i="80"/>
  <c r="DO52" i="80"/>
  <c r="DK52" i="80"/>
  <c r="DG52" i="80"/>
  <c r="DC52" i="80"/>
  <c r="CY52" i="80"/>
  <c r="CU52" i="80"/>
  <c r="CQ52" i="80"/>
  <c r="CM52" i="80"/>
  <c r="CI52" i="80"/>
  <c r="CE52" i="80"/>
  <c r="CA52" i="80"/>
  <c r="BW52" i="80"/>
  <c r="BS52" i="80"/>
  <c r="BO52" i="80"/>
  <c r="BK52" i="80"/>
  <c r="BG52" i="80"/>
  <c r="BC52" i="80"/>
  <c r="AY52" i="80"/>
  <c r="AU52" i="80"/>
  <c r="AQ52" i="80"/>
  <c r="AM52" i="80"/>
  <c r="AI52" i="80"/>
  <c r="AE52" i="80"/>
  <c r="AA52" i="80"/>
  <c r="W52" i="80"/>
  <c r="S52" i="80"/>
  <c r="O52" i="80"/>
  <c r="K52" i="80"/>
  <c r="G52" i="80"/>
  <c r="GQ51" i="80"/>
  <c r="GM51" i="80"/>
  <c r="GI51" i="80"/>
  <c r="GE51" i="80"/>
  <c r="GA51" i="80"/>
  <c r="FW51" i="80"/>
  <c r="FS51" i="80"/>
  <c r="FO51" i="80"/>
  <c r="FK51" i="80"/>
  <c r="FG51" i="80"/>
  <c r="FC51" i="80"/>
  <c r="EY51" i="80"/>
  <c r="EU51" i="80"/>
  <c r="EQ51" i="80"/>
  <c r="EM51" i="80"/>
  <c r="EI51" i="80"/>
  <c r="EE51" i="80"/>
  <c r="EA51" i="80"/>
  <c r="DW51" i="80"/>
  <c r="DS51" i="80"/>
  <c r="DO51" i="80"/>
  <c r="DK51" i="80"/>
  <c r="DG51" i="80"/>
  <c r="DC51" i="80"/>
  <c r="CY51" i="80"/>
  <c r="CU51" i="80"/>
  <c r="CQ51" i="80"/>
  <c r="CM51" i="80"/>
  <c r="CI51" i="80"/>
  <c r="CE51" i="80"/>
  <c r="CA51" i="80"/>
  <c r="BW51" i="80"/>
  <c r="BS51" i="80"/>
  <c r="BO51" i="80"/>
  <c r="BK51" i="80"/>
  <c r="BG51" i="80"/>
  <c r="BC51" i="80"/>
  <c r="AY51" i="80"/>
  <c r="AU51" i="80"/>
  <c r="AQ51" i="80"/>
  <c r="AM51" i="80"/>
  <c r="AI51" i="80"/>
  <c r="AE51" i="80"/>
  <c r="AA51" i="80"/>
  <c r="W51" i="80"/>
  <c r="S51" i="80"/>
  <c r="O51" i="80"/>
  <c r="K51" i="80"/>
  <c r="G51" i="80"/>
  <c r="GQ50" i="80"/>
  <c r="GM50" i="80"/>
  <c r="GI50" i="80"/>
  <c r="GE50" i="80"/>
  <c r="GA50" i="80"/>
  <c r="FW50" i="80"/>
  <c r="FS50" i="80"/>
  <c r="FO50" i="80"/>
  <c r="FK50" i="80"/>
  <c r="FG50" i="80"/>
  <c r="FC50" i="80"/>
  <c r="EY50" i="80"/>
  <c r="EU50" i="80"/>
  <c r="EQ50" i="80"/>
  <c r="EM50" i="80"/>
  <c r="EI50" i="80"/>
  <c r="EE50" i="80"/>
  <c r="EA50" i="80"/>
  <c r="DW50" i="80"/>
  <c r="DS50" i="80"/>
  <c r="DO50" i="80"/>
  <c r="DK50" i="80"/>
  <c r="DG50" i="80"/>
  <c r="DC50" i="80"/>
  <c r="CY50" i="80"/>
  <c r="CU50" i="80"/>
  <c r="CQ50" i="80"/>
  <c r="CM50" i="80"/>
  <c r="CI50" i="80"/>
  <c r="CE50" i="80"/>
  <c r="CA50" i="80"/>
  <c r="BW50" i="80"/>
  <c r="BS50" i="80"/>
  <c r="BO50" i="80"/>
  <c r="BK50" i="80"/>
  <c r="BG50" i="80"/>
  <c r="BC50" i="80"/>
  <c r="AY50" i="80"/>
  <c r="AU50" i="80"/>
  <c r="AQ50" i="80"/>
  <c r="AM50" i="80"/>
  <c r="AI50" i="80"/>
  <c r="AE50" i="80"/>
  <c r="AA50" i="80"/>
  <c r="W50" i="80"/>
  <c r="S50" i="80"/>
  <c r="O50" i="80"/>
  <c r="K50" i="80"/>
  <c r="G50" i="80"/>
  <c r="GQ49" i="80"/>
  <c r="GM49" i="80"/>
  <c r="GI49" i="80"/>
  <c r="GE49" i="80"/>
  <c r="GA49" i="80"/>
  <c r="FW49" i="80"/>
  <c r="FS49" i="80"/>
  <c r="FO49" i="80"/>
  <c r="FK49" i="80"/>
  <c r="FG49" i="80"/>
  <c r="FC49" i="80"/>
  <c r="EY49" i="80"/>
  <c r="EU49" i="80"/>
  <c r="EQ49" i="80"/>
  <c r="EM49" i="80"/>
  <c r="EI49" i="80"/>
  <c r="EE49" i="80"/>
  <c r="EA49" i="80"/>
  <c r="DW49" i="80"/>
  <c r="DS49" i="80"/>
  <c r="DO49" i="80"/>
  <c r="DK49" i="80"/>
  <c r="DG49" i="80"/>
  <c r="DC49" i="80"/>
  <c r="CY49" i="80"/>
  <c r="CU49" i="80"/>
  <c r="CQ49" i="80"/>
  <c r="CM49" i="80"/>
  <c r="CI49" i="80"/>
  <c r="CE49" i="80"/>
  <c r="CA49" i="80"/>
  <c r="BW49" i="80"/>
  <c r="BS49" i="80"/>
  <c r="BO49" i="80"/>
  <c r="BK49" i="80"/>
  <c r="BG49" i="80"/>
  <c r="BC49" i="80"/>
  <c r="AY49" i="80"/>
  <c r="AU49" i="80"/>
  <c r="AQ49" i="80"/>
  <c r="AM49" i="80"/>
  <c r="AI49" i="80"/>
  <c r="AE49" i="80"/>
  <c r="AA49" i="80"/>
  <c r="W49" i="80"/>
  <c r="S49" i="80"/>
  <c r="O49" i="80"/>
  <c r="K49" i="80"/>
  <c r="G49" i="80"/>
  <c r="GM44" i="80"/>
  <c r="GI44" i="80"/>
  <c r="GE44" i="80"/>
  <c r="GA44" i="80"/>
  <c r="FW44" i="80"/>
  <c r="FS44" i="80"/>
  <c r="FO44" i="80"/>
  <c r="FK44" i="80"/>
  <c r="FG44" i="80"/>
  <c r="FC44" i="80"/>
  <c r="EY44" i="80"/>
  <c r="EU44" i="80"/>
  <c r="EQ44" i="80"/>
  <c r="EM44" i="80"/>
  <c r="EI44" i="80"/>
  <c r="EE44" i="80"/>
  <c r="EA44" i="80"/>
  <c r="DW44" i="80"/>
  <c r="DS44" i="80"/>
  <c r="DO44" i="80"/>
  <c r="DK44" i="80"/>
  <c r="DG44" i="80"/>
  <c r="DC44" i="80"/>
  <c r="CY44" i="80"/>
  <c r="CU44" i="80"/>
  <c r="CQ44" i="80"/>
  <c r="CM44" i="80"/>
  <c r="CI44" i="80"/>
  <c r="CE44" i="80"/>
  <c r="CA44" i="80"/>
  <c r="BW44" i="80"/>
  <c r="BS44" i="80"/>
  <c r="BO44" i="80"/>
  <c r="BK44" i="80"/>
  <c r="BG44" i="80"/>
  <c r="BC44" i="80"/>
  <c r="AY44" i="80"/>
  <c r="AU44" i="80"/>
  <c r="AQ44" i="80"/>
  <c r="AM44" i="80"/>
  <c r="AI44" i="80"/>
  <c r="AE44" i="80"/>
  <c r="AA44" i="80"/>
  <c r="W44" i="80"/>
  <c r="S44" i="80"/>
  <c r="O44" i="80"/>
  <c r="K44" i="80"/>
  <c r="G44" i="80"/>
  <c r="GQ43" i="80"/>
  <c r="GQ42" i="80"/>
  <c r="GQ41" i="80"/>
  <c r="GQ40" i="80"/>
  <c r="GQ39" i="80"/>
  <c r="GQ38" i="80"/>
  <c r="GQ37" i="80"/>
  <c r="GQ36" i="80"/>
  <c r="GQ35" i="80"/>
  <c r="GQ34" i="80"/>
  <c r="GQ33" i="80"/>
  <c r="GQ32" i="80"/>
  <c r="GQ31" i="80"/>
  <c r="GQ30" i="80"/>
  <c r="GQ29" i="80"/>
  <c r="GQ28" i="80"/>
  <c r="GQ23" i="80"/>
  <c r="GP23" i="80"/>
  <c r="GN23" i="80"/>
  <c r="GJ23" i="80"/>
  <c r="GF23" i="80"/>
  <c r="GB23" i="80"/>
  <c r="FX23" i="80"/>
  <c r="FT23" i="80"/>
  <c r="FP23" i="80"/>
  <c r="FL23" i="80"/>
  <c r="FH23" i="80"/>
  <c r="FD23" i="80"/>
  <c r="EZ23" i="80"/>
  <c r="EV23" i="80"/>
  <c r="ER23" i="80"/>
  <c r="EN23" i="80"/>
  <c r="EJ23" i="80"/>
  <c r="EF23" i="80"/>
  <c r="EB23" i="80"/>
  <c r="DX23" i="80"/>
  <c r="DT23" i="80"/>
  <c r="DP23" i="80"/>
  <c r="DL23" i="80"/>
  <c r="DH23" i="80"/>
  <c r="DD23" i="80"/>
  <c r="CZ23" i="80"/>
  <c r="CV23" i="80"/>
  <c r="CR23" i="80"/>
  <c r="CN23" i="80"/>
  <c r="CJ23" i="80"/>
  <c r="CF23" i="80"/>
  <c r="CB23" i="80"/>
  <c r="BX23" i="80"/>
  <c r="BT23" i="80"/>
  <c r="BP23" i="80"/>
  <c r="BL23" i="80"/>
  <c r="BH23" i="80"/>
  <c r="BD23" i="80"/>
  <c r="AZ23" i="80"/>
  <c r="AV23" i="80"/>
  <c r="AR23" i="80"/>
  <c r="AN23" i="80"/>
  <c r="AJ23" i="80"/>
  <c r="AF23" i="80"/>
  <c r="AB23" i="80"/>
  <c r="X23" i="80"/>
  <c r="T23" i="80"/>
  <c r="P23" i="80"/>
  <c r="L23" i="80"/>
  <c r="H23" i="80"/>
  <c r="GQ22" i="80"/>
  <c r="GP22" i="80"/>
  <c r="GN22" i="80"/>
  <c r="GJ22" i="80"/>
  <c r="GF22" i="80"/>
  <c r="GB22" i="80"/>
  <c r="FX22" i="80"/>
  <c r="FT22" i="80"/>
  <c r="FP22" i="80"/>
  <c r="FL22" i="80"/>
  <c r="FH22" i="80"/>
  <c r="FD22" i="80"/>
  <c r="EZ22" i="80"/>
  <c r="EV22" i="80"/>
  <c r="ER22" i="80"/>
  <c r="EN22" i="80"/>
  <c r="EJ22" i="80"/>
  <c r="EF22" i="80"/>
  <c r="EB22" i="80"/>
  <c r="DX22" i="80"/>
  <c r="DT22" i="80"/>
  <c r="DP22" i="80"/>
  <c r="DL22" i="80"/>
  <c r="DH22" i="80"/>
  <c r="DD22" i="80"/>
  <c r="CZ22" i="80"/>
  <c r="CV22" i="80"/>
  <c r="CR22" i="80"/>
  <c r="CN22" i="80"/>
  <c r="CJ22" i="80"/>
  <c r="CF22" i="80"/>
  <c r="CB22" i="80"/>
  <c r="BX22" i="80"/>
  <c r="BT22" i="80"/>
  <c r="BP22" i="80"/>
  <c r="BL22" i="80"/>
  <c r="BH22" i="80"/>
  <c r="BD22" i="80"/>
  <c r="AZ22" i="80"/>
  <c r="AV22" i="80"/>
  <c r="AR22" i="80"/>
  <c r="AN22" i="80"/>
  <c r="AJ22" i="80"/>
  <c r="AF22" i="80"/>
  <c r="AB22" i="80"/>
  <c r="X22" i="80"/>
  <c r="T22" i="80"/>
  <c r="P22" i="80"/>
  <c r="L22" i="80"/>
  <c r="H22" i="80"/>
  <c r="EM21" i="80"/>
  <c r="AU21" i="80"/>
  <c r="GM20" i="80"/>
  <c r="GM21" i="80" s="1"/>
  <c r="GL20" i="80"/>
  <c r="GL24" i="80" s="1"/>
  <c r="GI20" i="80"/>
  <c r="GI24" i="80" s="1"/>
  <c r="GH20" i="80"/>
  <c r="GH21" i="80" s="1"/>
  <c r="GE20" i="80"/>
  <c r="GE21" i="80" s="1"/>
  <c r="GD20" i="80"/>
  <c r="GD24" i="80" s="1"/>
  <c r="GA20" i="80"/>
  <c r="GA24" i="80" s="1"/>
  <c r="FZ20" i="80"/>
  <c r="FZ24" i="80" s="1"/>
  <c r="FW20" i="80"/>
  <c r="FW21" i="80" s="1"/>
  <c r="FV20" i="80"/>
  <c r="FV24" i="80" s="1"/>
  <c r="FS20" i="80"/>
  <c r="FS24" i="80" s="1"/>
  <c r="FR20" i="80"/>
  <c r="FR21" i="80" s="1"/>
  <c r="FO20" i="80"/>
  <c r="FO21" i="80" s="1"/>
  <c r="FN20" i="80"/>
  <c r="FN24" i="80" s="1"/>
  <c r="FK20" i="80"/>
  <c r="FK24" i="80" s="1"/>
  <c r="FJ20" i="80"/>
  <c r="FJ24" i="80" s="1"/>
  <c r="FG20" i="80"/>
  <c r="FG21" i="80" s="1"/>
  <c r="FF20" i="80"/>
  <c r="FF24" i="80" s="1"/>
  <c r="FC20" i="80"/>
  <c r="FC24" i="80" s="1"/>
  <c r="FB20" i="80"/>
  <c r="FB21" i="80" s="1"/>
  <c r="EY20" i="80"/>
  <c r="EY21" i="80" s="1"/>
  <c r="EX20" i="80"/>
  <c r="EX24" i="80" s="1"/>
  <c r="EU20" i="80"/>
  <c r="EU21" i="80" s="1"/>
  <c r="ET20" i="80"/>
  <c r="ET24" i="80" s="1"/>
  <c r="EQ20" i="80"/>
  <c r="EQ21" i="80" s="1"/>
  <c r="EP20" i="80"/>
  <c r="EP24" i="80" s="1"/>
  <c r="EM20" i="80"/>
  <c r="EM24" i="80" s="1"/>
  <c r="EL20" i="80"/>
  <c r="EL21" i="80" s="1"/>
  <c r="EI20" i="80"/>
  <c r="EI21" i="80" s="1"/>
  <c r="EH20" i="80"/>
  <c r="EH24" i="80" s="1"/>
  <c r="EE20" i="80"/>
  <c r="EE21" i="80" s="1"/>
  <c r="ED20" i="80"/>
  <c r="ED24" i="80" s="1"/>
  <c r="EA20" i="80"/>
  <c r="EA21" i="80" s="1"/>
  <c r="DZ20" i="80"/>
  <c r="DZ24" i="80" s="1"/>
  <c r="DW20" i="80"/>
  <c r="DW24" i="80" s="1"/>
  <c r="DV20" i="80"/>
  <c r="DV21" i="80" s="1"/>
  <c r="DS20" i="80"/>
  <c r="DS21" i="80" s="1"/>
  <c r="DR20" i="80"/>
  <c r="DR24" i="80" s="1"/>
  <c r="DO20" i="80"/>
  <c r="DO24" i="80" s="1"/>
  <c r="DN20" i="80"/>
  <c r="DN24" i="80" s="1"/>
  <c r="DK20" i="80"/>
  <c r="DK21" i="80" s="1"/>
  <c r="DJ20" i="80"/>
  <c r="DJ24" i="80" s="1"/>
  <c r="DG20" i="80"/>
  <c r="DG24" i="80" s="1"/>
  <c r="DF20" i="80"/>
  <c r="DF21" i="80" s="1"/>
  <c r="DC20" i="80"/>
  <c r="DC21" i="80" s="1"/>
  <c r="DB20" i="80"/>
  <c r="DB24" i="80" s="1"/>
  <c r="CY20" i="80"/>
  <c r="CY24" i="80" s="1"/>
  <c r="CX20" i="80"/>
  <c r="CX21" i="80" s="1"/>
  <c r="CU20" i="80"/>
  <c r="CU21" i="80" s="1"/>
  <c r="CT20" i="80"/>
  <c r="CT24" i="80" s="1"/>
  <c r="CQ20" i="80"/>
  <c r="CQ24" i="80" s="1"/>
  <c r="CP20" i="80"/>
  <c r="CP21" i="80" s="1"/>
  <c r="CM20" i="80"/>
  <c r="CM21" i="80" s="1"/>
  <c r="CL20" i="80"/>
  <c r="CL24" i="80" s="1"/>
  <c r="CI20" i="80"/>
  <c r="CI24" i="80" s="1"/>
  <c r="CH20" i="80"/>
  <c r="CH24" i="80" s="1"/>
  <c r="CE20" i="80"/>
  <c r="CE21" i="80" s="1"/>
  <c r="CD20" i="80"/>
  <c r="CD24" i="80" s="1"/>
  <c r="CA20" i="80"/>
  <c r="CA24" i="80" s="1"/>
  <c r="BZ20" i="80"/>
  <c r="BZ21" i="80" s="1"/>
  <c r="BW20" i="80"/>
  <c r="BW21" i="80" s="1"/>
  <c r="BV20" i="80"/>
  <c r="BV24" i="80" s="1"/>
  <c r="BS20" i="80"/>
  <c r="BS21" i="80" s="1"/>
  <c r="BR20" i="80"/>
  <c r="BR24" i="80" s="1"/>
  <c r="BO20" i="80"/>
  <c r="BO21" i="80" s="1"/>
  <c r="BN20" i="80"/>
  <c r="BN24" i="80" s="1"/>
  <c r="BK20" i="80"/>
  <c r="BK24" i="80" s="1"/>
  <c r="BJ20" i="80"/>
  <c r="BJ21" i="80" s="1"/>
  <c r="BG20" i="80"/>
  <c r="BG21" i="80" s="1"/>
  <c r="BF20" i="80"/>
  <c r="BF24" i="80" s="1"/>
  <c r="BC20" i="80"/>
  <c r="BC24" i="80" s="1"/>
  <c r="BB20" i="80"/>
  <c r="BB24" i="80" s="1"/>
  <c r="AY20" i="80"/>
  <c r="AY21" i="80" s="1"/>
  <c r="AX20" i="80"/>
  <c r="AX24" i="80" s="1"/>
  <c r="AU20" i="80"/>
  <c r="AU24" i="80" s="1"/>
  <c r="AT20" i="80"/>
  <c r="AT21" i="80" s="1"/>
  <c r="AQ20" i="80"/>
  <c r="AQ21" i="80" s="1"/>
  <c r="AP20" i="80"/>
  <c r="AP24" i="80" s="1"/>
  <c r="AM20" i="80"/>
  <c r="AM24" i="80" s="1"/>
  <c r="AL20" i="80"/>
  <c r="AL24" i="80" s="1"/>
  <c r="AI20" i="80"/>
  <c r="AI21" i="80" s="1"/>
  <c r="AH20" i="80"/>
  <c r="AH24" i="80" s="1"/>
  <c r="AE20" i="80"/>
  <c r="AE24" i="80" s="1"/>
  <c r="AD20" i="80"/>
  <c r="AD21" i="80" s="1"/>
  <c r="AA20" i="80"/>
  <c r="AA21" i="80" s="1"/>
  <c r="Z20" i="80"/>
  <c r="Z24" i="80" s="1"/>
  <c r="W20" i="80"/>
  <c r="W21" i="80" s="1"/>
  <c r="V20" i="80"/>
  <c r="V24" i="80" s="1"/>
  <c r="S20" i="80"/>
  <c r="S21" i="80" s="1"/>
  <c r="R20" i="80"/>
  <c r="R24" i="80" s="1"/>
  <c r="O20" i="80"/>
  <c r="O24" i="80" s="1"/>
  <c r="N20" i="80"/>
  <c r="N21" i="80" s="1"/>
  <c r="K20" i="80"/>
  <c r="K21" i="80" s="1"/>
  <c r="J20" i="80"/>
  <c r="J24" i="80" s="1"/>
  <c r="G20" i="80"/>
  <c r="G24" i="80" s="1"/>
  <c r="F20" i="80"/>
  <c r="F21" i="80" s="1"/>
  <c r="GQ19" i="80"/>
  <c r="GP19" i="80"/>
  <c r="GN19" i="80"/>
  <c r="GJ19" i="80"/>
  <c r="GF19" i="80"/>
  <c r="GB19" i="80"/>
  <c r="FX19" i="80"/>
  <c r="FT19" i="80"/>
  <c r="FP19" i="80"/>
  <c r="FL19" i="80"/>
  <c r="FH19" i="80"/>
  <c r="FD19" i="80"/>
  <c r="EZ19" i="80"/>
  <c r="EV19" i="80"/>
  <c r="ER19" i="80"/>
  <c r="EN19" i="80"/>
  <c r="EJ19" i="80"/>
  <c r="EF19" i="80"/>
  <c r="EB19" i="80"/>
  <c r="DX19" i="80"/>
  <c r="DT19" i="80"/>
  <c r="DP19" i="80"/>
  <c r="DL19" i="80"/>
  <c r="DH19" i="80"/>
  <c r="DD19" i="80"/>
  <c r="CZ19" i="80"/>
  <c r="CV19" i="80"/>
  <c r="CR19" i="80"/>
  <c r="CN19" i="80"/>
  <c r="CJ19" i="80"/>
  <c r="CF19" i="80"/>
  <c r="CB19" i="80"/>
  <c r="BX19" i="80"/>
  <c r="BT19" i="80"/>
  <c r="BP19" i="80"/>
  <c r="BL19" i="80"/>
  <c r="BH19" i="80"/>
  <c r="BD19" i="80"/>
  <c r="AZ19" i="80"/>
  <c r="AV19" i="80"/>
  <c r="AR19" i="80"/>
  <c r="AN19" i="80"/>
  <c r="AJ19" i="80"/>
  <c r="AF19" i="80"/>
  <c r="AB19" i="80"/>
  <c r="X19" i="80"/>
  <c r="T19" i="80"/>
  <c r="P19" i="80"/>
  <c r="L19" i="80"/>
  <c r="H19" i="80"/>
  <c r="GQ18" i="80"/>
  <c r="GP18" i="80"/>
  <c r="GR18" i="80" s="1"/>
  <c r="GN18" i="80"/>
  <c r="GJ18" i="80"/>
  <c r="GF18" i="80"/>
  <c r="GB18" i="80"/>
  <c r="FX18" i="80"/>
  <c r="FT18" i="80"/>
  <c r="FP18" i="80"/>
  <c r="FL18" i="80"/>
  <c r="FH18" i="80"/>
  <c r="FD18" i="80"/>
  <c r="EZ18" i="80"/>
  <c r="EV18" i="80"/>
  <c r="ER18" i="80"/>
  <c r="EN18" i="80"/>
  <c r="EJ18" i="80"/>
  <c r="EF18" i="80"/>
  <c r="EB18" i="80"/>
  <c r="DX18" i="80"/>
  <c r="DT18" i="80"/>
  <c r="DP18" i="80"/>
  <c r="DL18" i="80"/>
  <c r="DH18" i="80"/>
  <c r="DD18" i="80"/>
  <c r="CZ18" i="80"/>
  <c r="CV18" i="80"/>
  <c r="CR18" i="80"/>
  <c r="CN18" i="80"/>
  <c r="CJ18" i="80"/>
  <c r="CF18" i="80"/>
  <c r="CB18" i="80"/>
  <c r="BX18" i="80"/>
  <c r="BT18" i="80"/>
  <c r="BP18" i="80"/>
  <c r="BL18" i="80"/>
  <c r="BH18" i="80"/>
  <c r="BD18" i="80"/>
  <c r="AZ18" i="80"/>
  <c r="AV18" i="80"/>
  <c r="AR18" i="80"/>
  <c r="AN18" i="80"/>
  <c r="AJ18" i="80"/>
  <c r="AF18" i="80"/>
  <c r="AB18" i="80"/>
  <c r="X18" i="80"/>
  <c r="T18" i="80"/>
  <c r="P18" i="80"/>
  <c r="L18" i="80"/>
  <c r="H18" i="80"/>
  <c r="GQ17" i="80"/>
  <c r="GP17" i="80"/>
  <c r="GN17" i="80"/>
  <c r="GJ17" i="80"/>
  <c r="GF17" i="80"/>
  <c r="GB17" i="80"/>
  <c r="FX17" i="80"/>
  <c r="FT17" i="80"/>
  <c r="FP17" i="80"/>
  <c r="FL17" i="80"/>
  <c r="FH17" i="80"/>
  <c r="FD17" i="80"/>
  <c r="EZ17" i="80"/>
  <c r="EV17" i="80"/>
  <c r="ER17" i="80"/>
  <c r="EN17" i="80"/>
  <c r="EJ17" i="80"/>
  <c r="EF17" i="80"/>
  <c r="EB17" i="80"/>
  <c r="DX17" i="80"/>
  <c r="DT17" i="80"/>
  <c r="DP17" i="80"/>
  <c r="DL17" i="80"/>
  <c r="DH17" i="80"/>
  <c r="DD17" i="80"/>
  <c r="CZ17" i="80"/>
  <c r="CV17" i="80"/>
  <c r="CR17" i="80"/>
  <c r="CN17" i="80"/>
  <c r="CJ17" i="80"/>
  <c r="CF17" i="80"/>
  <c r="CB17" i="80"/>
  <c r="BX17" i="80"/>
  <c r="BT17" i="80"/>
  <c r="BP17" i="80"/>
  <c r="BL17" i="80"/>
  <c r="BH17" i="80"/>
  <c r="BD17" i="80"/>
  <c r="AZ17" i="80"/>
  <c r="AV17" i="80"/>
  <c r="AR17" i="80"/>
  <c r="AN17" i="80"/>
  <c r="AJ17" i="80"/>
  <c r="AF17" i="80"/>
  <c r="AB17" i="80"/>
  <c r="X17" i="80"/>
  <c r="T17" i="80"/>
  <c r="P17" i="80"/>
  <c r="L17" i="80"/>
  <c r="H17" i="80"/>
  <c r="GQ16" i="80"/>
  <c r="GP16" i="80"/>
  <c r="GN16" i="80"/>
  <c r="GJ16" i="80"/>
  <c r="GF16" i="80"/>
  <c r="GB16" i="80"/>
  <c r="FX16" i="80"/>
  <c r="FT16" i="80"/>
  <c r="FP16" i="80"/>
  <c r="FL16" i="80"/>
  <c r="FH16" i="80"/>
  <c r="FD16" i="80"/>
  <c r="EZ16" i="80"/>
  <c r="EV16" i="80"/>
  <c r="ER16" i="80"/>
  <c r="EN16" i="80"/>
  <c r="EJ16" i="80"/>
  <c r="EF16" i="80"/>
  <c r="EB16" i="80"/>
  <c r="DX16" i="80"/>
  <c r="DT16" i="80"/>
  <c r="DP16" i="80"/>
  <c r="DL16" i="80"/>
  <c r="DH16" i="80"/>
  <c r="DD16" i="80"/>
  <c r="CZ16" i="80"/>
  <c r="CV16" i="80"/>
  <c r="CR16" i="80"/>
  <c r="CN16" i="80"/>
  <c r="CJ16" i="80"/>
  <c r="CF16" i="80"/>
  <c r="CB16" i="80"/>
  <c r="BX16" i="80"/>
  <c r="BT16" i="80"/>
  <c r="BP16" i="80"/>
  <c r="BL16" i="80"/>
  <c r="BH16" i="80"/>
  <c r="BD16" i="80"/>
  <c r="AZ16" i="80"/>
  <c r="AV16" i="80"/>
  <c r="AR16" i="80"/>
  <c r="AN16" i="80"/>
  <c r="AJ16" i="80"/>
  <c r="AF16" i="80"/>
  <c r="AB16" i="80"/>
  <c r="X16" i="80"/>
  <c r="T16" i="80"/>
  <c r="P16" i="80"/>
  <c r="L16" i="80"/>
  <c r="H16" i="80"/>
  <c r="GQ15" i="80"/>
  <c r="GP15" i="80"/>
  <c r="GQ14" i="80"/>
  <c r="GP14" i="80"/>
  <c r="GN14" i="80"/>
  <c r="GJ14" i="80"/>
  <c r="GF14" i="80"/>
  <c r="GB14" i="80"/>
  <c r="FX14" i="80"/>
  <c r="FT14" i="80"/>
  <c r="FP14" i="80"/>
  <c r="FL14" i="80"/>
  <c r="FH14" i="80"/>
  <c r="FD14" i="80"/>
  <c r="EZ14" i="80"/>
  <c r="EV14" i="80"/>
  <c r="ER14" i="80"/>
  <c r="EN14" i="80"/>
  <c r="EJ14" i="80"/>
  <c r="EF14" i="80"/>
  <c r="EB14" i="80"/>
  <c r="DX14" i="80"/>
  <c r="DT14" i="80"/>
  <c r="DP14" i="80"/>
  <c r="DL14" i="80"/>
  <c r="DH14" i="80"/>
  <c r="DD14" i="80"/>
  <c r="CZ14" i="80"/>
  <c r="CV14" i="80"/>
  <c r="CR14" i="80"/>
  <c r="CN14" i="80"/>
  <c r="CJ14" i="80"/>
  <c r="CF14" i="80"/>
  <c r="CB14" i="80"/>
  <c r="BX14" i="80"/>
  <c r="BT14" i="80"/>
  <c r="BP14" i="80"/>
  <c r="BL14" i="80"/>
  <c r="BH14" i="80"/>
  <c r="BD14" i="80"/>
  <c r="AZ14" i="80"/>
  <c r="AV14" i="80"/>
  <c r="AR14" i="80"/>
  <c r="AN14" i="80"/>
  <c r="AJ14" i="80"/>
  <c r="AF14" i="80"/>
  <c r="AB14" i="80"/>
  <c r="X14" i="80"/>
  <c r="T14" i="80"/>
  <c r="P14" i="80"/>
  <c r="L14" i="80"/>
  <c r="H14" i="80"/>
  <c r="GQ13" i="80"/>
  <c r="GP13" i="80"/>
  <c r="GN13" i="80"/>
  <c r="GJ13" i="80"/>
  <c r="GF13" i="80"/>
  <c r="GB13" i="80"/>
  <c r="FX13" i="80"/>
  <c r="FT13" i="80"/>
  <c r="FP13" i="80"/>
  <c r="FL13" i="80"/>
  <c r="FH13" i="80"/>
  <c r="FD13" i="80"/>
  <c r="EZ13" i="80"/>
  <c r="EV13" i="80"/>
  <c r="ER13" i="80"/>
  <c r="EN13" i="80"/>
  <c r="EJ13" i="80"/>
  <c r="EF13" i="80"/>
  <c r="EB13" i="80"/>
  <c r="DX13" i="80"/>
  <c r="DT13" i="80"/>
  <c r="DP13" i="80"/>
  <c r="DL13" i="80"/>
  <c r="DH13" i="80"/>
  <c r="DD13" i="80"/>
  <c r="CZ13" i="80"/>
  <c r="CV13" i="80"/>
  <c r="CR13" i="80"/>
  <c r="CN13" i="80"/>
  <c r="CJ13" i="80"/>
  <c r="CF13" i="80"/>
  <c r="CB13" i="80"/>
  <c r="BX13" i="80"/>
  <c r="BT13" i="80"/>
  <c r="BP13" i="80"/>
  <c r="BL13" i="80"/>
  <c r="BH13" i="80"/>
  <c r="BD13" i="80"/>
  <c r="AZ13" i="80"/>
  <c r="AV13" i="80"/>
  <c r="AR13" i="80"/>
  <c r="AN13" i="80"/>
  <c r="AJ13" i="80"/>
  <c r="AF13" i="80"/>
  <c r="AB13" i="80"/>
  <c r="X13" i="80"/>
  <c r="T13" i="80"/>
  <c r="P13" i="80"/>
  <c r="L13" i="80"/>
  <c r="H13" i="80"/>
  <c r="GQ12" i="80"/>
  <c r="GP12" i="80"/>
  <c r="GN12" i="80"/>
  <c r="GJ12" i="80"/>
  <c r="GF12" i="80"/>
  <c r="GB12" i="80"/>
  <c r="FX12" i="80"/>
  <c r="FT12" i="80"/>
  <c r="FP12" i="80"/>
  <c r="FL12" i="80"/>
  <c r="FH12" i="80"/>
  <c r="FD12" i="80"/>
  <c r="EZ12" i="80"/>
  <c r="EV12" i="80"/>
  <c r="ER12" i="80"/>
  <c r="EN12" i="80"/>
  <c r="EJ12" i="80"/>
  <c r="EF12" i="80"/>
  <c r="EB12" i="80"/>
  <c r="DX12" i="80"/>
  <c r="DT12" i="80"/>
  <c r="DP12" i="80"/>
  <c r="DL12" i="80"/>
  <c r="DH12" i="80"/>
  <c r="DD12" i="80"/>
  <c r="CZ12" i="80"/>
  <c r="CV12" i="80"/>
  <c r="CR12" i="80"/>
  <c r="CN12" i="80"/>
  <c r="CJ12" i="80"/>
  <c r="CF12" i="80"/>
  <c r="CB12" i="80"/>
  <c r="BX12" i="80"/>
  <c r="BT12" i="80"/>
  <c r="BP12" i="80"/>
  <c r="BL12" i="80"/>
  <c r="BH12" i="80"/>
  <c r="BD12" i="80"/>
  <c r="AZ12" i="80"/>
  <c r="AV12" i="80"/>
  <c r="AR12" i="80"/>
  <c r="AN12" i="80"/>
  <c r="AJ12" i="80"/>
  <c r="AF12" i="80"/>
  <c r="AB12" i="80"/>
  <c r="X12" i="80"/>
  <c r="T12" i="80"/>
  <c r="P12" i="80"/>
  <c r="L12" i="80"/>
  <c r="H12" i="80"/>
  <c r="GQ11" i="80"/>
  <c r="GP11" i="80"/>
  <c r="GN11" i="80"/>
  <c r="GJ11" i="80"/>
  <c r="GF11" i="80"/>
  <c r="GB11" i="80"/>
  <c r="FX11" i="80"/>
  <c r="FT11" i="80"/>
  <c r="FP11" i="80"/>
  <c r="FL11" i="80"/>
  <c r="FH11" i="80"/>
  <c r="FD11" i="80"/>
  <c r="EZ11" i="80"/>
  <c r="EV11" i="80"/>
  <c r="ER11" i="80"/>
  <c r="EN11" i="80"/>
  <c r="EJ11" i="80"/>
  <c r="EF11" i="80"/>
  <c r="EB11" i="80"/>
  <c r="DX11" i="80"/>
  <c r="DT11" i="80"/>
  <c r="DP11" i="80"/>
  <c r="DL11" i="80"/>
  <c r="DH11" i="80"/>
  <c r="DD11" i="80"/>
  <c r="CZ11" i="80"/>
  <c r="CV11" i="80"/>
  <c r="CR11" i="80"/>
  <c r="CN11" i="80"/>
  <c r="CJ11" i="80"/>
  <c r="CF11" i="80"/>
  <c r="CB11" i="80"/>
  <c r="BX11" i="80"/>
  <c r="BT11" i="80"/>
  <c r="BP11" i="80"/>
  <c r="BL11" i="80"/>
  <c r="BH11" i="80"/>
  <c r="BD11" i="80"/>
  <c r="AZ11" i="80"/>
  <c r="AV11" i="80"/>
  <c r="AR11" i="80"/>
  <c r="AN11" i="80"/>
  <c r="AJ11" i="80"/>
  <c r="AF11" i="80"/>
  <c r="AB11" i="80"/>
  <c r="X11" i="80"/>
  <c r="T11" i="80"/>
  <c r="P11" i="80"/>
  <c r="L11" i="80"/>
  <c r="H11" i="80"/>
  <c r="GQ10" i="80"/>
  <c r="GP10" i="80"/>
  <c r="GN10" i="80"/>
  <c r="GJ10" i="80"/>
  <c r="GF10" i="80"/>
  <c r="GB10" i="80"/>
  <c r="FX10" i="80"/>
  <c r="FT10" i="80"/>
  <c r="FP10" i="80"/>
  <c r="FL10" i="80"/>
  <c r="FH10" i="80"/>
  <c r="FD10" i="80"/>
  <c r="EZ10" i="80"/>
  <c r="EV10" i="80"/>
  <c r="ER10" i="80"/>
  <c r="EN10" i="80"/>
  <c r="EJ10" i="80"/>
  <c r="EF10" i="80"/>
  <c r="EB10" i="80"/>
  <c r="DX10" i="80"/>
  <c r="DT10" i="80"/>
  <c r="DP10" i="80"/>
  <c r="DL10" i="80"/>
  <c r="DH10" i="80"/>
  <c r="DD10" i="80"/>
  <c r="CZ10" i="80"/>
  <c r="CV10" i="80"/>
  <c r="CR10" i="80"/>
  <c r="CN10" i="80"/>
  <c r="CJ10" i="80"/>
  <c r="CF10" i="80"/>
  <c r="CB10" i="80"/>
  <c r="BX10" i="80"/>
  <c r="BT10" i="80"/>
  <c r="BP10" i="80"/>
  <c r="BL10" i="80"/>
  <c r="BH10" i="80"/>
  <c r="BD10" i="80"/>
  <c r="AZ10" i="80"/>
  <c r="AV10" i="80"/>
  <c r="AR10" i="80"/>
  <c r="AN10" i="80"/>
  <c r="AJ10" i="80"/>
  <c r="AF10" i="80"/>
  <c r="AB10" i="80"/>
  <c r="X10" i="80"/>
  <c r="T10" i="80"/>
  <c r="P10" i="80"/>
  <c r="L10" i="80"/>
  <c r="H10" i="80"/>
  <c r="GQ9" i="80"/>
  <c r="GP9" i="80"/>
  <c r="GN9" i="80"/>
  <c r="GJ9" i="80"/>
  <c r="GF9" i="80"/>
  <c r="GB9" i="80"/>
  <c r="FX9" i="80"/>
  <c r="FT9" i="80"/>
  <c r="FP9" i="80"/>
  <c r="FL9" i="80"/>
  <c r="FH9" i="80"/>
  <c r="FD9" i="80"/>
  <c r="EZ9" i="80"/>
  <c r="EV9" i="80"/>
  <c r="ER9" i="80"/>
  <c r="EN9" i="80"/>
  <c r="EJ9" i="80"/>
  <c r="EF9" i="80"/>
  <c r="EB9" i="80"/>
  <c r="DX9" i="80"/>
  <c r="DT9" i="80"/>
  <c r="DP9" i="80"/>
  <c r="DL9" i="80"/>
  <c r="DH9" i="80"/>
  <c r="DD9" i="80"/>
  <c r="CZ9" i="80"/>
  <c r="CV9" i="80"/>
  <c r="CR9" i="80"/>
  <c r="CN9" i="80"/>
  <c r="CJ9" i="80"/>
  <c r="CF9" i="80"/>
  <c r="CB9" i="80"/>
  <c r="BX9" i="80"/>
  <c r="BT9" i="80"/>
  <c r="BP9" i="80"/>
  <c r="BL9" i="80"/>
  <c r="BH9" i="80"/>
  <c r="BD9" i="80"/>
  <c r="AZ9" i="80"/>
  <c r="AV9" i="80"/>
  <c r="AR9" i="80"/>
  <c r="AN9" i="80"/>
  <c r="AJ9" i="80"/>
  <c r="AF9" i="80"/>
  <c r="AB9" i="80"/>
  <c r="X9" i="80"/>
  <c r="T9" i="80"/>
  <c r="P9" i="80"/>
  <c r="L9" i="80"/>
  <c r="H9" i="80"/>
  <c r="GQ8" i="80"/>
  <c r="GP8" i="80"/>
  <c r="GN8" i="80"/>
  <c r="GJ8" i="80"/>
  <c r="GF8" i="80"/>
  <c r="GB8" i="80"/>
  <c r="FX8" i="80"/>
  <c r="FT8" i="80"/>
  <c r="FP8" i="80"/>
  <c r="FL8" i="80"/>
  <c r="FH8" i="80"/>
  <c r="FD8" i="80"/>
  <c r="EZ8" i="80"/>
  <c r="EV8" i="80"/>
  <c r="ER8" i="80"/>
  <c r="EN8" i="80"/>
  <c r="EJ8" i="80"/>
  <c r="EF8" i="80"/>
  <c r="EB8" i="80"/>
  <c r="DX8" i="80"/>
  <c r="DT8" i="80"/>
  <c r="DP8" i="80"/>
  <c r="DL8" i="80"/>
  <c r="DH8" i="80"/>
  <c r="DD8" i="80"/>
  <c r="CZ8" i="80"/>
  <c r="CV8" i="80"/>
  <c r="CR8" i="80"/>
  <c r="CN8" i="80"/>
  <c r="CJ8" i="80"/>
  <c r="CF8" i="80"/>
  <c r="CB8" i="80"/>
  <c r="BX8" i="80"/>
  <c r="BT8" i="80"/>
  <c r="BP8" i="80"/>
  <c r="BL8" i="80"/>
  <c r="BH8" i="80"/>
  <c r="BD8" i="80"/>
  <c r="AZ8" i="80"/>
  <c r="AV8" i="80"/>
  <c r="AR8" i="80"/>
  <c r="AN8" i="80"/>
  <c r="AJ8" i="80"/>
  <c r="AF8" i="80"/>
  <c r="AB8" i="80"/>
  <c r="X8" i="80"/>
  <c r="T8" i="80"/>
  <c r="P8" i="80"/>
  <c r="L8" i="80"/>
  <c r="H8" i="80"/>
  <c r="GQ7" i="80"/>
  <c r="GP7" i="80"/>
  <c r="GN7" i="80"/>
  <c r="GJ7" i="80"/>
  <c r="GF7" i="80"/>
  <c r="GB7" i="80"/>
  <c r="FX7" i="80"/>
  <c r="FT7" i="80"/>
  <c r="FP7" i="80"/>
  <c r="FL7" i="80"/>
  <c r="FH7" i="80"/>
  <c r="FD7" i="80"/>
  <c r="EZ7" i="80"/>
  <c r="EV7" i="80"/>
  <c r="ER7" i="80"/>
  <c r="EN7" i="80"/>
  <c r="EJ7" i="80"/>
  <c r="EF7" i="80"/>
  <c r="EB7" i="80"/>
  <c r="DX7" i="80"/>
  <c r="DT7" i="80"/>
  <c r="DP7" i="80"/>
  <c r="DL7" i="80"/>
  <c r="DH7" i="80"/>
  <c r="DD7" i="80"/>
  <c r="CZ7" i="80"/>
  <c r="CV7" i="80"/>
  <c r="CR7" i="80"/>
  <c r="CN7" i="80"/>
  <c r="CJ7" i="80"/>
  <c r="CF7" i="80"/>
  <c r="CB7" i="80"/>
  <c r="BX7" i="80"/>
  <c r="BT7" i="80"/>
  <c r="BP7" i="80"/>
  <c r="BL7" i="80"/>
  <c r="BH7" i="80"/>
  <c r="BD7" i="80"/>
  <c r="AZ7" i="80"/>
  <c r="AV7" i="80"/>
  <c r="AR7" i="80"/>
  <c r="AN7" i="80"/>
  <c r="AJ7" i="80"/>
  <c r="AF7" i="80"/>
  <c r="AB7" i="80"/>
  <c r="X7" i="80"/>
  <c r="T7" i="80"/>
  <c r="P7" i="80"/>
  <c r="L7" i="80"/>
  <c r="H7" i="80"/>
  <c r="GQ6" i="80"/>
  <c r="GP6" i="80"/>
  <c r="GN6" i="80"/>
  <c r="GJ6" i="80"/>
  <c r="GF6" i="80"/>
  <c r="GB6" i="80"/>
  <c r="FX6" i="80"/>
  <c r="FT6" i="80"/>
  <c r="FP6" i="80"/>
  <c r="FL6" i="80"/>
  <c r="FH6" i="80"/>
  <c r="FD6" i="80"/>
  <c r="EZ6" i="80"/>
  <c r="EV6" i="80"/>
  <c r="ER6" i="80"/>
  <c r="EN6" i="80"/>
  <c r="EJ6" i="80"/>
  <c r="EF6" i="80"/>
  <c r="EB6" i="80"/>
  <c r="DX6" i="80"/>
  <c r="DT6" i="80"/>
  <c r="DP6" i="80"/>
  <c r="DL6" i="80"/>
  <c r="DH6" i="80"/>
  <c r="DD6" i="80"/>
  <c r="CZ6" i="80"/>
  <c r="CV6" i="80"/>
  <c r="CR6" i="80"/>
  <c r="CN6" i="80"/>
  <c r="CJ6" i="80"/>
  <c r="CF6" i="80"/>
  <c r="CB6" i="80"/>
  <c r="BX6" i="80"/>
  <c r="BT6" i="80"/>
  <c r="BP6" i="80"/>
  <c r="BL6" i="80"/>
  <c r="BH6" i="80"/>
  <c r="BD6" i="80"/>
  <c r="AZ6" i="80"/>
  <c r="AV6" i="80"/>
  <c r="AR6" i="80"/>
  <c r="AN6" i="80"/>
  <c r="AJ6" i="80"/>
  <c r="AF6" i="80"/>
  <c r="AB6" i="80"/>
  <c r="X6" i="80"/>
  <c r="T6" i="80"/>
  <c r="P6" i="80"/>
  <c r="L6" i="80"/>
  <c r="H6" i="80"/>
  <c r="GQ5" i="80"/>
  <c r="GP5" i="80"/>
  <c r="GN5" i="80"/>
  <c r="GJ5" i="80"/>
  <c r="GF5" i="80"/>
  <c r="GB5" i="80"/>
  <c r="FX5" i="80"/>
  <c r="FT5" i="80"/>
  <c r="FP5" i="80"/>
  <c r="FL5" i="80"/>
  <c r="FH5" i="80"/>
  <c r="FD5" i="80"/>
  <c r="EZ5" i="80"/>
  <c r="EV5" i="80"/>
  <c r="ER5" i="80"/>
  <c r="EN5" i="80"/>
  <c r="EJ5" i="80"/>
  <c r="EF5" i="80"/>
  <c r="EB5" i="80"/>
  <c r="DX5" i="80"/>
  <c r="DT5" i="80"/>
  <c r="DP5" i="80"/>
  <c r="DL5" i="80"/>
  <c r="DH5" i="80"/>
  <c r="DD5" i="80"/>
  <c r="CZ5" i="80"/>
  <c r="CV5" i="80"/>
  <c r="CR5" i="80"/>
  <c r="CN5" i="80"/>
  <c r="CJ5" i="80"/>
  <c r="CF5" i="80"/>
  <c r="CB5" i="80"/>
  <c r="BX5" i="80"/>
  <c r="BT5" i="80"/>
  <c r="BP5" i="80"/>
  <c r="BL5" i="80"/>
  <c r="BH5" i="80"/>
  <c r="BD5" i="80"/>
  <c r="AZ5" i="80"/>
  <c r="AV5" i="80"/>
  <c r="AR5" i="80"/>
  <c r="AN5" i="80"/>
  <c r="AJ5" i="80"/>
  <c r="AF5" i="80"/>
  <c r="AB5" i="80"/>
  <c r="X5" i="80"/>
  <c r="T5" i="80"/>
  <c r="P5" i="80"/>
  <c r="L5" i="80"/>
  <c r="H5" i="80"/>
  <c r="E4" i="79"/>
  <c r="H4" i="79"/>
  <c r="I4" i="79" s="1"/>
  <c r="E5" i="79"/>
  <c r="H5" i="79"/>
  <c r="I5" i="79"/>
  <c r="E6" i="79"/>
  <c r="H6" i="79"/>
  <c r="I6" i="79"/>
  <c r="E7" i="79"/>
  <c r="H7" i="79"/>
  <c r="I7" i="79"/>
  <c r="E8" i="79"/>
  <c r="H8" i="79"/>
  <c r="I8" i="79" s="1"/>
  <c r="E9" i="79"/>
  <c r="H9" i="79"/>
  <c r="I9" i="79"/>
  <c r="E10" i="79"/>
  <c r="H10" i="79"/>
  <c r="I10" i="79"/>
  <c r="E11" i="79"/>
  <c r="H11" i="79"/>
  <c r="I11" i="79"/>
  <c r="E12" i="79"/>
  <c r="H12" i="79"/>
  <c r="I12" i="79" s="1"/>
  <c r="E13" i="79"/>
  <c r="H13" i="79"/>
  <c r="I13" i="79"/>
  <c r="E14" i="79"/>
  <c r="H14" i="79"/>
  <c r="I14" i="79"/>
  <c r="E15" i="79"/>
  <c r="H15" i="79"/>
  <c r="I15" i="79"/>
  <c r="E16" i="79"/>
  <c r="H16" i="79"/>
  <c r="I16" i="79" s="1"/>
  <c r="E17" i="79"/>
  <c r="H17" i="79"/>
  <c r="I17" i="79"/>
  <c r="E18" i="79"/>
  <c r="H18" i="79"/>
  <c r="I18" i="79"/>
  <c r="E19" i="79"/>
  <c r="H19" i="79"/>
  <c r="I19" i="79"/>
  <c r="E20" i="79"/>
  <c r="H20" i="79"/>
  <c r="I20" i="79" s="1"/>
  <c r="E21" i="79"/>
  <c r="H21" i="79"/>
  <c r="I21" i="79"/>
  <c r="E22" i="79"/>
  <c r="H22" i="79"/>
  <c r="I22" i="79"/>
  <c r="E23" i="79"/>
  <c r="H23" i="79"/>
  <c r="I23" i="79"/>
  <c r="E24" i="79"/>
  <c r="H24" i="79"/>
  <c r="I24" i="79" s="1"/>
  <c r="E25" i="79"/>
  <c r="H25" i="79"/>
  <c r="I25" i="79"/>
  <c r="E26" i="79"/>
  <c r="H26" i="79"/>
  <c r="I26" i="79"/>
  <c r="E27" i="79"/>
  <c r="H27" i="79"/>
  <c r="I27" i="79"/>
  <c r="E28" i="79"/>
  <c r="H28" i="79"/>
  <c r="I28" i="79" s="1"/>
  <c r="E29" i="79"/>
  <c r="H29" i="79"/>
  <c r="I29" i="79"/>
  <c r="E30" i="79"/>
  <c r="H30" i="79"/>
  <c r="I30" i="79"/>
  <c r="E31" i="79"/>
  <c r="H31" i="79"/>
  <c r="I31" i="79"/>
  <c r="E32" i="79"/>
  <c r="H32" i="79"/>
  <c r="I32" i="79" s="1"/>
  <c r="E33" i="79"/>
  <c r="H33" i="79"/>
  <c r="I33" i="79"/>
  <c r="E34" i="79"/>
  <c r="H34" i="79"/>
  <c r="I34" i="79"/>
  <c r="E35" i="79"/>
  <c r="H35" i="79"/>
  <c r="I35" i="79"/>
  <c r="E36" i="79"/>
  <c r="H36" i="79"/>
  <c r="I36" i="79" s="1"/>
  <c r="E37" i="79"/>
  <c r="H37" i="79"/>
  <c r="I37" i="79"/>
  <c r="E38" i="79"/>
  <c r="H38" i="79"/>
  <c r="I38" i="79"/>
  <c r="E39" i="79"/>
  <c r="H39" i="79"/>
  <c r="I39" i="79"/>
  <c r="E40" i="79"/>
  <c r="H40" i="79"/>
  <c r="I40" i="79" s="1"/>
  <c r="E41" i="79"/>
  <c r="H41" i="79"/>
  <c r="I41" i="79"/>
  <c r="E42" i="79"/>
  <c r="H42" i="79"/>
  <c r="I42" i="79"/>
  <c r="E43" i="79"/>
  <c r="H43" i="79"/>
  <c r="I43" i="79"/>
  <c r="E44" i="79"/>
  <c r="H44" i="79"/>
  <c r="I44" i="79" s="1"/>
  <c r="E45" i="79"/>
  <c r="H45" i="79"/>
  <c r="I45" i="79"/>
  <c r="E46" i="79"/>
  <c r="H46" i="79"/>
  <c r="I46" i="79"/>
  <c r="E47" i="79"/>
  <c r="H47" i="79"/>
  <c r="I47" i="79"/>
  <c r="E48" i="79"/>
  <c r="H48" i="79"/>
  <c r="I48" i="79" s="1"/>
  <c r="E49" i="79"/>
  <c r="H49" i="79"/>
  <c r="I49" i="79"/>
  <c r="E50" i="79"/>
  <c r="H50" i="79"/>
  <c r="I50" i="79"/>
  <c r="E51" i="79"/>
  <c r="H51" i="79"/>
  <c r="I51" i="79"/>
  <c r="C53" i="79"/>
  <c r="E53" i="79"/>
  <c r="G53" i="79"/>
  <c r="H53" i="79"/>
  <c r="GI21" i="80" l="1"/>
  <c r="CA58" i="80"/>
  <c r="GR13" i="80"/>
  <c r="GR14" i="80"/>
  <c r="BK21" i="80"/>
  <c r="BL21" i="80" s="1"/>
  <c r="DW21" i="80"/>
  <c r="GR10" i="80"/>
  <c r="DG21" i="80"/>
  <c r="DH21" i="80" s="1"/>
  <c r="EN21" i="80"/>
  <c r="GR5" i="80"/>
  <c r="FC21" i="80"/>
  <c r="GR6" i="80"/>
  <c r="GR12" i="80"/>
  <c r="GR17" i="80"/>
  <c r="FS21" i="80"/>
  <c r="FT21" i="80" s="1"/>
  <c r="GJ21" i="80"/>
  <c r="AE58" i="80"/>
  <c r="DW58" i="80"/>
  <c r="FS58" i="80"/>
  <c r="O21" i="80"/>
  <c r="P21" i="80" s="1"/>
  <c r="GR9" i="80"/>
  <c r="GR19" i="80"/>
  <c r="BX21" i="80"/>
  <c r="BN21" i="80"/>
  <c r="BP21" i="80" s="1"/>
  <c r="DZ21" i="80"/>
  <c r="EB21" i="80" s="1"/>
  <c r="GL21" i="80"/>
  <c r="GN21" i="80" s="1"/>
  <c r="S58" i="80"/>
  <c r="BO58" i="80"/>
  <c r="DK58" i="80"/>
  <c r="FG58" i="80"/>
  <c r="J21" i="80"/>
  <c r="L21" i="80" s="1"/>
  <c r="BV21" i="80"/>
  <c r="EH21" i="80"/>
  <c r="GR22" i="80"/>
  <c r="W58" i="80"/>
  <c r="BS58" i="80"/>
  <c r="DO58" i="80"/>
  <c r="FK58" i="80"/>
  <c r="O58" i="80"/>
  <c r="BK58" i="80"/>
  <c r="DG58" i="80"/>
  <c r="FC58" i="80"/>
  <c r="AU58" i="80"/>
  <c r="CQ58" i="80"/>
  <c r="EM58" i="80"/>
  <c r="GI58" i="80"/>
  <c r="CA21" i="80"/>
  <c r="AA58" i="80"/>
  <c r="BW58" i="80"/>
  <c r="DS58" i="80"/>
  <c r="FO58" i="80"/>
  <c r="R21" i="80"/>
  <c r="CD21" i="80"/>
  <c r="CF21" i="80" s="1"/>
  <c r="EP21" i="80"/>
  <c r="ER21" i="80" s="1"/>
  <c r="Z21" i="80"/>
  <c r="AB21" i="80" s="1"/>
  <c r="CL21" i="80"/>
  <c r="CN21" i="80" s="1"/>
  <c r="EX21" i="80"/>
  <c r="EZ21" i="80" s="1"/>
  <c r="GR23" i="80"/>
  <c r="AI58" i="80"/>
  <c r="CE58" i="80"/>
  <c r="EA58" i="80"/>
  <c r="FW58" i="80"/>
  <c r="GR11" i="80"/>
  <c r="AE21" i="80"/>
  <c r="CQ21" i="80"/>
  <c r="GQ44" i="80"/>
  <c r="GQ20" i="80"/>
  <c r="AN24" i="80"/>
  <c r="CJ24" i="80"/>
  <c r="AH21" i="80"/>
  <c r="AJ21" i="80" s="1"/>
  <c r="CT21" i="80"/>
  <c r="CV21" i="80" s="1"/>
  <c r="FF21" i="80"/>
  <c r="GP20" i="80"/>
  <c r="GP24" i="80" s="1"/>
  <c r="AP21" i="80"/>
  <c r="AR21" i="80" s="1"/>
  <c r="DB21" i="80"/>
  <c r="DD21" i="80" s="1"/>
  <c r="FN21" i="80"/>
  <c r="FP21" i="80" s="1"/>
  <c r="AQ58" i="80"/>
  <c r="CM58" i="80"/>
  <c r="EI58" i="80"/>
  <c r="GE58" i="80"/>
  <c r="AM58" i="80"/>
  <c r="CI58" i="80"/>
  <c r="EE58" i="80"/>
  <c r="GA58" i="80"/>
  <c r="EJ21" i="80"/>
  <c r="FH21" i="80"/>
  <c r="GF21" i="80"/>
  <c r="AY58" i="80"/>
  <c r="CU58" i="80"/>
  <c r="EQ58" i="80"/>
  <c r="GM58" i="80"/>
  <c r="AX21" i="80"/>
  <c r="AZ21" i="80" s="1"/>
  <c r="DJ21" i="80"/>
  <c r="DL21" i="80" s="1"/>
  <c r="FV21" i="80"/>
  <c r="FX21" i="80" s="1"/>
  <c r="G58" i="80"/>
  <c r="BC58" i="80"/>
  <c r="CY58" i="80"/>
  <c r="EU58" i="80"/>
  <c r="GQ58" i="80"/>
  <c r="GR8" i="80"/>
  <c r="DP24" i="80"/>
  <c r="FL24" i="80"/>
  <c r="BF21" i="80"/>
  <c r="BH21" i="80" s="1"/>
  <c r="DR21" i="80"/>
  <c r="DT21" i="80" s="1"/>
  <c r="GD21" i="80"/>
  <c r="K58" i="80"/>
  <c r="BG58" i="80"/>
  <c r="DC58" i="80"/>
  <c r="EY58" i="80"/>
  <c r="CB21" i="80"/>
  <c r="DX21" i="80"/>
  <c r="AF21" i="80"/>
  <c r="CR21" i="80"/>
  <c r="FD21" i="80"/>
  <c r="GQ24" i="80"/>
  <c r="GB24" i="80"/>
  <c r="H24" i="80"/>
  <c r="AV21" i="80"/>
  <c r="BD24" i="80"/>
  <c r="S24" i="80"/>
  <c r="T24" i="80" s="1"/>
  <c r="AI24" i="80"/>
  <c r="AJ24" i="80" s="1"/>
  <c r="AY24" i="80"/>
  <c r="AZ24" i="80" s="1"/>
  <c r="BO24" i="80"/>
  <c r="BP24" i="80" s="1"/>
  <c r="CE24" i="80"/>
  <c r="CF24" i="80" s="1"/>
  <c r="CU24" i="80"/>
  <c r="CV24" i="80" s="1"/>
  <c r="DK24" i="80"/>
  <c r="DL24" i="80" s="1"/>
  <c r="EA24" i="80"/>
  <c r="EB24" i="80" s="1"/>
  <c r="EQ24" i="80"/>
  <c r="ER24" i="80" s="1"/>
  <c r="FG24" i="80"/>
  <c r="FH24" i="80" s="1"/>
  <c r="FW24" i="80"/>
  <c r="FX24" i="80" s="1"/>
  <c r="GM24" i="80"/>
  <c r="GN24" i="80" s="1"/>
  <c r="T20" i="80"/>
  <c r="AJ20" i="80"/>
  <c r="AZ20" i="80"/>
  <c r="BP20" i="80"/>
  <c r="CF20" i="80"/>
  <c r="CV20" i="80"/>
  <c r="DL20" i="80"/>
  <c r="EB20" i="80"/>
  <c r="ER20" i="80"/>
  <c r="FH20" i="80"/>
  <c r="FX20" i="80"/>
  <c r="GN20" i="80"/>
  <c r="W24" i="80"/>
  <c r="X24" i="80" s="1"/>
  <c r="BS24" i="80"/>
  <c r="BT24" i="80" s="1"/>
  <c r="EU24" i="80"/>
  <c r="EV24" i="80" s="1"/>
  <c r="GR16" i="80"/>
  <c r="H20" i="80"/>
  <c r="X20" i="80"/>
  <c r="AN20" i="80"/>
  <c r="BD20" i="80"/>
  <c r="BT20" i="80"/>
  <c r="CJ20" i="80"/>
  <c r="CZ20" i="80"/>
  <c r="DP20" i="80"/>
  <c r="EF20" i="80"/>
  <c r="EV20" i="80"/>
  <c r="FL20" i="80"/>
  <c r="GB20" i="80"/>
  <c r="F24" i="80"/>
  <c r="CX24" i="80"/>
  <c r="CZ24" i="80" s="1"/>
  <c r="V21" i="80"/>
  <c r="X21" i="80" s="1"/>
  <c r="AL21" i="80"/>
  <c r="BB21" i="80"/>
  <c r="BR21" i="80"/>
  <c r="BT21" i="80" s="1"/>
  <c r="CH21" i="80"/>
  <c r="DN21" i="80"/>
  <c r="ED21" i="80"/>
  <c r="EF21" i="80" s="1"/>
  <c r="ET21" i="80"/>
  <c r="EV21" i="80" s="1"/>
  <c r="FJ21" i="80"/>
  <c r="FZ21" i="80"/>
  <c r="GR7" i="80"/>
  <c r="EE24" i="80"/>
  <c r="EF24" i="80" s="1"/>
  <c r="G21" i="80"/>
  <c r="AM21" i="80"/>
  <c r="BC21" i="80"/>
  <c r="BD21" i="80" s="1"/>
  <c r="CI21" i="80"/>
  <c r="CY21" i="80"/>
  <c r="CZ21" i="80" s="1"/>
  <c r="DO21" i="80"/>
  <c r="FK21" i="80"/>
  <c r="GA21" i="80"/>
  <c r="K24" i="80"/>
  <c r="L24" i="80" s="1"/>
  <c r="AA24" i="80"/>
  <c r="AB24" i="80" s="1"/>
  <c r="AQ24" i="80"/>
  <c r="AR24" i="80" s="1"/>
  <c r="BG24" i="80"/>
  <c r="BH24" i="80" s="1"/>
  <c r="BW24" i="80"/>
  <c r="BX24" i="80" s="1"/>
  <c r="CM24" i="80"/>
  <c r="CN24" i="80" s="1"/>
  <c r="DC24" i="80"/>
  <c r="DD24" i="80" s="1"/>
  <c r="DS24" i="80"/>
  <c r="DT24" i="80" s="1"/>
  <c r="EI24" i="80"/>
  <c r="EJ24" i="80" s="1"/>
  <c r="EY24" i="80"/>
  <c r="EZ24" i="80" s="1"/>
  <c r="FO24" i="80"/>
  <c r="FP24" i="80" s="1"/>
  <c r="GE24" i="80"/>
  <c r="GF24" i="80" s="1"/>
  <c r="L20" i="80"/>
  <c r="AB20" i="80"/>
  <c r="AR20" i="80"/>
  <c r="BH20" i="80"/>
  <c r="BX20" i="80"/>
  <c r="CN20" i="80"/>
  <c r="DD20" i="80"/>
  <c r="DT20" i="80"/>
  <c r="EJ20" i="80"/>
  <c r="EZ20" i="80"/>
  <c r="FP20" i="80"/>
  <c r="GF20" i="80"/>
  <c r="N24" i="80"/>
  <c r="P24" i="80" s="1"/>
  <c r="AD24" i="80"/>
  <c r="AF24" i="80" s="1"/>
  <c r="AT24" i="80"/>
  <c r="AV24" i="80" s="1"/>
  <c r="BJ24" i="80"/>
  <c r="BL24" i="80" s="1"/>
  <c r="BZ24" i="80"/>
  <c r="CB24" i="80" s="1"/>
  <c r="CP24" i="80"/>
  <c r="CR24" i="80" s="1"/>
  <c r="DF24" i="80"/>
  <c r="DH24" i="80" s="1"/>
  <c r="DV24" i="80"/>
  <c r="DX24" i="80" s="1"/>
  <c r="EL24" i="80"/>
  <c r="EN24" i="80" s="1"/>
  <c r="FB24" i="80"/>
  <c r="FD24" i="80" s="1"/>
  <c r="FR24" i="80"/>
  <c r="FT24" i="80" s="1"/>
  <c r="GH24" i="80"/>
  <c r="GJ24" i="80" s="1"/>
  <c r="P20" i="80"/>
  <c r="AF20" i="80"/>
  <c r="AV20" i="80"/>
  <c r="BL20" i="80"/>
  <c r="CB20" i="80"/>
  <c r="CR20" i="80"/>
  <c r="DH20" i="80"/>
  <c r="DX20" i="80"/>
  <c r="EN20" i="80"/>
  <c r="FD20" i="80"/>
  <c r="FT20" i="80"/>
  <c r="GJ20" i="80"/>
  <c r="I53" i="79"/>
  <c r="GP21" i="80" l="1"/>
  <c r="GR24" i="80"/>
  <c r="GR20" i="80"/>
  <c r="AN21" i="80"/>
  <c r="T21" i="80"/>
  <c r="DP21" i="80"/>
  <c r="GB21" i="80"/>
  <c r="FL21" i="80"/>
  <c r="CJ21" i="80"/>
  <c r="H21" i="80"/>
  <c r="GQ21" i="80"/>
  <c r="GR21" i="80" l="1"/>
  <c r="D108" i="60" l="1"/>
  <c r="C108" i="60"/>
  <c r="G103" i="60"/>
  <c r="G102" i="60"/>
  <c r="H53" i="60"/>
  <c r="H52" i="60"/>
  <c r="D12" i="60"/>
  <c r="C12" i="60"/>
  <c r="D11" i="60"/>
  <c r="D36" i="60" s="1"/>
  <c r="C11" i="60"/>
  <c r="C36" i="60" s="1"/>
  <c r="F159" i="60" l="1"/>
  <c r="R82" i="31" l="1"/>
  <c r="R82" i="36"/>
  <c r="R81" i="36"/>
  <c r="I132" i="60" l="1"/>
  <c r="I128" i="60"/>
  <c r="I115" i="60"/>
  <c r="D103" i="60"/>
  <c r="D102" i="60"/>
  <c r="C103" i="60"/>
  <c r="C102" i="60"/>
  <c r="F95" i="60"/>
  <c r="F94" i="60"/>
  <c r="F93" i="60"/>
  <c r="D95" i="60"/>
  <c r="D94" i="60"/>
  <c r="D93" i="60"/>
  <c r="H84" i="60"/>
  <c r="F83" i="60"/>
  <c r="F88" i="60"/>
  <c r="F86" i="60"/>
  <c r="F79" i="60"/>
  <c r="F77" i="60"/>
  <c r="F75" i="60"/>
  <c r="F72" i="60"/>
  <c r="H69" i="60"/>
  <c r="H66" i="60"/>
  <c r="H63" i="60"/>
  <c r="H60" i="60"/>
  <c r="H57" i="60"/>
  <c r="E112" i="60"/>
  <c r="H111" i="60"/>
  <c r="F111" i="60"/>
  <c r="H110" i="60"/>
  <c r="H112" i="60" s="1"/>
  <c r="H9" i="60"/>
  <c r="I112" i="60" l="1"/>
  <c r="E111" i="15" l="1"/>
  <c r="E110" i="15"/>
  <c r="E111" i="16"/>
  <c r="E110" i="16"/>
  <c r="E111" i="17"/>
  <c r="E110" i="17"/>
  <c r="E111" i="18"/>
  <c r="E110" i="18"/>
  <c r="E111" i="20"/>
  <c r="E110" i="20"/>
  <c r="E111" i="21"/>
  <c r="E110" i="21"/>
  <c r="E111" i="25"/>
  <c r="E110" i="25"/>
  <c r="E111" i="24"/>
  <c r="E110" i="24"/>
  <c r="E111" i="22"/>
  <c r="E110" i="22"/>
  <c r="E111" i="26"/>
  <c r="E110" i="26"/>
  <c r="E111" i="27"/>
  <c r="E110" i="27"/>
  <c r="E111" i="28"/>
  <c r="E110" i="28"/>
  <c r="E111" i="31"/>
  <c r="E110" i="31"/>
  <c r="E111" i="32"/>
  <c r="E110" i="32"/>
  <c r="E111" i="33"/>
  <c r="E110" i="33"/>
  <c r="E111" i="34"/>
  <c r="E110" i="34"/>
  <c r="E111" i="35"/>
  <c r="E110" i="35"/>
  <c r="E111" i="23"/>
  <c r="E110" i="23"/>
  <c r="E111" i="36"/>
  <c r="E110" i="36"/>
  <c r="E111" i="37"/>
  <c r="E110" i="37"/>
  <c r="E111" i="38"/>
  <c r="E110" i="38"/>
  <c r="E111" i="39"/>
  <c r="E110" i="39"/>
  <c r="E111" i="40"/>
  <c r="E110" i="40"/>
  <c r="E111" i="42"/>
  <c r="E110" i="42"/>
  <c r="E111" i="43"/>
  <c r="E110" i="43"/>
  <c r="E111" i="44"/>
  <c r="E110" i="44"/>
  <c r="E111" i="45"/>
  <c r="E110" i="45"/>
  <c r="E111" i="47"/>
  <c r="E110" i="47"/>
  <c r="E111" i="48"/>
  <c r="E110" i="48"/>
  <c r="E111" i="50"/>
  <c r="E110" i="50"/>
  <c r="E111" i="51"/>
  <c r="E110" i="51"/>
  <c r="E111" i="52"/>
  <c r="E110" i="52"/>
  <c r="E111" i="75"/>
  <c r="E110" i="75"/>
  <c r="E111" i="76"/>
  <c r="E110" i="76"/>
  <c r="E111" i="55"/>
  <c r="E110" i="55"/>
  <c r="E111" i="56"/>
  <c r="E110" i="56"/>
  <c r="E111" i="57"/>
  <c r="E110" i="57"/>
  <c r="E111" i="58"/>
  <c r="E110" i="58"/>
  <c r="E111" i="66"/>
  <c r="E110" i="66"/>
  <c r="E111" i="67"/>
  <c r="E110" i="67"/>
  <c r="E111" i="69"/>
  <c r="E110" i="69"/>
  <c r="E111" i="70"/>
  <c r="E110" i="70"/>
  <c r="E111" i="71"/>
  <c r="E110" i="71"/>
  <c r="E111" i="68"/>
  <c r="E110" i="68"/>
  <c r="E111" i="77"/>
  <c r="E110" i="77"/>
  <c r="E111" i="78"/>
  <c r="E110" i="78"/>
  <c r="E111" i="30"/>
  <c r="E110" i="30"/>
  <c r="E111" i="7"/>
  <c r="E110" i="7"/>
  <c r="T83" i="15"/>
  <c r="T83" i="16"/>
  <c r="T83" i="17"/>
  <c r="T83" i="18"/>
  <c r="T83" i="20"/>
  <c r="T83" i="21"/>
  <c r="T83" i="25"/>
  <c r="T83" i="24"/>
  <c r="T83" i="22"/>
  <c r="T83" i="26"/>
  <c r="T83" i="27"/>
  <c r="T83" i="28"/>
  <c r="T83" i="31"/>
  <c r="T83" i="32"/>
  <c r="T83" i="33"/>
  <c r="T83" i="34"/>
  <c r="T83" i="35"/>
  <c r="T83" i="23"/>
  <c r="T83" i="36"/>
  <c r="T83" i="37"/>
  <c r="T83" i="38"/>
  <c r="T83" i="39"/>
  <c r="T83" i="40"/>
  <c r="T83" i="42"/>
  <c r="T83" i="43"/>
  <c r="T83" i="44"/>
  <c r="T83" i="45"/>
  <c r="T83" i="47"/>
  <c r="T83" i="48"/>
  <c r="T83" i="50"/>
  <c r="T83" i="51"/>
  <c r="T83" i="52"/>
  <c r="T83" i="75"/>
  <c r="T83" i="76"/>
  <c r="T83" i="55"/>
  <c r="T83" i="56"/>
  <c r="T83" i="57"/>
  <c r="T83" i="58"/>
  <c r="T83" i="66"/>
  <c r="T83" i="67"/>
  <c r="T83" i="69"/>
  <c r="T83" i="70"/>
  <c r="T83" i="71"/>
  <c r="T83" i="68"/>
  <c r="T83" i="77"/>
  <c r="T83" i="78"/>
  <c r="T83" i="30"/>
  <c r="H83" i="16"/>
  <c r="H83" i="17"/>
  <c r="H83" i="18"/>
  <c r="H83" i="20"/>
  <c r="H83" i="21"/>
  <c r="H83" i="25"/>
  <c r="H83" i="24"/>
  <c r="H83" i="22"/>
  <c r="H83" i="26"/>
  <c r="H83" i="27"/>
  <c r="H83" i="28"/>
  <c r="H83" i="31"/>
  <c r="H83" i="32"/>
  <c r="H83" i="33"/>
  <c r="H83" i="34"/>
  <c r="H83" i="35"/>
  <c r="H83" i="23"/>
  <c r="H83" i="36"/>
  <c r="H83" i="37"/>
  <c r="H83" i="38"/>
  <c r="H83" i="39"/>
  <c r="H83" i="40"/>
  <c r="H83" i="42"/>
  <c r="H83" i="43"/>
  <c r="H83" i="44"/>
  <c r="H83" i="45"/>
  <c r="H83" i="47"/>
  <c r="H83" i="48"/>
  <c r="H83" i="50"/>
  <c r="H83" i="51"/>
  <c r="H83" i="52"/>
  <c r="H83" i="75"/>
  <c r="H83" i="76"/>
  <c r="H83" i="55"/>
  <c r="H83" i="56"/>
  <c r="H83" i="57"/>
  <c r="H83" i="58"/>
  <c r="H83" i="66"/>
  <c r="H83" i="67"/>
  <c r="H83" i="69"/>
  <c r="H83" i="70"/>
  <c r="H83" i="71"/>
  <c r="H83" i="68"/>
  <c r="H83" i="77"/>
  <c r="H83" i="78"/>
  <c r="H83" i="30"/>
  <c r="H83" i="15"/>
  <c r="H68" i="15"/>
  <c r="H68" i="16"/>
  <c r="T68" i="16" s="1"/>
  <c r="H68" i="17"/>
  <c r="T68" i="17" s="1"/>
  <c r="H68" i="18"/>
  <c r="T68" i="18" s="1"/>
  <c r="H68" i="20"/>
  <c r="H68" i="21"/>
  <c r="T68" i="21" s="1"/>
  <c r="H68" i="25"/>
  <c r="H68" i="24"/>
  <c r="T68" i="24" s="1"/>
  <c r="H68" i="22"/>
  <c r="T68" i="22" s="1"/>
  <c r="H68" i="26"/>
  <c r="T68" i="26" s="1"/>
  <c r="H68" i="27"/>
  <c r="T68" i="27" s="1"/>
  <c r="H68" i="28"/>
  <c r="T68" i="28" s="1"/>
  <c r="H68" i="31"/>
  <c r="T68" i="31" s="1"/>
  <c r="H68" i="32"/>
  <c r="T68" i="32" s="1"/>
  <c r="H68" i="33"/>
  <c r="T68" i="33" s="1"/>
  <c r="H68" i="34"/>
  <c r="T68" i="34" s="1"/>
  <c r="H68" i="35"/>
  <c r="T68" i="35" s="1"/>
  <c r="H68" i="23"/>
  <c r="T68" i="23" s="1"/>
  <c r="H68" i="36"/>
  <c r="H68" i="37"/>
  <c r="T68" i="37" s="1"/>
  <c r="H68" i="38"/>
  <c r="H68" i="39"/>
  <c r="T68" i="39" s="1"/>
  <c r="H68" i="40"/>
  <c r="T68" i="40" s="1"/>
  <c r="H68" i="42"/>
  <c r="T68" i="42" s="1"/>
  <c r="H68" i="43"/>
  <c r="T68" i="43" s="1"/>
  <c r="H68" i="44"/>
  <c r="T68" i="44" s="1"/>
  <c r="H68" i="45"/>
  <c r="T68" i="45" s="1"/>
  <c r="H68" i="47"/>
  <c r="T68" i="47" s="1"/>
  <c r="H68" i="48"/>
  <c r="H68" i="50"/>
  <c r="T68" i="50" s="1"/>
  <c r="H68" i="51"/>
  <c r="T68" i="51" s="1"/>
  <c r="H68" i="52"/>
  <c r="H68" i="75"/>
  <c r="T68" i="75" s="1"/>
  <c r="H68" i="76"/>
  <c r="T68" i="76" s="1"/>
  <c r="H68" i="55"/>
  <c r="T68" i="55" s="1"/>
  <c r="H68" i="56"/>
  <c r="T68" i="56" s="1"/>
  <c r="H68" i="57"/>
  <c r="T68" i="57" s="1"/>
  <c r="H68" i="58"/>
  <c r="T68" i="58" s="1"/>
  <c r="H68" i="66"/>
  <c r="T68" i="66" s="1"/>
  <c r="H68" i="67"/>
  <c r="H68" i="69"/>
  <c r="T68" i="69" s="1"/>
  <c r="H68" i="70"/>
  <c r="T68" i="70" s="1"/>
  <c r="H68" i="71"/>
  <c r="T68" i="71" s="1"/>
  <c r="H68" i="68"/>
  <c r="H68" i="77"/>
  <c r="T68" i="77" s="1"/>
  <c r="H68" i="78"/>
  <c r="T68" i="78" s="1"/>
  <c r="H68" i="30"/>
  <c r="T68" i="30" s="1"/>
  <c r="T68" i="7"/>
  <c r="H65" i="15"/>
  <c r="T65" i="15" s="1"/>
  <c r="H65" i="16"/>
  <c r="T65" i="16" s="1"/>
  <c r="H65" i="17"/>
  <c r="H65" i="18"/>
  <c r="T65" i="18" s="1"/>
  <c r="H65" i="20"/>
  <c r="T65" i="20" s="1"/>
  <c r="H65" i="21"/>
  <c r="T65" i="21" s="1"/>
  <c r="H65" i="25"/>
  <c r="T65" i="25" s="1"/>
  <c r="H65" i="24"/>
  <c r="T65" i="24" s="1"/>
  <c r="H65" i="22"/>
  <c r="T65" i="22" s="1"/>
  <c r="H65" i="26"/>
  <c r="H65" i="27"/>
  <c r="T65" i="27" s="1"/>
  <c r="H65" i="28"/>
  <c r="T65" i="28" s="1"/>
  <c r="H65" i="31"/>
  <c r="T65" i="31" s="1"/>
  <c r="H65" i="32"/>
  <c r="T65" i="32" s="1"/>
  <c r="H65" i="33"/>
  <c r="H65" i="34"/>
  <c r="H65" i="35"/>
  <c r="T65" i="35" s="1"/>
  <c r="H65" i="23"/>
  <c r="T65" i="23" s="1"/>
  <c r="H65" i="36"/>
  <c r="T65" i="36" s="1"/>
  <c r="H65" i="37"/>
  <c r="H65" i="38"/>
  <c r="H65" i="39"/>
  <c r="T65" i="39" s="1"/>
  <c r="H65" i="40"/>
  <c r="T65" i="40" s="1"/>
  <c r="H65" i="42"/>
  <c r="T65" i="42" s="1"/>
  <c r="H65" i="43"/>
  <c r="T65" i="43" s="1"/>
  <c r="H65" i="44"/>
  <c r="T65" i="44" s="1"/>
  <c r="H65" i="45"/>
  <c r="T65" i="45" s="1"/>
  <c r="H65" i="47"/>
  <c r="T65" i="47" s="1"/>
  <c r="H65" i="48"/>
  <c r="T65" i="48" s="1"/>
  <c r="H65" i="50"/>
  <c r="H65" i="51"/>
  <c r="T65" i="51" s="1"/>
  <c r="H65" i="52"/>
  <c r="T65" i="52" s="1"/>
  <c r="H65" i="75"/>
  <c r="H65" i="76"/>
  <c r="T65" i="76" s="1"/>
  <c r="H65" i="55"/>
  <c r="H65" i="56"/>
  <c r="T65" i="56" s="1"/>
  <c r="H65" i="57"/>
  <c r="T65" i="57" s="1"/>
  <c r="H65" i="58"/>
  <c r="T65" i="58" s="1"/>
  <c r="H65" i="66"/>
  <c r="H65" i="67"/>
  <c r="H65" i="69"/>
  <c r="H65" i="70"/>
  <c r="T65" i="70" s="1"/>
  <c r="H65" i="71"/>
  <c r="T65" i="71" s="1"/>
  <c r="H65" i="68"/>
  <c r="T65" i="68" s="1"/>
  <c r="H65" i="77"/>
  <c r="H65" i="78"/>
  <c r="T65" i="78" s="1"/>
  <c r="H65" i="30"/>
  <c r="T65" i="30" s="1"/>
  <c r="T65" i="7"/>
  <c r="H62" i="15"/>
  <c r="T62" i="15" s="1"/>
  <c r="H62" i="16"/>
  <c r="T62" i="16" s="1"/>
  <c r="H62" i="17"/>
  <c r="T62" i="17" s="1"/>
  <c r="H62" i="18"/>
  <c r="T62" i="18" s="1"/>
  <c r="H62" i="20"/>
  <c r="T62" i="20" s="1"/>
  <c r="H62" i="21"/>
  <c r="T62" i="21" s="1"/>
  <c r="H62" i="25"/>
  <c r="T62" i="25" s="1"/>
  <c r="H62" i="24"/>
  <c r="T62" i="24" s="1"/>
  <c r="H62" i="22"/>
  <c r="T62" i="22" s="1"/>
  <c r="H62" i="26"/>
  <c r="T62" i="26" s="1"/>
  <c r="H62" i="27"/>
  <c r="T62" i="27" s="1"/>
  <c r="H62" i="28"/>
  <c r="T62" i="28" s="1"/>
  <c r="H62" i="31"/>
  <c r="T62" i="31" s="1"/>
  <c r="H62" i="32"/>
  <c r="T62" i="32" s="1"/>
  <c r="H62" i="33"/>
  <c r="T62" i="33" s="1"/>
  <c r="H62" i="34"/>
  <c r="T62" i="34" s="1"/>
  <c r="H62" i="35"/>
  <c r="T62" i="35" s="1"/>
  <c r="H62" i="23"/>
  <c r="T62" i="23" s="1"/>
  <c r="H62" i="36"/>
  <c r="T62" i="36" s="1"/>
  <c r="H62" i="37"/>
  <c r="T62" i="37" s="1"/>
  <c r="H62" i="38"/>
  <c r="T62" i="38" s="1"/>
  <c r="H62" i="39"/>
  <c r="T62" i="39" s="1"/>
  <c r="H62" i="40"/>
  <c r="T62" i="40" s="1"/>
  <c r="H62" i="42"/>
  <c r="T62" i="42" s="1"/>
  <c r="H62" i="43"/>
  <c r="T62" i="43" s="1"/>
  <c r="H62" i="44"/>
  <c r="T62" i="44" s="1"/>
  <c r="H62" i="45"/>
  <c r="T62" i="45" s="1"/>
  <c r="H62" i="47"/>
  <c r="T62" i="47" s="1"/>
  <c r="H62" i="48"/>
  <c r="T62" i="48" s="1"/>
  <c r="H62" i="50"/>
  <c r="T62" i="50" s="1"/>
  <c r="H62" i="51"/>
  <c r="T62" i="51" s="1"/>
  <c r="H62" i="52"/>
  <c r="T62" i="52" s="1"/>
  <c r="H62" i="75"/>
  <c r="T62" i="75" s="1"/>
  <c r="H62" i="76"/>
  <c r="T62" i="76" s="1"/>
  <c r="H62" i="55"/>
  <c r="T62" i="55" s="1"/>
  <c r="H62" i="56"/>
  <c r="T62" i="56" s="1"/>
  <c r="H62" i="57"/>
  <c r="T62" i="57" s="1"/>
  <c r="H62" i="58"/>
  <c r="T62" i="58" s="1"/>
  <c r="H62" i="66"/>
  <c r="T62" i="66" s="1"/>
  <c r="H62" i="67"/>
  <c r="T62" i="67" s="1"/>
  <c r="H62" i="69"/>
  <c r="T62" i="69" s="1"/>
  <c r="H62" i="70"/>
  <c r="T62" i="70" s="1"/>
  <c r="H62" i="71"/>
  <c r="T62" i="71" s="1"/>
  <c r="H62" i="68"/>
  <c r="T62" i="68" s="1"/>
  <c r="H62" i="77"/>
  <c r="T62" i="77" s="1"/>
  <c r="H62" i="78"/>
  <c r="T62" i="78" s="1"/>
  <c r="H62" i="30"/>
  <c r="T62" i="30" s="1"/>
  <c r="T62" i="7"/>
  <c r="T68" i="68" l="1"/>
  <c r="T68" i="52"/>
  <c r="T65" i="55"/>
  <c r="T65" i="34"/>
  <c r="T68" i="48"/>
  <c r="T68" i="25"/>
  <c r="T68" i="15"/>
  <c r="T68" i="36"/>
  <c r="T68" i="20"/>
  <c r="T68" i="67"/>
  <c r="T68" i="38"/>
  <c r="T65" i="66"/>
  <c r="T65" i="33"/>
  <c r="T65" i="26"/>
  <c r="T65" i="50"/>
  <c r="T65" i="77"/>
  <c r="T65" i="69"/>
  <c r="T65" i="75"/>
  <c r="T65" i="38"/>
  <c r="T65" i="17"/>
  <c r="T65" i="67"/>
  <c r="T65" i="37"/>
  <c r="U37" i="15" l="1"/>
  <c r="U37" i="16"/>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5"/>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5"/>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H9" i="15"/>
  <c r="T9" i="15" s="1"/>
  <c r="T9" i="7"/>
  <c r="E102" i="7" l="1"/>
  <c r="E101" i="7"/>
  <c r="E102" i="16" l="1"/>
  <c r="E102" i="17"/>
  <c r="E102" i="18"/>
  <c r="E102" i="20"/>
  <c r="E102" i="21"/>
  <c r="E102" i="25"/>
  <c r="E102" i="24"/>
  <c r="E102" i="22"/>
  <c r="E102" i="26"/>
  <c r="E102" i="27"/>
  <c r="E102" i="28"/>
  <c r="E102" i="31"/>
  <c r="E102" i="32"/>
  <c r="E102" i="33"/>
  <c r="E102" i="34"/>
  <c r="E102" i="35"/>
  <c r="E102" i="23"/>
  <c r="E102" i="36"/>
  <c r="E102" i="37"/>
  <c r="E102" i="38"/>
  <c r="E102" i="39"/>
  <c r="E102" i="40"/>
  <c r="E102" i="42"/>
  <c r="E102" i="43"/>
  <c r="E102" i="44"/>
  <c r="E102" i="45"/>
  <c r="E102" i="47"/>
  <c r="E102" i="48"/>
  <c r="E102" i="50"/>
  <c r="E102" i="51"/>
  <c r="E102" i="52"/>
  <c r="E102" i="75"/>
  <c r="E102" i="76"/>
  <c r="E102" i="55"/>
  <c r="E102" i="56"/>
  <c r="E102" i="57"/>
  <c r="E102" i="58"/>
  <c r="E102" i="66"/>
  <c r="E102" i="67"/>
  <c r="E102" i="69"/>
  <c r="E102" i="70"/>
  <c r="E102" i="71"/>
  <c r="E102" i="68"/>
  <c r="E102" i="77"/>
  <c r="E102" i="78"/>
  <c r="E102" i="30"/>
  <c r="E102" i="15"/>
  <c r="E101" i="16"/>
  <c r="E102" i="60" s="1"/>
  <c r="E101" i="17"/>
  <c r="E101" i="18"/>
  <c r="E101" i="20"/>
  <c r="E101" i="21"/>
  <c r="E101" i="25"/>
  <c r="E101" i="24"/>
  <c r="E101" i="22"/>
  <c r="E101" i="26"/>
  <c r="E101" i="27"/>
  <c r="E101" i="28"/>
  <c r="E101" i="31"/>
  <c r="E101" i="32"/>
  <c r="E101" i="33"/>
  <c r="E101" i="34"/>
  <c r="E101" i="35"/>
  <c r="E101" i="23"/>
  <c r="E101" i="36"/>
  <c r="E101" i="37"/>
  <c r="E101" i="38"/>
  <c r="E101" i="39"/>
  <c r="E101" i="40"/>
  <c r="E101" i="42"/>
  <c r="E101" i="43"/>
  <c r="E101" i="44"/>
  <c r="E101" i="45"/>
  <c r="E101" i="47"/>
  <c r="E101" i="48"/>
  <c r="E101" i="50"/>
  <c r="E101" i="51"/>
  <c r="E101" i="52"/>
  <c r="E101" i="75"/>
  <c r="E101" i="76"/>
  <c r="E101" i="55"/>
  <c r="E101" i="56"/>
  <c r="E101" i="57"/>
  <c r="E101" i="58"/>
  <c r="E101" i="66"/>
  <c r="E101" i="67"/>
  <c r="E101" i="69"/>
  <c r="E101" i="70"/>
  <c r="E101" i="71"/>
  <c r="E101" i="68"/>
  <c r="E101" i="77"/>
  <c r="E101" i="78"/>
  <c r="E101" i="30"/>
  <c r="E101" i="15"/>
  <c r="E103" i="60" l="1"/>
  <c r="H56" i="32"/>
  <c r="H59"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I10" i="15"/>
  <c r="U10" i="15"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56" i="30"/>
  <c r="T56" i="30" s="1"/>
  <c r="H59" i="30"/>
  <c r="T59" i="30" s="1"/>
  <c r="F71" i="30"/>
  <c r="F74" i="30"/>
  <c r="R74" i="30" s="1"/>
  <c r="F76" i="30"/>
  <c r="F78" i="30"/>
  <c r="R78" i="30" s="1"/>
  <c r="F85" i="30"/>
  <c r="R85" i="30" s="1"/>
  <c r="F87" i="30"/>
  <c r="R87" i="30" s="1"/>
  <c r="F92" i="30"/>
  <c r="R92" i="30" s="1"/>
  <c r="F93" i="30"/>
  <c r="R93" i="30" s="1"/>
  <c r="F94" i="30"/>
  <c r="R94" i="30" s="1"/>
  <c r="G101" i="30"/>
  <c r="I101" i="30" s="1"/>
  <c r="G102" i="30"/>
  <c r="T102" i="30" s="1"/>
  <c r="U102" i="30" s="1"/>
  <c r="H109" i="30"/>
  <c r="H111" i="30" s="1"/>
  <c r="T111" i="30" s="1"/>
  <c r="R109" i="30"/>
  <c r="R110" i="30" s="1"/>
  <c r="F110" i="30"/>
  <c r="H110" i="30"/>
  <c r="I131" i="30"/>
  <c r="A140" i="30"/>
  <c r="A150" i="30"/>
  <c r="A152" i="30"/>
  <c r="A156" i="30"/>
  <c r="A160" i="30"/>
  <c r="A161" i="30"/>
  <c r="A162" i="30"/>
  <c r="A166" i="30"/>
  <c r="A167" i="30"/>
  <c r="A168" i="30"/>
  <c r="A170" i="30"/>
  <c r="A171" i="30"/>
  <c r="A172" i="30"/>
  <c r="A173" i="30"/>
  <c r="N1" i="78"/>
  <c r="A3" i="78"/>
  <c r="N3" i="78" s="1"/>
  <c r="F4" i="78"/>
  <c r="P4" i="78"/>
  <c r="N7" i="78"/>
  <c r="C8" i="78"/>
  <c r="P8" i="78" s="1"/>
  <c r="H8" i="78"/>
  <c r="T8" i="78" s="1"/>
  <c r="P93" i="78" s="1"/>
  <c r="F14" i="78"/>
  <c r="F15" i="78"/>
  <c r="F16" i="78"/>
  <c r="F17" i="78"/>
  <c r="F18" i="78"/>
  <c r="F19" i="78"/>
  <c r="F20" i="78"/>
  <c r="F21" i="78"/>
  <c r="F22" i="78"/>
  <c r="F23" i="78"/>
  <c r="F24" i="78"/>
  <c r="F25" i="78"/>
  <c r="F26" i="78"/>
  <c r="F27" i="78"/>
  <c r="F28" i="78"/>
  <c r="F29" i="78"/>
  <c r="C30" i="78"/>
  <c r="D30" i="78"/>
  <c r="C44" i="78"/>
  <c r="D44" i="78"/>
  <c r="H56" i="78"/>
  <c r="T56" i="78" s="1"/>
  <c r="H59" i="78"/>
  <c r="T59" i="78" s="1"/>
  <c r="F71" i="78"/>
  <c r="F74" i="78"/>
  <c r="F76" i="78"/>
  <c r="F78" i="78"/>
  <c r="F85" i="78"/>
  <c r="R85" i="78" s="1"/>
  <c r="F87" i="78"/>
  <c r="F92" i="78"/>
  <c r="R92" i="78" s="1"/>
  <c r="F93" i="78"/>
  <c r="R93" i="78" s="1"/>
  <c r="F94" i="78"/>
  <c r="R94" i="78" s="1"/>
  <c r="G101" i="78"/>
  <c r="T101" i="78" s="1"/>
  <c r="G102" i="78"/>
  <c r="I102" i="78" s="1"/>
  <c r="H109" i="78"/>
  <c r="R109" i="78"/>
  <c r="R110" i="78" s="1"/>
  <c r="F110" i="78"/>
  <c r="H110" i="78"/>
  <c r="I131" i="78"/>
  <c r="A140" i="78"/>
  <c r="A150" i="78"/>
  <c r="A152" i="78"/>
  <c r="A156" i="78"/>
  <c r="A160" i="78"/>
  <c r="A161" i="78"/>
  <c r="A162" i="78"/>
  <c r="A166" i="78"/>
  <c r="A167" i="78"/>
  <c r="A168" i="78"/>
  <c r="A170" i="78"/>
  <c r="A171" i="78"/>
  <c r="A172" i="78"/>
  <c r="A173"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09" i="77" s="1"/>
  <c r="C44" i="77"/>
  <c r="D44" i="77"/>
  <c r="E40" i="77" s="1"/>
  <c r="H56" i="77"/>
  <c r="T56" i="77" s="1"/>
  <c r="H59" i="77"/>
  <c r="T59" i="77" s="1"/>
  <c r="F71" i="77"/>
  <c r="R71" i="77" s="1"/>
  <c r="F74" i="77"/>
  <c r="F76" i="77"/>
  <c r="R76" i="77" s="1"/>
  <c r="F78" i="77"/>
  <c r="R78" i="77" s="1"/>
  <c r="F85" i="77"/>
  <c r="F87" i="77"/>
  <c r="F92" i="77"/>
  <c r="R92" i="77" s="1"/>
  <c r="F93" i="77"/>
  <c r="R93" i="77" s="1"/>
  <c r="F94" i="77"/>
  <c r="R94" i="77" s="1"/>
  <c r="G101" i="77"/>
  <c r="T101" i="77" s="1"/>
  <c r="G102" i="77"/>
  <c r="I102" i="77" s="1"/>
  <c r="H109" i="77"/>
  <c r="R109" i="77"/>
  <c r="R110" i="77" s="1"/>
  <c r="F110" i="77"/>
  <c r="H110" i="77"/>
  <c r="T110" i="77" s="1"/>
  <c r="I131" i="77"/>
  <c r="A140" i="77"/>
  <c r="A150" i="77"/>
  <c r="A152" i="77"/>
  <c r="A156" i="77"/>
  <c r="A160" i="77"/>
  <c r="A161" i="77"/>
  <c r="A162" i="77"/>
  <c r="A166" i="77"/>
  <c r="A167" i="77"/>
  <c r="A168" i="77"/>
  <c r="A170" i="77"/>
  <c r="A171" i="77"/>
  <c r="A172" i="77"/>
  <c r="A173" i="77"/>
  <c r="N1" i="68"/>
  <c r="A3" i="68"/>
  <c r="N3" i="68" s="1"/>
  <c r="F4" i="68"/>
  <c r="P4" i="68"/>
  <c r="N7" i="68"/>
  <c r="C8" i="68"/>
  <c r="P8" i="68" s="1"/>
  <c r="H8" i="68"/>
  <c r="E92" i="68" s="1"/>
  <c r="F14" i="68"/>
  <c r="F15" i="68"/>
  <c r="F16" i="68"/>
  <c r="F17" i="68"/>
  <c r="F18" i="68"/>
  <c r="F19" i="68"/>
  <c r="F20" i="68"/>
  <c r="F21" i="68"/>
  <c r="F22" i="68"/>
  <c r="F23" i="68"/>
  <c r="F24" i="68"/>
  <c r="F25" i="68"/>
  <c r="F26" i="68"/>
  <c r="F27" i="68"/>
  <c r="F28" i="68"/>
  <c r="F29" i="68"/>
  <c r="C30" i="68"/>
  <c r="D30" i="68"/>
  <c r="C44" i="68"/>
  <c r="D44" i="68"/>
  <c r="E38" i="68" s="1"/>
  <c r="H56" i="68"/>
  <c r="T56" i="68" s="1"/>
  <c r="H59" i="68"/>
  <c r="T59" i="68" s="1"/>
  <c r="F71" i="68"/>
  <c r="R71" i="68" s="1"/>
  <c r="F74" i="68"/>
  <c r="R74" i="68" s="1"/>
  <c r="F76" i="68"/>
  <c r="R76" i="68" s="1"/>
  <c r="F78" i="68"/>
  <c r="R78" i="68" s="1"/>
  <c r="F85" i="68"/>
  <c r="R85" i="68" s="1"/>
  <c r="F87" i="68"/>
  <c r="R87" i="68" s="1"/>
  <c r="F92" i="68"/>
  <c r="R92" i="68" s="1"/>
  <c r="F93" i="68"/>
  <c r="R93" i="68" s="1"/>
  <c r="F94" i="68"/>
  <c r="R94" i="68" s="1"/>
  <c r="G101" i="68"/>
  <c r="G102" i="68"/>
  <c r="H109" i="68"/>
  <c r="T109" i="68" s="1"/>
  <c r="R109" i="68"/>
  <c r="R110" i="68" s="1"/>
  <c r="F110" i="68"/>
  <c r="H110" i="68"/>
  <c r="T110" i="68" s="1"/>
  <c r="I131" i="68"/>
  <c r="A140" i="68"/>
  <c r="A150" i="68"/>
  <c r="A152" i="68"/>
  <c r="A156" i="68"/>
  <c r="A160" i="68"/>
  <c r="A161" i="68"/>
  <c r="A162" i="68"/>
  <c r="A166" i="68"/>
  <c r="A167" i="68"/>
  <c r="A168" i="68"/>
  <c r="A170" i="68"/>
  <c r="A171" i="68"/>
  <c r="A172" i="68"/>
  <c r="A173" i="68"/>
  <c r="N1" i="71"/>
  <c r="A3" i="71"/>
  <c r="N3" i="71" s="1"/>
  <c r="F4" i="71"/>
  <c r="P4" i="71"/>
  <c r="N7" i="71"/>
  <c r="C8" i="71"/>
  <c r="P8" i="71" s="1"/>
  <c r="H8" i="71"/>
  <c r="F14" i="71"/>
  <c r="F15" i="71"/>
  <c r="F16" i="71"/>
  <c r="F17" i="71"/>
  <c r="F18" i="71"/>
  <c r="F19" i="71"/>
  <c r="F20" i="71"/>
  <c r="F21" i="71"/>
  <c r="F22" i="71"/>
  <c r="F23" i="71"/>
  <c r="F24" i="71"/>
  <c r="F25" i="71"/>
  <c r="F26" i="71"/>
  <c r="F27" i="71"/>
  <c r="F28" i="71"/>
  <c r="F29" i="71"/>
  <c r="C30" i="71"/>
  <c r="D30" i="71"/>
  <c r="C44" i="71"/>
  <c r="D44" i="71"/>
  <c r="H56" i="71"/>
  <c r="T56" i="71" s="1"/>
  <c r="H59" i="71"/>
  <c r="T59" i="71" s="1"/>
  <c r="F71" i="71"/>
  <c r="R71" i="71" s="1"/>
  <c r="F74" i="71"/>
  <c r="R74" i="71" s="1"/>
  <c r="F76" i="71"/>
  <c r="R76" i="71" s="1"/>
  <c r="F78" i="71"/>
  <c r="F85" i="71"/>
  <c r="R85" i="71" s="1"/>
  <c r="F87" i="71"/>
  <c r="R87" i="71" s="1"/>
  <c r="F92" i="71"/>
  <c r="R92" i="71" s="1"/>
  <c r="F93" i="71"/>
  <c r="R93" i="71" s="1"/>
  <c r="F94" i="71"/>
  <c r="R94" i="71" s="1"/>
  <c r="G101" i="71"/>
  <c r="I101" i="71" s="1"/>
  <c r="G102" i="71"/>
  <c r="T102" i="71" s="1"/>
  <c r="U102" i="71" s="1"/>
  <c r="H109" i="71"/>
  <c r="H111" i="71" s="1"/>
  <c r="T111" i="71" s="1"/>
  <c r="R109" i="71"/>
  <c r="R110" i="71" s="1"/>
  <c r="F110" i="71"/>
  <c r="H110" i="71"/>
  <c r="T110" i="71" s="1"/>
  <c r="I131" i="71"/>
  <c r="A140" i="71"/>
  <c r="A150" i="71"/>
  <c r="A152" i="71"/>
  <c r="A156" i="71"/>
  <c r="A160" i="71"/>
  <c r="A161" i="71"/>
  <c r="A162" i="71"/>
  <c r="A166" i="71"/>
  <c r="A167" i="71"/>
  <c r="A168" i="71"/>
  <c r="A170" i="71"/>
  <c r="A171" i="71"/>
  <c r="A172" i="71"/>
  <c r="A173"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56" i="70"/>
  <c r="T56" i="70" s="1"/>
  <c r="H59" i="70"/>
  <c r="T59" i="70" s="1"/>
  <c r="F71" i="70"/>
  <c r="R71" i="70" s="1"/>
  <c r="F74" i="70"/>
  <c r="R74" i="70" s="1"/>
  <c r="F76" i="70"/>
  <c r="R76" i="70" s="1"/>
  <c r="F78" i="70"/>
  <c r="R78" i="70" s="1"/>
  <c r="F85" i="70"/>
  <c r="R85" i="70" s="1"/>
  <c r="F87" i="70"/>
  <c r="R87" i="70" s="1"/>
  <c r="F92" i="70"/>
  <c r="R92" i="70" s="1"/>
  <c r="F93" i="70"/>
  <c r="R93" i="70" s="1"/>
  <c r="F94" i="70"/>
  <c r="R94" i="70" s="1"/>
  <c r="G101" i="70"/>
  <c r="T101" i="70" s="1"/>
  <c r="G102" i="70"/>
  <c r="I102" i="70" s="1"/>
  <c r="H109" i="70"/>
  <c r="R109" i="70"/>
  <c r="R110" i="70" s="1"/>
  <c r="F110" i="70"/>
  <c r="H110" i="70"/>
  <c r="T110" i="70" s="1"/>
  <c r="I131" i="70"/>
  <c r="A140" i="70"/>
  <c r="A150" i="70"/>
  <c r="A152" i="70"/>
  <c r="A156" i="70"/>
  <c r="A160" i="70"/>
  <c r="A161" i="70"/>
  <c r="A162" i="70"/>
  <c r="A166" i="70"/>
  <c r="A167" i="70"/>
  <c r="A168" i="70"/>
  <c r="A170" i="70"/>
  <c r="A171" i="70"/>
  <c r="A172" i="70"/>
  <c r="A173"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56" i="69"/>
  <c r="T56" i="69" s="1"/>
  <c r="H59" i="69"/>
  <c r="T59" i="69" s="1"/>
  <c r="F71" i="69"/>
  <c r="R71" i="69" s="1"/>
  <c r="F74" i="69"/>
  <c r="R74" i="69" s="1"/>
  <c r="F76" i="69"/>
  <c r="R76" i="69" s="1"/>
  <c r="F78" i="69"/>
  <c r="F85" i="69"/>
  <c r="R85" i="69" s="1"/>
  <c r="F87" i="69"/>
  <c r="R87" i="69" s="1"/>
  <c r="F92" i="69"/>
  <c r="R92" i="69" s="1"/>
  <c r="F93" i="69"/>
  <c r="R93" i="69" s="1"/>
  <c r="F94" i="69"/>
  <c r="R94" i="69" s="1"/>
  <c r="G101" i="69"/>
  <c r="I101" i="69" s="1"/>
  <c r="G102" i="69"/>
  <c r="T102" i="69" s="1"/>
  <c r="U102" i="69" s="1"/>
  <c r="H109" i="69"/>
  <c r="T109" i="69" s="1"/>
  <c r="R109" i="69"/>
  <c r="R110" i="69" s="1"/>
  <c r="F110" i="69"/>
  <c r="H110" i="69"/>
  <c r="T110" i="69" s="1"/>
  <c r="I131" i="69"/>
  <c r="A140" i="69"/>
  <c r="A150" i="69"/>
  <c r="A152" i="69"/>
  <c r="A156" i="69"/>
  <c r="A160" i="69"/>
  <c r="A161" i="69"/>
  <c r="A162" i="69"/>
  <c r="A166" i="69"/>
  <c r="A167" i="69"/>
  <c r="A168" i="69"/>
  <c r="A170" i="69"/>
  <c r="A171" i="69"/>
  <c r="A172" i="69"/>
  <c r="A173" i="69"/>
  <c r="N1" i="67"/>
  <c r="A3" i="67"/>
  <c r="N3" i="67" s="1"/>
  <c r="F4" i="67"/>
  <c r="P4" i="67"/>
  <c r="N7" i="67"/>
  <c r="C8" i="67"/>
  <c r="P8" i="67" s="1"/>
  <c r="H8" i="67"/>
  <c r="E92" i="67" s="1"/>
  <c r="F14" i="67"/>
  <c r="F15" i="67"/>
  <c r="F16" i="67"/>
  <c r="F17" i="67"/>
  <c r="F18" i="67"/>
  <c r="F19" i="67"/>
  <c r="F20" i="67"/>
  <c r="F21" i="67"/>
  <c r="F22" i="67"/>
  <c r="F23" i="67"/>
  <c r="F24" i="67"/>
  <c r="F25" i="67"/>
  <c r="F26" i="67"/>
  <c r="F27" i="67"/>
  <c r="F28" i="67"/>
  <c r="F29" i="67"/>
  <c r="C30" i="67"/>
  <c r="D30" i="67"/>
  <c r="E109" i="67" s="1"/>
  <c r="C44" i="67"/>
  <c r="D44" i="67"/>
  <c r="E39" i="67" s="1"/>
  <c r="H56" i="67"/>
  <c r="T56" i="67" s="1"/>
  <c r="H59" i="67"/>
  <c r="T59" i="67" s="1"/>
  <c r="F71" i="67"/>
  <c r="R71" i="67" s="1"/>
  <c r="F74" i="67"/>
  <c r="R74" i="67" s="1"/>
  <c r="F76" i="67"/>
  <c r="R76" i="67" s="1"/>
  <c r="F78" i="67"/>
  <c r="R78" i="67" s="1"/>
  <c r="F85" i="67"/>
  <c r="R85" i="67" s="1"/>
  <c r="F87" i="67"/>
  <c r="R87" i="67" s="1"/>
  <c r="F92" i="67"/>
  <c r="R92" i="67" s="1"/>
  <c r="F93" i="67"/>
  <c r="R93" i="67" s="1"/>
  <c r="F94" i="67"/>
  <c r="R94" i="67" s="1"/>
  <c r="G101" i="67"/>
  <c r="T101" i="67" s="1"/>
  <c r="G102" i="67"/>
  <c r="T102" i="67" s="1"/>
  <c r="U102" i="67" s="1"/>
  <c r="H109" i="67"/>
  <c r="H111" i="67" s="1"/>
  <c r="T111" i="67" s="1"/>
  <c r="R109" i="67"/>
  <c r="R110" i="67" s="1"/>
  <c r="F110" i="67"/>
  <c r="H110" i="67"/>
  <c r="T110" i="67" s="1"/>
  <c r="I131" i="67"/>
  <c r="A140" i="67"/>
  <c r="A150" i="67"/>
  <c r="A152" i="67"/>
  <c r="A156" i="67"/>
  <c r="A160" i="67"/>
  <c r="A161" i="67"/>
  <c r="A162" i="67"/>
  <c r="A166" i="67"/>
  <c r="A167" i="67"/>
  <c r="A168" i="67"/>
  <c r="A170" i="67"/>
  <c r="A171" i="67"/>
  <c r="A172" i="67"/>
  <c r="A173" i="67"/>
  <c r="N1" i="66"/>
  <c r="A3" i="66"/>
  <c r="N3" i="66" s="1"/>
  <c r="F4" i="66"/>
  <c r="P4" i="66"/>
  <c r="N7" i="66"/>
  <c r="C8" i="66"/>
  <c r="P8" i="66" s="1"/>
  <c r="H8" i="66"/>
  <c r="E93" i="66" s="1"/>
  <c r="F14" i="66"/>
  <c r="F15" i="66"/>
  <c r="F16" i="66"/>
  <c r="F17" i="66"/>
  <c r="F18" i="66"/>
  <c r="F19" i="66"/>
  <c r="F20" i="66"/>
  <c r="F21" i="66"/>
  <c r="F22" i="66"/>
  <c r="F23" i="66"/>
  <c r="F24" i="66"/>
  <c r="F25" i="66"/>
  <c r="F26" i="66"/>
  <c r="F27" i="66"/>
  <c r="F28" i="66"/>
  <c r="F29" i="66"/>
  <c r="C30" i="66"/>
  <c r="D30" i="66"/>
  <c r="C44" i="66"/>
  <c r="D44" i="66"/>
  <c r="E39" i="66" s="1"/>
  <c r="H56" i="66"/>
  <c r="T56" i="66" s="1"/>
  <c r="H59" i="66"/>
  <c r="T59" i="66" s="1"/>
  <c r="F71" i="66"/>
  <c r="R71" i="66" s="1"/>
  <c r="F74" i="66"/>
  <c r="R74" i="66" s="1"/>
  <c r="F76" i="66"/>
  <c r="R76" i="66" s="1"/>
  <c r="F78" i="66"/>
  <c r="R78" i="66" s="1"/>
  <c r="F85" i="66"/>
  <c r="R85" i="66" s="1"/>
  <c r="F87" i="66"/>
  <c r="R87" i="66" s="1"/>
  <c r="F92" i="66"/>
  <c r="R92" i="66" s="1"/>
  <c r="F93" i="66"/>
  <c r="R93" i="66" s="1"/>
  <c r="F94" i="66"/>
  <c r="R94" i="66" s="1"/>
  <c r="G101" i="66"/>
  <c r="T101" i="66" s="1"/>
  <c r="G102" i="66"/>
  <c r="T102" i="66" s="1"/>
  <c r="U102" i="66" s="1"/>
  <c r="H109" i="66"/>
  <c r="R109" i="66"/>
  <c r="R110" i="66" s="1"/>
  <c r="F110" i="66"/>
  <c r="H110" i="66"/>
  <c r="T110" i="66" s="1"/>
  <c r="I131" i="66"/>
  <c r="A140" i="66"/>
  <c r="A150" i="66"/>
  <c r="A152" i="66"/>
  <c r="A156" i="66"/>
  <c r="A160" i="66"/>
  <c r="A161" i="66"/>
  <c r="A162" i="66"/>
  <c r="A166" i="66"/>
  <c r="A167" i="66"/>
  <c r="A168" i="66"/>
  <c r="A170" i="66"/>
  <c r="A171" i="66"/>
  <c r="A172" i="66"/>
  <c r="A173"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C30" i="58"/>
  <c r="D30" i="58"/>
  <c r="C44" i="58"/>
  <c r="D44" i="58"/>
  <c r="H56" i="58"/>
  <c r="T56" i="58" s="1"/>
  <c r="H59" i="58"/>
  <c r="T59" i="58" s="1"/>
  <c r="F71" i="58"/>
  <c r="F74" i="58"/>
  <c r="R74" i="58" s="1"/>
  <c r="F76" i="58"/>
  <c r="F78" i="58"/>
  <c r="R78" i="58" s="1"/>
  <c r="F85" i="58"/>
  <c r="R85" i="58" s="1"/>
  <c r="F87" i="58"/>
  <c r="R87" i="58" s="1"/>
  <c r="F92" i="58"/>
  <c r="R92" i="58" s="1"/>
  <c r="F93" i="58"/>
  <c r="R93" i="58" s="1"/>
  <c r="F94" i="58"/>
  <c r="R94" i="58" s="1"/>
  <c r="G101" i="58"/>
  <c r="I101" i="58" s="1"/>
  <c r="G102" i="58"/>
  <c r="T102" i="58" s="1"/>
  <c r="U102" i="58" s="1"/>
  <c r="H109" i="58"/>
  <c r="T109" i="58" s="1"/>
  <c r="R109" i="58"/>
  <c r="R110" i="58" s="1"/>
  <c r="F110" i="58"/>
  <c r="H110" i="58"/>
  <c r="T110" i="58" s="1"/>
  <c r="I131" i="58"/>
  <c r="A140" i="58"/>
  <c r="A150" i="58"/>
  <c r="A152" i="58"/>
  <c r="A156" i="58"/>
  <c r="A160" i="58"/>
  <c r="A161" i="58"/>
  <c r="A162" i="58"/>
  <c r="A166" i="58"/>
  <c r="A167" i="58"/>
  <c r="A168" i="58"/>
  <c r="A170" i="58"/>
  <c r="A171" i="58"/>
  <c r="A172" i="58"/>
  <c r="A173" i="58"/>
  <c r="N1" i="57"/>
  <c r="A3" i="57"/>
  <c r="N3" i="57" s="1"/>
  <c r="F4" i="57"/>
  <c r="P4" i="57"/>
  <c r="N7" i="57"/>
  <c r="C8" i="57"/>
  <c r="P8" i="57" s="1"/>
  <c r="H8" i="57"/>
  <c r="E93" i="57" s="1"/>
  <c r="F14" i="57"/>
  <c r="F15" i="57"/>
  <c r="F16" i="57"/>
  <c r="F17" i="57"/>
  <c r="F18" i="57"/>
  <c r="F19" i="57"/>
  <c r="F20" i="57"/>
  <c r="F21" i="57"/>
  <c r="F22" i="57"/>
  <c r="F23" i="57"/>
  <c r="F24" i="57"/>
  <c r="F25" i="57"/>
  <c r="F26" i="57"/>
  <c r="F27" i="57"/>
  <c r="F28" i="57"/>
  <c r="F29" i="57"/>
  <c r="C30" i="57"/>
  <c r="D30" i="57"/>
  <c r="E109" i="57" s="1"/>
  <c r="C44" i="57"/>
  <c r="D44" i="57"/>
  <c r="E40" i="57" s="1"/>
  <c r="H56" i="57"/>
  <c r="T56" i="57" s="1"/>
  <c r="H59" i="57"/>
  <c r="T59" i="57" s="1"/>
  <c r="F71" i="57"/>
  <c r="R71" i="57" s="1"/>
  <c r="F74" i="57"/>
  <c r="R74" i="57" s="1"/>
  <c r="F76" i="57"/>
  <c r="R76" i="57" s="1"/>
  <c r="F78" i="57"/>
  <c r="R78" i="57" s="1"/>
  <c r="F85" i="57"/>
  <c r="R85" i="57" s="1"/>
  <c r="F87" i="57"/>
  <c r="R87" i="57" s="1"/>
  <c r="F92" i="57"/>
  <c r="R92" i="57" s="1"/>
  <c r="F93" i="57"/>
  <c r="R93" i="57" s="1"/>
  <c r="F94" i="57"/>
  <c r="R94" i="57" s="1"/>
  <c r="G101" i="57"/>
  <c r="T101" i="57" s="1"/>
  <c r="G102" i="57"/>
  <c r="H109" i="57"/>
  <c r="R109" i="57"/>
  <c r="R110" i="57" s="1"/>
  <c r="F110" i="57"/>
  <c r="H110" i="57"/>
  <c r="T110" i="57" s="1"/>
  <c r="I131" i="57"/>
  <c r="A140" i="57"/>
  <c r="A150" i="57"/>
  <c r="A152" i="57"/>
  <c r="A156" i="57"/>
  <c r="A160" i="57"/>
  <c r="A161" i="57"/>
  <c r="A162" i="57"/>
  <c r="A166" i="57"/>
  <c r="A167" i="57"/>
  <c r="A168" i="57"/>
  <c r="A170" i="57"/>
  <c r="A171" i="57"/>
  <c r="A172" i="57"/>
  <c r="A173"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56" i="56"/>
  <c r="T56" i="56" s="1"/>
  <c r="H59" i="56"/>
  <c r="T59" i="56" s="1"/>
  <c r="F71" i="56"/>
  <c r="R71" i="56" s="1"/>
  <c r="F74" i="56"/>
  <c r="R74" i="56" s="1"/>
  <c r="F76" i="56"/>
  <c r="R76" i="56" s="1"/>
  <c r="F78" i="56"/>
  <c r="F85" i="56"/>
  <c r="R85" i="56" s="1"/>
  <c r="F87" i="56"/>
  <c r="R87" i="56" s="1"/>
  <c r="F92" i="56"/>
  <c r="R92" i="56" s="1"/>
  <c r="F93" i="56"/>
  <c r="R93" i="56" s="1"/>
  <c r="F94" i="56"/>
  <c r="R94" i="56" s="1"/>
  <c r="G101" i="56"/>
  <c r="I101" i="56" s="1"/>
  <c r="G102" i="56"/>
  <c r="T102" i="56" s="1"/>
  <c r="U102" i="56" s="1"/>
  <c r="H109" i="56"/>
  <c r="T109" i="56" s="1"/>
  <c r="R109" i="56"/>
  <c r="R110" i="56" s="1"/>
  <c r="F110" i="56"/>
  <c r="H110" i="56"/>
  <c r="I131" i="56"/>
  <c r="A140" i="56"/>
  <c r="A150" i="56"/>
  <c r="A152" i="56"/>
  <c r="A156" i="56"/>
  <c r="A160" i="56"/>
  <c r="A161" i="56"/>
  <c r="A162" i="56"/>
  <c r="A166" i="56"/>
  <c r="A167" i="56"/>
  <c r="A168" i="56"/>
  <c r="A170" i="56"/>
  <c r="A171" i="56"/>
  <c r="A172" i="56"/>
  <c r="A173"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56" i="55"/>
  <c r="T56" i="55" s="1"/>
  <c r="H59" i="55"/>
  <c r="T59" i="55" s="1"/>
  <c r="F71" i="55"/>
  <c r="F74" i="55"/>
  <c r="R74" i="55" s="1"/>
  <c r="F76" i="55"/>
  <c r="F78" i="55"/>
  <c r="R78" i="55" s="1"/>
  <c r="F85" i="55"/>
  <c r="F87" i="55"/>
  <c r="R87" i="55" s="1"/>
  <c r="F92" i="55"/>
  <c r="R92" i="55" s="1"/>
  <c r="F93" i="55"/>
  <c r="R93" i="55" s="1"/>
  <c r="F94" i="55"/>
  <c r="R94" i="55" s="1"/>
  <c r="G101" i="55"/>
  <c r="T101" i="55" s="1"/>
  <c r="G102" i="55"/>
  <c r="T102" i="55" s="1"/>
  <c r="U102" i="55" s="1"/>
  <c r="H109" i="55"/>
  <c r="T109" i="55" s="1"/>
  <c r="R109" i="55"/>
  <c r="R110" i="55" s="1"/>
  <c r="F110" i="55"/>
  <c r="H110" i="55"/>
  <c r="T110" i="55" s="1"/>
  <c r="I131" i="55"/>
  <c r="A140" i="55"/>
  <c r="A150" i="55"/>
  <c r="A152" i="55"/>
  <c r="A156" i="55"/>
  <c r="A160" i="55"/>
  <c r="A161" i="55"/>
  <c r="A162" i="55"/>
  <c r="A166" i="55"/>
  <c r="A167" i="55"/>
  <c r="A168" i="55"/>
  <c r="A170" i="55"/>
  <c r="A171" i="55"/>
  <c r="A172" i="55"/>
  <c r="A173"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56" i="76"/>
  <c r="T56" i="76" s="1"/>
  <c r="H59" i="76"/>
  <c r="T59" i="76" s="1"/>
  <c r="F71" i="76"/>
  <c r="R71" i="76" s="1"/>
  <c r="F74" i="76"/>
  <c r="R74" i="76" s="1"/>
  <c r="F76" i="76"/>
  <c r="R76" i="76" s="1"/>
  <c r="F78" i="76"/>
  <c r="F85" i="76"/>
  <c r="R85" i="76" s="1"/>
  <c r="F87" i="76"/>
  <c r="R87" i="76" s="1"/>
  <c r="F92" i="76"/>
  <c r="R92" i="76" s="1"/>
  <c r="F93" i="76"/>
  <c r="R93" i="76" s="1"/>
  <c r="F94" i="76"/>
  <c r="R94" i="76" s="1"/>
  <c r="G101" i="76"/>
  <c r="I101" i="76" s="1"/>
  <c r="G102" i="76"/>
  <c r="H109" i="76"/>
  <c r="H111" i="76" s="1"/>
  <c r="R109" i="76"/>
  <c r="R110" i="76" s="1"/>
  <c r="F110" i="76"/>
  <c r="H110" i="76"/>
  <c r="T110" i="76" s="1"/>
  <c r="I131" i="76"/>
  <c r="A140" i="76"/>
  <c r="A150" i="76"/>
  <c r="A152" i="76"/>
  <c r="A156" i="76"/>
  <c r="A160" i="76"/>
  <c r="A161" i="76"/>
  <c r="A162" i="76"/>
  <c r="A166" i="76"/>
  <c r="A167" i="76"/>
  <c r="A168" i="76"/>
  <c r="A170" i="76"/>
  <c r="A171" i="76"/>
  <c r="A172" i="76"/>
  <c r="A173"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56" i="75"/>
  <c r="T56" i="75" s="1"/>
  <c r="H59" i="75"/>
  <c r="T59" i="75" s="1"/>
  <c r="F71" i="75"/>
  <c r="F74" i="75"/>
  <c r="R74" i="75" s="1"/>
  <c r="F76" i="75"/>
  <c r="F78" i="75"/>
  <c r="R78" i="75" s="1"/>
  <c r="F85" i="75"/>
  <c r="R85" i="75" s="1"/>
  <c r="F87" i="75"/>
  <c r="R87" i="75" s="1"/>
  <c r="F92" i="75"/>
  <c r="R92" i="75" s="1"/>
  <c r="F93" i="75"/>
  <c r="R93" i="75" s="1"/>
  <c r="F94" i="75"/>
  <c r="R94" i="75" s="1"/>
  <c r="G101" i="75"/>
  <c r="I101" i="75" s="1"/>
  <c r="G102" i="75"/>
  <c r="T102" i="75" s="1"/>
  <c r="U102" i="75" s="1"/>
  <c r="H109" i="75"/>
  <c r="T109" i="75" s="1"/>
  <c r="R109" i="75"/>
  <c r="R110" i="75" s="1"/>
  <c r="F110" i="75"/>
  <c r="H110" i="75"/>
  <c r="I131" i="75"/>
  <c r="A140" i="75"/>
  <c r="A150" i="75"/>
  <c r="A152" i="75"/>
  <c r="A156" i="75"/>
  <c r="A160" i="75"/>
  <c r="A161" i="75"/>
  <c r="A162" i="75"/>
  <c r="A166" i="75"/>
  <c r="A167" i="75"/>
  <c r="A168" i="75"/>
  <c r="A170" i="75"/>
  <c r="A171" i="75"/>
  <c r="A172" i="75"/>
  <c r="A173"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56" i="52"/>
  <c r="T56" i="52" s="1"/>
  <c r="H59" i="52"/>
  <c r="T59" i="52" s="1"/>
  <c r="F71" i="52"/>
  <c r="R71" i="52" s="1"/>
  <c r="F74" i="52"/>
  <c r="R74" i="52" s="1"/>
  <c r="F76" i="52"/>
  <c r="R76" i="52" s="1"/>
  <c r="F78" i="52"/>
  <c r="F85" i="52"/>
  <c r="F87" i="52"/>
  <c r="R87" i="52" s="1"/>
  <c r="F92" i="52"/>
  <c r="R92" i="52" s="1"/>
  <c r="F93" i="52"/>
  <c r="R93" i="52" s="1"/>
  <c r="F94" i="52"/>
  <c r="R94" i="52" s="1"/>
  <c r="G101" i="52"/>
  <c r="I101" i="52" s="1"/>
  <c r="G102" i="52"/>
  <c r="I102" i="52" s="1"/>
  <c r="H109" i="52"/>
  <c r="T109" i="52" s="1"/>
  <c r="R109" i="52"/>
  <c r="R110" i="52" s="1"/>
  <c r="F110" i="52"/>
  <c r="H110" i="52"/>
  <c r="T110" i="52" s="1"/>
  <c r="I131" i="52"/>
  <c r="A140" i="52"/>
  <c r="A150" i="52"/>
  <c r="A152" i="52"/>
  <c r="A156" i="52"/>
  <c r="A160" i="52"/>
  <c r="A161" i="52"/>
  <c r="A162" i="52"/>
  <c r="A166" i="52"/>
  <c r="A167" i="52"/>
  <c r="A168" i="52"/>
  <c r="A170" i="52"/>
  <c r="A171" i="52"/>
  <c r="A172" i="52"/>
  <c r="A173" i="52"/>
  <c r="N1" i="51"/>
  <c r="A3" i="51"/>
  <c r="N3" i="51" s="1"/>
  <c r="F4" i="51"/>
  <c r="P4" i="51"/>
  <c r="N7" i="51"/>
  <c r="C8" i="51"/>
  <c r="P8" i="51" s="1"/>
  <c r="H8" i="51"/>
  <c r="T8" i="51" s="1"/>
  <c r="P92" i="51" s="1"/>
  <c r="F14" i="51"/>
  <c r="F15" i="51"/>
  <c r="F16" i="51"/>
  <c r="F17" i="51"/>
  <c r="F18" i="51"/>
  <c r="F19" i="51"/>
  <c r="F20" i="51"/>
  <c r="F21" i="51"/>
  <c r="F22" i="51"/>
  <c r="F23" i="51"/>
  <c r="F24" i="51"/>
  <c r="F25" i="51"/>
  <c r="F26" i="51"/>
  <c r="F27" i="51"/>
  <c r="F28" i="51"/>
  <c r="F29" i="51"/>
  <c r="C30" i="51"/>
  <c r="D30" i="51"/>
  <c r="C44" i="51"/>
  <c r="D44" i="51"/>
  <c r="E40" i="51" s="1"/>
  <c r="H56" i="51"/>
  <c r="T56" i="51" s="1"/>
  <c r="H59" i="51"/>
  <c r="T59" i="51" s="1"/>
  <c r="F71" i="51"/>
  <c r="R71" i="51" s="1"/>
  <c r="F74" i="51"/>
  <c r="R74" i="51" s="1"/>
  <c r="F76" i="51"/>
  <c r="R76" i="51" s="1"/>
  <c r="F78" i="51"/>
  <c r="R78" i="51" s="1"/>
  <c r="F85" i="51"/>
  <c r="F87" i="51"/>
  <c r="F92" i="51"/>
  <c r="R92" i="51" s="1"/>
  <c r="F93" i="51"/>
  <c r="R93" i="51" s="1"/>
  <c r="F94" i="51"/>
  <c r="R94" i="51" s="1"/>
  <c r="G101" i="51"/>
  <c r="I101" i="51" s="1"/>
  <c r="G102" i="51"/>
  <c r="T102" i="51" s="1"/>
  <c r="U102" i="51" s="1"/>
  <c r="H109" i="51"/>
  <c r="T109" i="51" s="1"/>
  <c r="R109" i="51"/>
  <c r="R110" i="51" s="1"/>
  <c r="F110" i="51"/>
  <c r="H110" i="51"/>
  <c r="T110" i="51" s="1"/>
  <c r="I131" i="51"/>
  <c r="A140" i="51"/>
  <c r="A150" i="51"/>
  <c r="A152" i="51"/>
  <c r="A156" i="51"/>
  <c r="A160" i="51"/>
  <c r="A161" i="51"/>
  <c r="A162" i="51"/>
  <c r="A166" i="51"/>
  <c r="A167" i="51"/>
  <c r="A168" i="51"/>
  <c r="A170" i="51"/>
  <c r="A171" i="51"/>
  <c r="A172" i="51"/>
  <c r="A173" i="51"/>
  <c r="N1" i="50"/>
  <c r="A3" i="50"/>
  <c r="N3" i="50" s="1"/>
  <c r="F4" i="50"/>
  <c r="P4" i="50"/>
  <c r="N7" i="50"/>
  <c r="C8" i="50"/>
  <c r="P8" i="50" s="1"/>
  <c r="H8" i="50"/>
  <c r="E92" i="50" s="1"/>
  <c r="F14" i="50"/>
  <c r="F15" i="50"/>
  <c r="F16" i="50"/>
  <c r="F17" i="50"/>
  <c r="F18" i="50"/>
  <c r="F19" i="50"/>
  <c r="F20" i="50"/>
  <c r="F21" i="50"/>
  <c r="F22" i="50"/>
  <c r="F23" i="50"/>
  <c r="F24" i="50"/>
  <c r="F25" i="50"/>
  <c r="F26" i="50"/>
  <c r="F27" i="50"/>
  <c r="F28" i="50"/>
  <c r="F29" i="50"/>
  <c r="C30" i="50"/>
  <c r="D30" i="50"/>
  <c r="C44" i="50"/>
  <c r="D44" i="50"/>
  <c r="E40" i="50" s="1"/>
  <c r="H56" i="50"/>
  <c r="T56" i="50" s="1"/>
  <c r="H59" i="50"/>
  <c r="T59" i="50" s="1"/>
  <c r="F71" i="50"/>
  <c r="R71" i="50" s="1"/>
  <c r="F74" i="50"/>
  <c r="R74" i="50" s="1"/>
  <c r="F76" i="50"/>
  <c r="R76" i="50" s="1"/>
  <c r="F78" i="50"/>
  <c r="R78" i="50" s="1"/>
  <c r="F85" i="50"/>
  <c r="R85" i="50" s="1"/>
  <c r="F87" i="50"/>
  <c r="R87" i="50" s="1"/>
  <c r="F92" i="50"/>
  <c r="R92" i="50" s="1"/>
  <c r="F93" i="50"/>
  <c r="R93" i="50" s="1"/>
  <c r="F94" i="50"/>
  <c r="R94" i="50" s="1"/>
  <c r="G101" i="50"/>
  <c r="T101" i="50" s="1"/>
  <c r="G102" i="50"/>
  <c r="I102" i="50" s="1"/>
  <c r="H109" i="50"/>
  <c r="R109" i="50"/>
  <c r="R110" i="50" s="1"/>
  <c r="F110" i="50"/>
  <c r="H110" i="50"/>
  <c r="T110" i="50" s="1"/>
  <c r="I131" i="50"/>
  <c r="A140" i="50"/>
  <c r="A150" i="50"/>
  <c r="A152" i="50"/>
  <c r="A156" i="50"/>
  <c r="A160" i="50"/>
  <c r="A161" i="50"/>
  <c r="A162" i="50"/>
  <c r="A166" i="50"/>
  <c r="A167" i="50"/>
  <c r="A168" i="50"/>
  <c r="A170" i="50"/>
  <c r="A171" i="50"/>
  <c r="A172" i="50"/>
  <c r="A173"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56" i="48"/>
  <c r="T56" i="48" s="1"/>
  <c r="H59" i="48"/>
  <c r="T59" i="48" s="1"/>
  <c r="F71" i="48"/>
  <c r="R71" i="48" s="1"/>
  <c r="F74" i="48"/>
  <c r="F76" i="48"/>
  <c r="R76" i="48" s="1"/>
  <c r="F78" i="48"/>
  <c r="F85" i="48"/>
  <c r="R85" i="48" s="1"/>
  <c r="F87" i="48"/>
  <c r="F92" i="48"/>
  <c r="R92" i="48" s="1"/>
  <c r="F93" i="48"/>
  <c r="R93" i="48" s="1"/>
  <c r="F94" i="48"/>
  <c r="R94" i="48" s="1"/>
  <c r="G101" i="48"/>
  <c r="T101" i="48" s="1"/>
  <c r="G102" i="48"/>
  <c r="I102" i="48" s="1"/>
  <c r="H109" i="48"/>
  <c r="R109" i="48"/>
  <c r="R110" i="48" s="1"/>
  <c r="F110" i="48"/>
  <c r="H110" i="48"/>
  <c r="I131" i="48"/>
  <c r="A140" i="48"/>
  <c r="A150" i="48"/>
  <c r="A152" i="48"/>
  <c r="A156" i="48"/>
  <c r="A160" i="48"/>
  <c r="A161" i="48"/>
  <c r="A162" i="48"/>
  <c r="A166" i="48"/>
  <c r="A167" i="48"/>
  <c r="A168" i="48"/>
  <c r="A170" i="48"/>
  <c r="A171" i="48"/>
  <c r="A172" i="48"/>
  <c r="A173"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56" i="47"/>
  <c r="T56" i="47" s="1"/>
  <c r="H59" i="47"/>
  <c r="T59" i="47" s="1"/>
  <c r="F71" i="47"/>
  <c r="R71" i="47" s="1"/>
  <c r="F74" i="47"/>
  <c r="R74" i="47" s="1"/>
  <c r="F76" i="47"/>
  <c r="R76" i="47" s="1"/>
  <c r="F78" i="47"/>
  <c r="F85" i="47"/>
  <c r="R85" i="47" s="1"/>
  <c r="F87" i="47"/>
  <c r="R87" i="47" s="1"/>
  <c r="F92" i="47"/>
  <c r="R92" i="47" s="1"/>
  <c r="F93" i="47"/>
  <c r="R93" i="47" s="1"/>
  <c r="F94" i="47"/>
  <c r="R94" i="47" s="1"/>
  <c r="G101" i="47"/>
  <c r="T101" i="47" s="1"/>
  <c r="G102" i="47"/>
  <c r="I102" i="47" s="1"/>
  <c r="H109" i="47"/>
  <c r="R109" i="47"/>
  <c r="R110" i="47" s="1"/>
  <c r="F110" i="47"/>
  <c r="H110" i="47"/>
  <c r="T110" i="47" s="1"/>
  <c r="I131" i="47"/>
  <c r="A140" i="47"/>
  <c r="A150" i="47"/>
  <c r="A152" i="47"/>
  <c r="A156" i="47"/>
  <c r="A160" i="47"/>
  <c r="A161" i="47"/>
  <c r="A162" i="47"/>
  <c r="A166" i="47"/>
  <c r="A167" i="47"/>
  <c r="A168" i="47"/>
  <c r="A170" i="47"/>
  <c r="A171" i="47"/>
  <c r="A172" i="47"/>
  <c r="A173" i="47"/>
  <c r="N1" i="45"/>
  <c r="A3" i="45"/>
  <c r="N3" i="45" s="1"/>
  <c r="F4" i="45"/>
  <c r="P4" i="45"/>
  <c r="N7" i="45"/>
  <c r="C8" i="45"/>
  <c r="P8" i="45" s="1"/>
  <c r="H8" i="45"/>
  <c r="T8" i="45" s="1"/>
  <c r="P92" i="45" s="1"/>
  <c r="F14" i="45"/>
  <c r="F15" i="45"/>
  <c r="F16" i="45"/>
  <c r="F17" i="45"/>
  <c r="F18" i="45"/>
  <c r="F19" i="45"/>
  <c r="F20" i="45"/>
  <c r="F21" i="45"/>
  <c r="F22" i="45"/>
  <c r="F23" i="45"/>
  <c r="F24" i="45"/>
  <c r="F25" i="45"/>
  <c r="F26" i="45"/>
  <c r="F27" i="45"/>
  <c r="F28" i="45"/>
  <c r="F29" i="45"/>
  <c r="C30" i="45"/>
  <c r="D30" i="45"/>
  <c r="C44" i="45"/>
  <c r="D44" i="45"/>
  <c r="E40" i="45" s="1"/>
  <c r="H56" i="45"/>
  <c r="T56" i="45" s="1"/>
  <c r="H59" i="45"/>
  <c r="T59" i="45" s="1"/>
  <c r="F71" i="45"/>
  <c r="R71" i="45" s="1"/>
  <c r="F74" i="45"/>
  <c r="R74" i="45" s="1"/>
  <c r="F76" i="45"/>
  <c r="R76" i="45" s="1"/>
  <c r="F78" i="45"/>
  <c r="F85" i="45"/>
  <c r="F87" i="45"/>
  <c r="R87" i="45" s="1"/>
  <c r="F92" i="45"/>
  <c r="R92" i="45" s="1"/>
  <c r="F93" i="45"/>
  <c r="R93" i="45" s="1"/>
  <c r="F94" i="45"/>
  <c r="R94" i="45" s="1"/>
  <c r="G101" i="45"/>
  <c r="G102" i="45"/>
  <c r="I102" i="45" s="1"/>
  <c r="H109" i="45"/>
  <c r="R109" i="45"/>
  <c r="R110" i="45" s="1"/>
  <c r="F110" i="45"/>
  <c r="H110" i="45"/>
  <c r="T110" i="45" s="1"/>
  <c r="I131" i="45"/>
  <c r="A140" i="45"/>
  <c r="A150" i="45"/>
  <c r="A152" i="45"/>
  <c r="A156" i="45"/>
  <c r="A160" i="45"/>
  <c r="A161" i="45"/>
  <c r="A162" i="45"/>
  <c r="A166" i="45"/>
  <c r="A167" i="45"/>
  <c r="A168" i="45"/>
  <c r="A170" i="45"/>
  <c r="A171" i="45"/>
  <c r="A172" i="45"/>
  <c r="A173"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56" i="44"/>
  <c r="T56" i="44" s="1"/>
  <c r="H59" i="44"/>
  <c r="T59" i="44" s="1"/>
  <c r="F71" i="44"/>
  <c r="R71" i="44" s="1"/>
  <c r="F74" i="44"/>
  <c r="F76" i="44"/>
  <c r="R76" i="44" s="1"/>
  <c r="F78" i="44"/>
  <c r="R78" i="44" s="1"/>
  <c r="F85" i="44"/>
  <c r="R85" i="44" s="1"/>
  <c r="F87" i="44"/>
  <c r="R87" i="44" s="1"/>
  <c r="F92" i="44"/>
  <c r="R92" i="44" s="1"/>
  <c r="F93" i="44"/>
  <c r="R93" i="44" s="1"/>
  <c r="F94" i="44"/>
  <c r="R94" i="44" s="1"/>
  <c r="G101" i="44"/>
  <c r="I101" i="44" s="1"/>
  <c r="G102" i="44"/>
  <c r="T102" i="44" s="1"/>
  <c r="U102" i="44" s="1"/>
  <c r="H109" i="44"/>
  <c r="H111" i="44" s="1"/>
  <c r="R109" i="44"/>
  <c r="R110" i="44" s="1"/>
  <c r="F110" i="44"/>
  <c r="H110" i="44"/>
  <c r="I131" i="44"/>
  <c r="A140" i="44"/>
  <c r="A150" i="44"/>
  <c r="A152" i="44"/>
  <c r="A156" i="44"/>
  <c r="A160" i="44"/>
  <c r="A161" i="44"/>
  <c r="A162" i="44"/>
  <c r="A166" i="44"/>
  <c r="A167" i="44"/>
  <c r="A168" i="44"/>
  <c r="A170" i="44"/>
  <c r="A171" i="44"/>
  <c r="A172" i="44"/>
  <c r="A173"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56" i="43"/>
  <c r="T56" i="43" s="1"/>
  <c r="H59" i="43"/>
  <c r="T59" i="43" s="1"/>
  <c r="F71" i="43"/>
  <c r="R71" i="43" s="1"/>
  <c r="F74" i="43"/>
  <c r="R74" i="43" s="1"/>
  <c r="F76" i="43"/>
  <c r="R76" i="43" s="1"/>
  <c r="F78" i="43"/>
  <c r="R78" i="43" s="1"/>
  <c r="F85" i="43"/>
  <c r="R85" i="43" s="1"/>
  <c r="F87" i="43"/>
  <c r="R87" i="43" s="1"/>
  <c r="F92" i="43"/>
  <c r="R92" i="43" s="1"/>
  <c r="F93" i="43"/>
  <c r="R93" i="43" s="1"/>
  <c r="F94" i="43"/>
  <c r="R94" i="43" s="1"/>
  <c r="G101" i="43"/>
  <c r="G102" i="43"/>
  <c r="I102" i="43" s="1"/>
  <c r="H109" i="43"/>
  <c r="H111" i="43" s="1"/>
  <c r="R109" i="43"/>
  <c r="R110" i="43" s="1"/>
  <c r="F110" i="43"/>
  <c r="H110" i="43"/>
  <c r="T110" i="43" s="1"/>
  <c r="I131" i="43"/>
  <c r="A140" i="43"/>
  <c r="A150" i="43"/>
  <c r="A152" i="43"/>
  <c r="A156" i="43"/>
  <c r="A160" i="43"/>
  <c r="A161" i="43"/>
  <c r="A162" i="43"/>
  <c r="A166" i="43"/>
  <c r="A167" i="43"/>
  <c r="A168" i="43"/>
  <c r="A170" i="43"/>
  <c r="A171" i="43"/>
  <c r="A172" i="43"/>
  <c r="A173" i="43"/>
  <c r="N1" i="42"/>
  <c r="A3" i="42"/>
  <c r="N3" i="42" s="1"/>
  <c r="F4" i="42"/>
  <c r="P4" i="42"/>
  <c r="N7" i="42"/>
  <c r="C8" i="42"/>
  <c r="P8" i="42" s="1"/>
  <c r="H8" i="42"/>
  <c r="E94" i="42" s="1"/>
  <c r="F14" i="42"/>
  <c r="F15" i="42"/>
  <c r="F16" i="42"/>
  <c r="F17" i="42"/>
  <c r="F18" i="42"/>
  <c r="F19" i="42"/>
  <c r="F20" i="42"/>
  <c r="F21" i="42"/>
  <c r="F22" i="42"/>
  <c r="F23" i="42"/>
  <c r="F24" i="42"/>
  <c r="F25" i="42"/>
  <c r="F26" i="42"/>
  <c r="F27" i="42"/>
  <c r="F28" i="42"/>
  <c r="F29" i="42"/>
  <c r="C30" i="42"/>
  <c r="D30" i="42"/>
  <c r="C44" i="42"/>
  <c r="D44" i="42"/>
  <c r="E39" i="42" s="1"/>
  <c r="H56" i="42"/>
  <c r="T56" i="42" s="1"/>
  <c r="H59" i="42"/>
  <c r="T59" i="42" s="1"/>
  <c r="F71" i="42"/>
  <c r="F74" i="42"/>
  <c r="R74" i="42" s="1"/>
  <c r="F76" i="42"/>
  <c r="F78" i="42"/>
  <c r="R78" i="42" s="1"/>
  <c r="F85" i="42"/>
  <c r="F87" i="42"/>
  <c r="R87" i="42" s="1"/>
  <c r="F92" i="42"/>
  <c r="R92" i="42" s="1"/>
  <c r="F93" i="42"/>
  <c r="R93" i="42" s="1"/>
  <c r="F94" i="42"/>
  <c r="R94" i="42" s="1"/>
  <c r="G101" i="42"/>
  <c r="I101" i="42" s="1"/>
  <c r="G102" i="42"/>
  <c r="I102" i="42" s="1"/>
  <c r="H109" i="42"/>
  <c r="H111" i="42" s="1"/>
  <c r="T111" i="42" s="1"/>
  <c r="R109" i="42"/>
  <c r="R110" i="42" s="1"/>
  <c r="F110" i="42"/>
  <c r="H110" i="42"/>
  <c r="T110" i="42" s="1"/>
  <c r="I131" i="42"/>
  <c r="A140" i="42"/>
  <c r="A150" i="42"/>
  <c r="A152" i="42"/>
  <c r="A156" i="42"/>
  <c r="A160" i="42"/>
  <c r="A161" i="42"/>
  <c r="A162" i="42"/>
  <c r="A166" i="42"/>
  <c r="A167" i="42"/>
  <c r="A168" i="42"/>
  <c r="A170" i="42"/>
  <c r="A171" i="42"/>
  <c r="A172" i="42"/>
  <c r="A173"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09" i="40" s="1"/>
  <c r="C44" i="40"/>
  <c r="D44" i="40"/>
  <c r="E38" i="40" s="1"/>
  <c r="H56" i="40"/>
  <c r="T56" i="40" s="1"/>
  <c r="H59" i="40"/>
  <c r="T59" i="40" s="1"/>
  <c r="F71" i="40"/>
  <c r="R71" i="40" s="1"/>
  <c r="F74" i="40"/>
  <c r="R74" i="40" s="1"/>
  <c r="F76" i="40"/>
  <c r="R76" i="40" s="1"/>
  <c r="F78" i="40"/>
  <c r="R78" i="40" s="1"/>
  <c r="F85" i="40"/>
  <c r="F87" i="40"/>
  <c r="R87" i="40" s="1"/>
  <c r="F92" i="40"/>
  <c r="R92" i="40" s="1"/>
  <c r="F93" i="40"/>
  <c r="R93" i="40" s="1"/>
  <c r="F94" i="40"/>
  <c r="R94" i="40" s="1"/>
  <c r="G101" i="40"/>
  <c r="I101" i="40" s="1"/>
  <c r="G102" i="40"/>
  <c r="I102" i="40" s="1"/>
  <c r="H109" i="40"/>
  <c r="H111" i="40" s="1"/>
  <c r="T111" i="40" s="1"/>
  <c r="R109" i="40"/>
  <c r="R110" i="40" s="1"/>
  <c r="F110" i="40"/>
  <c r="H110" i="40"/>
  <c r="I131" i="40"/>
  <c r="A140" i="40"/>
  <c r="A150" i="40"/>
  <c r="A152" i="40"/>
  <c r="A156" i="40"/>
  <c r="A160" i="40"/>
  <c r="A161" i="40"/>
  <c r="A162" i="40"/>
  <c r="A166" i="40"/>
  <c r="A167" i="40"/>
  <c r="A168" i="40"/>
  <c r="A170" i="40"/>
  <c r="A171" i="40"/>
  <c r="A172" i="40"/>
  <c r="A173" i="40"/>
  <c r="N1" i="39"/>
  <c r="A3" i="39"/>
  <c r="N3" i="39" s="1"/>
  <c r="F4" i="39"/>
  <c r="P4" i="39"/>
  <c r="N7" i="39"/>
  <c r="C8" i="39"/>
  <c r="P8" i="39" s="1"/>
  <c r="H8" i="39"/>
  <c r="E92" i="39" s="1"/>
  <c r="F14" i="39"/>
  <c r="F15" i="39"/>
  <c r="F16" i="39"/>
  <c r="F17" i="39"/>
  <c r="F18" i="39"/>
  <c r="F19" i="39"/>
  <c r="F20" i="39"/>
  <c r="F21" i="39"/>
  <c r="F22" i="39"/>
  <c r="F23" i="39"/>
  <c r="F24" i="39"/>
  <c r="F25" i="39"/>
  <c r="F26" i="39"/>
  <c r="F27" i="39"/>
  <c r="F28" i="39"/>
  <c r="F29" i="39"/>
  <c r="C30" i="39"/>
  <c r="D30" i="39"/>
  <c r="C44" i="39"/>
  <c r="D44" i="39"/>
  <c r="E39" i="39" s="1"/>
  <c r="H56" i="39"/>
  <c r="T56" i="39" s="1"/>
  <c r="H59" i="39"/>
  <c r="T59" i="39" s="1"/>
  <c r="F71" i="39"/>
  <c r="F74" i="39"/>
  <c r="R74" i="39" s="1"/>
  <c r="F76" i="39"/>
  <c r="F78" i="39"/>
  <c r="R78" i="39" s="1"/>
  <c r="F85" i="39"/>
  <c r="R85" i="39" s="1"/>
  <c r="F87" i="39"/>
  <c r="R87" i="39" s="1"/>
  <c r="F92" i="39"/>
  <c r="R92" i="39" s="1"/>
  <c r="F93" i="39"/>
  <c r="R93" i="39" s="1"/>
  <c r="F94" i="39"/>
  <c r="R94" i="39" s="1"/>
  <c r="G101" i="39"/>
  <c r="I101" i="39" s="1"/>
  <c r="G102" i="39"/>
  <c r="H109" i="39"/>
  <c r="T109" i="39" s="1"/>
  <c r="R109" i="39"/>
  <c r="R110" i="39" s="1"/>
  <c r="F110" i="39"/>
  <c r="H110" i="39"/>
  <c r="I131" i="39"/>
  <c r="A140" i="39"/>
  <c r="A150" i="39"/>
  <c r="A152" i="39"/>
  <c r="A156" i="39"/>
  <c r="A160" i="39"/>
  <c r="A161" i="39"/>
  <c r="A162" i="39"/>
  <c r="A166" i="39"/>
  <c r="A167" i="39"/>
  <c r="A168" i="39"/>
  <c r="A170" i="39"/>
  <c r="A171" i="39"/>
  <c r="A172" i="39"/>
  <c r="A173" i="39"/>
  <c r="N1" i="38"/>
  <c r="A3" i="38"/>
  <c r="N3" i="38" s="1"/>
  <c r="F4" i="38"/>
  <c r="P4" i="38"/>
  <c r="N7" i="38"/>
  <c r="C8" i="38"/>
  <c r="P8" i="38" s="1"/>
  <c r="H8" i="38"/>
  <c r="E92" i="38" s="1"/>
  <c r="F14" i="38"/>
  <c r="F15" i="38"/>
  <c r="F16" i="38"/>
  <c r="F17" i="38"/>
  <c r="F18" i="38"/>
  <c r="F19" i="38"/>
  <c r="F20" i="38"/>
  <c r="F21" i="38"/>
  <c r="F22" i="38"/>
  <c r="F23" i="38"/>
  <c r="F24" i="38"/>
  <c r="F25" i="38"/>
  <c r="F26" i="38"/>
  <c r="F27" i="38"/>
  <c r="F28" i="38"/>
  <c r="F29" i="38"/>
  <c r="C30" i="38"/>
  <c r="D30" i="38"/>
  <c r="C44" i="38"/>
  <c r="D44" i="38"/>
  <c r="E40" i="38" s="1"/>
  <c r="H56" i="38"/>
  <c r="T56" i="38" s="1"/>
  <c r="H59" i="38"/>
  <c r="T59" i="38" s="1"/>
  <c r="F71" i="38"/>
  <c r="R71" i="38" s="1"/>
  <c r="F74" i="38"/>
  <c r="R74" i="38" s="1"/>
  <c r="F76" i="38"/>
  <c r="R76" i="38" s="1"/>
  <c r="F78" i="38"/>
  <c r="R78" i="38" s="1"/>
  <c r="F85" i="38"/>
  <c r="R85" i="38" s="1"/>
  <c r="F87" i="38"/>
  <c r="R87" i="38" s="1"/>
  <c r="F92" i="38"/>
  <c r="R92" i="38" s="1"/>
  <c r="F93" i="38"/>
  <c r="R93" i="38" s="1"/>
  <c r="F94" i="38"/>
  <c r="R94" i="38" s="1"/>
  <c r="G101" i="38"/>
  <c r="G102" i="38"/>
  <c r="I102" i="38" s="1"/>
  <c r="H109" i="38"/>
  <c r="R109" i="38"/>
  <c r="R110" i="38" s="1"/>
  <c r="F110" i="38"/>
  <c r="H110" i="38"/>
  <c r="I131" i="38"/>
  <c r="A140" i="38"/>
  <c r="A150" i="38"/>
  <c r="A152" i="38"/>
  <c r="A156" i="38"/>
  <c r="A160" i="38"/>
  <c r="A161" i="38"/>
  <c r="A162" i="38"/>
  <c r="A166" i="38"/>
  <c r="A167" i="38"/>
  <c r="A168" i="38"/>
  <c r="A170" i="38"/>
  <c r="A171" i="38"/>
  <c r="A172" i="38"/>
  <c r="A173"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56" i="37"/>
  <c r="T56" i="37" s="1"/>
  <c r="H59" i="37"/>
  <c r="T59" i="37" s="1"/>
  <c r="F71" i="37"/>
  <c r="R71" i="37" s="1"/>
  <c r="F74" i="37"/>
  <c r="F76" i="37"/>
  <c r="R76" i="37" s="1"/>
  <c r="F78" i="37"/>
  <c r="R78" i="37" s="1"/>
  <c r="F85" i="37"/>
  <c r="F87" i="37"/>
  <c r="F92" i="37"/>
  <c r="R92" i="37" s="1"/>
  <c r="F93" i="37"/>
  <c r="R93" i="37" s="1"/>
  <c r="F94" i="37"/>
  <c r="R94" i="37" s="1"/>
  <c r="G101" i="37"/>
  <c r="G102" i="37"/>
  <c r="I102" i="37" s="1"/>
  <c r="H109" i="37"/>
  <c r="R109" i="37"/>
  <c r="R110" i="37" s="1"/>
  <c r="F110" i="37"/>
  <c r="H110" i="37"/>
  <c r="T110" i="37" s="1"/>
  <c r="I131" i="37"/>
  <c r="A140" i="37"/>
  <c r="A150" i="37"/>
  <c r="A152" i="37"/>
  <c r="A156" i="37"/>
  <c r="A160" i="37"/>
  <c r="A161" i="37"/>
  <c r="A162" i="37"/>
  <c r="A166" i="37"/>
  <c r="A167" i="37"/>
  <c r="A168" i="37"/>
  <c r="A170" i="37"/>
  <c r="A171" i="37"/>
  <c r="A172" i="37"/>
  <c r="A173"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09" i="36" s="1"/>
  <c r="C44" i="36"/>
  <c r="D44" i="36"/>
  <c r="H56" i="36"/>
  <c r="T56" i="36" s="1"/>
  <c r="H59" i="36"/>
  <c r="T59" i="36" s="1"/>
  <c r="F71" i="36"/>
  <c r="R71" i="36" s="1"/>
  <c r="F74" i="36"/>
  <c r="R74" i="36" s="1"/>
  <c r="F76" i="36"/>
  <c r="R76" i="36" s="1"/>
  <c r="F78" i="36"/>
  <c r="R78" i="36" s="1"/>
  <c r="F85" i="36"/>
  <c r="F87" i="36"/>
  <c r="R87" i="36" s="1"/>
  <c r="F92" i="36"/>
  <c r="R92" i="36" s="1"/>
  <c r="F93" i="36"/>
  <c r="R93" i="36" s="1"/>
  <c r="F94" i="36"/>
  <c r="R94" i="36" s="1"/>
  <c r="G101" i="36"/>
  <c r="T101" i="36" s="1"/>
  <c r="G102" i="36"/>
  <c r="H109" i="36"/>
  <c r="R109" i="36"/>
  <c r="R110" i="36" s="1"/>
  <c r="F110" i="36"/>
  <c r="H110" i="36"/>
  <c r="T110" i="36" s="1"/>
  <c r="I131" i="36"/>
  <c r="A140" i="36"/>
  <c r="A150" i="36"/>
  <c r="A152" i="36"/>
  <c r="A156" i="36"/>
  <c r="A160" i="36"/>
  <c r="A161" i="36"/>
  <c r="A162" i="36"/>
  <c r="A166" i="36"/>
  <c r="A167" i="36"/>
  <c r="A168" i="36"/>
  <c r="A170" i="36"/>
  <c r="A171" i="36"/>
  <c r="A172" i="36"/>
  <c r="A173" i="36"/>
  <c r="N1" i="23"/>
  <c r="A3" i="23"/>
  <c r="N3" i="23" s="1"/>
  <c r="F4" i="23"/>
  <c r="P4" i="23"/>
  <c r="N7" i="23"/>
  <c r="C8" i="23"/>
  <c r="P8" i="23" s="1"/>
  <c r="H8" i="23"/>
  <c r="E93" i="23" s="1"/>
  <c r="F14" i="23"/>
  <c r="F15" i="23"/>
  <c r="F16" i="23"/>
  <c r="F17" i="23"/>
  <c r="F18" i="23"/>
  <c r="F19" i="23"/>
  <c r="F20" i="23"/>
  <c r="F21" i="23"/>
  <c r="F22" i="23"/>
  <c r="F23" i="23"/>
  <c r="F24" i="23"/>
  <c r="F25" i="23"/>
  <c r="F26" i="23"/>
  <c r="F27" i="23"/>
  <c r="F28" i="23"/>
  <c r="F29" i="23"/>
  <c r="C30" i="23"/>
  <c r="D30" i="23"/>
  <c r="C44" i="23"/>
  <c r="D44" i="23"/>
  <c r="E39" i="23" s="1"/>
  <c r="H56" i="23"/>
  <c r="T56" i="23" s="1"/>
  <c r="H59" i="23"/>
  <c r="T59" i="23" s="1"/>
  <c r="F71" i="23"/>
  <c r="R71" i="23" s="1"/>
  <c r="F74" i="23"/>
  <c r="F76" i="23"/>
  <c r="R76" i="23" s="1"/>
  <c r="F78" i="23"/>
  <c r="F85" i="23"/>
  <c r="R85" i="23" s="1"/>
  <c r="F87" i="23"/>
  <c r="F92" i="23"/>
  <c r="R92" i="23" s="1"/>
  <c r="F93" i="23"/>
  <c r="R93" i="23" s="1"/>
  <c r="F94" i="23"/>
  <c r="R94" i="23" s="1"/>
  <c r="G101" i="23"/>
  <c r="T101" i="23" s="1"/>
  <c r="G102" i="23"/>
  <c r="I102" i="23" s="1"/>
  <c r="H109" i="23"/>
  <c r="T109" i="23" s="1"/>
  <c r="R109" i="23"/>
  <c r="R110" i="23" s="1"/>
  <c r="F110" i="23"/>
  <c r="H110" i="23"/>
  <c r="T110" i="23" s="1"/>
  <c r="I131" i="23"/>
  <c r="A140" i="23"/>
  <c r="A150" i="23"/>
  <c r="A152" i="23"/>
  <c r="A156" i="23"/>
  <c r="A160" i="23"/>
  <c r="A161" i="23"/>
  <c r="A162" i="23"/>
  <c r="A166" i="23"/>
  <c r="A167" i="23"/>
  <c r="A168" i="23"/>
  <c r="A170" i="23"/>
  <c r="A171" i="23"/>
  <c r="A172" i="23"/>
  <c r="A173"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56" i="35"/>
  <c r="T56" i="35" s="1"/>
  <c r="H59" i="35"/>
  <c r="T59" i="35" s="1"/>
  <c r="F71" i="35"/>
  <c r="R71" i="35" s="1"/>
  <c r="F74" i="35"/>
  <c r="R74" i="35" s="1"/>
  <c r="F76" i="35"/>
  <c r="R76" i="35" s="1"/>
  <c r="F78" i="35"/>
  <c r="R78" i="35" s="1"/>
  <c r="F85" i="35"/>
  <c r="R85" i="35" s="1"/>
  <c r="F87" i="35"/>
  <c r="R87" i="35" s="1"/>
  <c r="F92" i="35"/>
  <c r="R92" i="35" s="1"/>
  <c r="F93" i="35"/>
  <c r="R93" i="35" s="1"/>
  <c r="F94" i="35"/>
  <c r="R94" i="35" s="1"/>
  <c r="G101" i="35"/>
  <c r="G102" i="35"/>
  <c r="T102" i="35" s="1"/>
  <c r="U102" i="35" s="1"/>
  <c r="H109" i="35"/>
  <c r="R109" i="35"/>
  <c r="R110" i="35" s="1"/>
  <c r="F110" i="35"/>
  <c r="H110" i="35"/>
  <c r="T110" i="35" s="1"/>
  <c r="I131" i="35"/>
  <c r="A140" i="35"/>
  <c r="A150" i="35"/>
  <c r="A152" i="35"/>
  <c r="A156" i="35"/>
  <c r="A160" i="35"/>
  <c r="A161" i="35"/>
  <c r="A162" i="35"/>
  <c r="A166" i="35"/>
  <c r="A167" i="35"/>
  <c r="A168" i="35"/>
  <c r="A170" i="35"/>
  <c r="A171" i="35"/>
  <c r="A172" i="35"/>
  <c r="A173" i="35"/>
  <c r="N1" i="34"/>
  <c r="A3" i="34"/>
  <c r="N3" i="34" s="1"/>
  <c r="F4" i="34"/>
  <c r="P4" i="34"/>
  <c r="N7" i="34"/>
  <c r="C8" i="34"/>
  <c r="P8" i="34" s="1"/>
  <c r="H8" i="34"/>
  <c r="E94" i="34" s="1"/>
  <c r="F14" i="34"/>
  <c r="F15" i="34"/>
  <c r="F16" i="34"/>
  <c r="F17" i="34"/>
  <c r="F18" i="34"/>
  <c r="F19" i="34"/>
  <c r="F20" i="34"/>
  <c r="F21" i="34"/>
  <c r="F22" i="34"/>
  <c r="F23" i="34"/>
  <c r="F24" i="34"/>
  <c r="F25" i="34"/>
  <c r="F26" i="34"/>
  <c r="F27" i="34"/>
  <c r="F28" i="34"/>
  <c r="F29" i="34"/>
  <c r="C30" i="34"/>
  <c r="D30" i="34"/>
  <c r="C44" i="34"/>
  <c r="D44" i="34"/>
  <c r="H56" i="34"/>
  <c r="T56" i="34" s="1"/>
  <c r="H59" i="34"/>
  <c r="T59" i="34" s="1"/>
  <c r="F71" i="34"/>
  <c r="F74" i="34"/>
  <c r="R74" i="34" s="1"/>
  <c r="F76" i="34"/>
  <c r="F78" i="34"/>
  <c r="R78" i="34" s="1"/>
  <c r="F85" i="34"/>
  <c r="F87" i="34"/>
  <c r="F92" i="34"/>
  <c r="R92" i="34" s="1"/>
  <c r="F93" i="34"/>
  <c r="R93" i="34" s="1"/>
  <c r="F94" i="34"/>
  <c r="R94" i="34" s="1"/>
  <c r="G101" i="34"/>
  <c r="G102" i="34"/>
  <c r="T102" i="34" s="1"/>
  <c r="U102" i="34" s="1"/>
  <c r="H109" i="34"/>
  <c r="R109" i="34"/>
  <c r="R110" i="34" s="1"/>
  <c r="F110" i="34"/>
  <c r="H110" i="34"/>
  <c r="T110" i="34" s="1"/>
  <c r="I131" i="34"/>
  <c r="A140" i="34"/>
  <c r="A150" i="34"/>
  <c r="A152" i="34"/>
  <c r="A156" i="34"/>
  <c r="A160" i="34"/>
  <c r="A161" i="34"/>
  <c r="A162" i="34"/>
  <c r="A166" i="34"/>
  <c r="A167" i="34"/>
  <c r="A168" i="34"/>
  <c r="A170" i="34"/>
  <c r="A171" i="34"/>
  <c r="A172" i="34"/>
  <c r="A173" i="34"/>
  <c r="N1" i="33"/>
  <c r="A3" i="33"/>
  <c r="N3" i="33" s="1"/>
  <c r="F4" i="33"/>
  <c r="P4" i="33"/>
  <c r="N7" i="33"/>
  <c r="C8" i="33"/>
  <c r="P8" i="33" s="1"/>
  <c r="H8" i="33"/>
  <c r="E92" i="33" s="1"/>
  <c r="F14" i="33"/>
  <c r="F15" i="33"/>
  <c r="F16" i="33"/>
  <c r="F17" i="33"/>
  <c r="F18" i="33"/>
  <c r="F19" i="33"/>
  <c r="F20" i="33"/>
  <c r="F21" i="33"/>
  <c r="F22" i="33"/>
  <c r="F23" i="33"/>
  <c r="F24" i="33"/>
  <c r="F25" i="33"/>
  <c r="F26" i="33"/>
  <c r="F27" i="33"/>
  <c r="F28" i="33"/>
  <c r="F29" i="33"/>
  <c r="C30" i="33"/>
  <c r="D30" i="33"/>
  <c r="C44" i="33"/>
  <c r="D44" i="33"/>
  <c r="E38" i="33" s="1"/>
  <c r="H56" i="33"/>
  <c r="T56" i="33" s="1"/>
  <c r="H59" i="33"/>
  <c r="T59" i="33" s="1"/>
  <c r="F71" i="33"/>
  <c r="R71" i="33" s="1"/>
  <c r="F74" i="33"/>
  <c r="R74" i="33" s="1"/>
  <c r="F76" i="33"/>
  <c r="R76" i="33" s="1"/>
  <c r="F78" i="33"/>
  <c r="F85" i="33"/>
  <c r="R85" i="33" s="1"/>
  <c r="F87" i="33"/>
  <c r="R87" i="33" s="1"/>
  <c r="F92" i="33"/>
  <c r="R92" i="33" s="1"/>
  <c r="F93" i="33"/>
  <c r="R93" i="33" s="1"/>
  <c r="F94" i="33"/>
  <c r="R94" i="33" s="1"/>
  <c r="G101" i="33"/>
  <c r="I101" i="33" s="1"/>
  <c r="G102" i="33"/>
  <c r="H109" i="33"/>
  <c r="R109" i="33"/>
  <c r="R110" i="33" s="1"/>
  <c r="F110" i="33"/>
  <c r="H110" i="33"/>
  <c r="T110" i="33" s="1"/>
  <c r="I131" i="33"/>
  <c r="A140" i="33"/>
  <c r="A150" i="33"/>
  <c r="A152" i="33"/>
  <c r="A156" i="33"/>
  <c r="A160" i="33"/>
  <c r="A161" i="33"/>
  <c r="A162" i="33"/>
  <c r="A166" i="33"/>
  <c r="A167" i="33"/>
  <c r="A168" i="33"/>
  <c r="A170" i="33"/>
  <c r="A171" i="33"/>
  <c r="A172" i="33"/>
  <c r="A173" i="33"/>
  <c r="N1" i="32"/>
  <c r="A3" i="32"/>
  <c r="N3" i="32" s="1"/>
  <c r="F4" i="32"/>
  <c r="P4" i="32"/>
  <c r="N7" i="32"/>
  <c r="C8" i="32"/>
  <c r="P8" i="32" s="1"/>
  <c r="H8" i="32"/>
  <c r="T8" i="32" s="1"/>
  <c r="P92" i="32" s="1"/>
  <c r="F14" i="32"/>
  <c r="F15" i="32"/>
  <c r="F16" i="32"/>
  <c r="F17" i="32"/>
  <c r="F18" i="32"/>
  <c r="F19" i="32"/>
  <c r="F20" i="32"/>
  <c r="F21" i="32"/>
  <c r="F22" i="32"/>
  <c r="F23" i="32"/>
  <c r="F24" i="32"/>
  <c r="F25" i="32"/>
  <c r="F26" i="32"/>
  <c r="F27" i="32"/>
  <c r="F28" i="32"/>
  <c r="F29" i="32"/>
  <c r="C30" i="32"/>
  <c r="D30" i="32"/>
  <c r="C44" i="32"/>
  <c r="D44" i="32"/>
  <c r="T56" i="32"/>
  <c r="T59" i="32"/>
  <c r="F71" i="32"/>
  <c r="R71" i="32" s="1"/>
  <c r="F74" i="32"/>
  <c r="R74" i="32" s="1"/>
  <c r="F76" i="32"/>
  <c r="R76" i="32" s="1"/>
  <c r="F78" i="32"/>
  <c r="F85" i="32"/>
  <c r="R85" i="32" s="1"/>
  <c r="F87" i="32"/>
  <c r="R87" i="32" s="1"/>
  <c r="F92" i="32"/>
  <c r="R92" i="32" s="1"/>
  <c r="F93" i="32"/>
  <c r="R93" i="32" s="1"/>
  <c r="F94" i="32"/>
  <c r="R94" i="32" s="1"/>
  <c r="G101" i="32"/>
  <c r="I101" i="32" s="1"/>
  <c r="G102" i="32"/>
  <c r="I102" i="32" s="1"/>
  <c r="H109" i="32"/>
  <c r="H111" i="32" s="1"/>
  <c r="T111" i="32" s="1"/>
  <c r="R109" i="32"/>
  <c r="R110" i="32" s="1"/>
  <c r="F110" i="32"/>
  <c r="H110" i="32"/>
  <c r="T110" i="32" s="1"/>
  <c r="I131" i="32"/>
  <c r="A140" i="32"/>
  <c r="A150" i="32"/>
  <c r="A152" i="32"/>
  <c r="A156" i="32"/>
  <c r="A160" i="32"/>
  <c r="A161" i="32"/>
  <c r="A162" i="32"/>
  <c r="A166" i="32"/>
  <c r="A167" i="32"/>
  <c r="A168" i="32"/>
  <c r="A170" i="32"/>
  <c r="A171" i="32"/>
  <c r="A172" i="32"/>
  <c r="A173"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56" i="31"/>
  <c r="T56" i="31" s="1"/>
  <c r="H59" i="31"/>
  <c r="T59" i="31" s="1"/>
  <c r="F71" i="31"/>
  <c r="R71" i="31" s="1"/>
  <c r="F74" i="31"/>
  <c r="R74" i="31" s="1"/>
  <c r="F76" i="31"/>
  <c r="R76" i="31" s="1"/>
  <c r="F78" i="31"/>
  <c r="R78" i="31" s="1"/>
  <c r="F85" i="31"/>
  <c r="R85" i="31" s="1"/>
  <c r="F87" i="31"/>
  <c r="R87" i="31" s="1"/>
  <c r="F92" i="31"/>
  <c r="R92" i="31" s="1"/>
  <c r="F93" i="31"/>
  <c r="R93" i="31" s="1"/>
  <c r="F94" i="31"/>
  <c r="R94" i="31" s="1"/>
  <c r="G101" i="31"/>
  <c r="T101" i="31" s="1"/>
  <c r="G102" i="31"/>
  <c r="I102" i="31" s="1"/>
  <c r="H109" i="31"/>
  <c r="R109" i="31"/>
  <c r="R110" i="31" s="1"/>
  <c r="F110" i="31"/>
  <c r="H110" i="31"/>
  <c r="T110" i="31" s="1"/>
  <c r="I131" i="31"/>
  <c r="A140" i="31"/>
  <c r="A150" i="31"/>
  <c r="A152" i="31"/>
  <c r="A156" i="31"/>
  <c r="A160" i="31"/>
  <c r="A161" i="31"/>
  <c r="A162" i="31"/>
  <c r="A166" i="31"/>
  <c r="A167" i="31"/>
  <c r="A168" i="31"/>
  <c r="A170" i="31"/>
  <c r="A171" i="31"/>
  <c r="A172" i="31"/>
  <c r="A173"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56" i="28"/>
  <c r="T56" i="28" s="1"/>
  <c r="H59" i="28"/>
  <c r="T59" i="28" s="1"/>
  <c r="F71" i="28"/>
  <c r="R71" i="28" s="1"/>
  <c r="F74" i="28"/>
  <c r="F76" i="28"/>
  <c r="R76" i="28" s="1"/>
  <c r="F78" i="28"/>
  <c r="R78" i="28" s="1"/>
  <c r="F85" i="28"/>
  <c r="R85" i="28" s="1"/>
  <c r="F87" i="28"/>
  <c r="F92" i="28"/>
  <c r="R92" i="28" s="1"/>
  <c r="F93" i="28"/>
  <c r="R93" i="28" s="1"/>
  <c r="F94" i="28"/>
  <c r="R94" i="28" s="1"/>
  <c r="G101" i="28"/>
  <c r="T101" i="28" s="1"/>
  <c r="G102" i="28"/>
  <c r="I102" i="28" s="1"/>
  <c r="H109" i="28"/>
  <c r="H111" i="28" s="1"/>
  <c r="R109" i="28"/>
  <c r="R110" i="28" s="1"/>
  <c r="F110" i="28"/>
  <c r="H110" i="28"/>
  <c r="T110" i="28" s="1"/>
  <c r="I131" i="28"/>
  <c r="A140" i="28"/>
  <c r="A150" i="28"/>
  <c r="A152" i="28"/>
  <c r="A156" i="28"/>
  <c r="A160" i="28"/>
  <c r="A161" i="28"/>
  <c r="A162" i="28"/>
  <c r="A166" i="28"/>
  <c r="A167" i="28"/>
  <c r="A168" i="28"/>
  <c r="A170" i="28"/>
  <c r="A171" i="28"/>
  <c r="A172" i="28"/>
  <c r="A173"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56" i="27"/>
  <c r="T56" i="27" s="1"/>
  <c r="H59" i="27"/>
  <c r="T59" i="27" s="1"/>
  <c r="F71" i="27"/>
  <c r="R71" i="27" s="1"/>
  <c r="F74" i="27"/>
  <c r="R74" i="27" s="1"/>
  <c r="F76" i="27"/>
  <c r="R76" i="27" s="1"/>
  <c r="F78" i="27"/>
  <c r="F85" i="27"/>
  <c r="R85" i="27" s="1"/>
  <c r="F87" i="27"/>
  <c r="R87" i="27" s="1"/>
  <c r="F92" i="27"/>
  <c r="R92" i="27" s="1"/>
  <c r="F93" i="27"/>
  <c r="R93" i="27" s="1"/>
  <c r="F94" i="27"/>
  <c r="R94" i="27" s="1"/>
  <c r="G101" i="27"/>
  <c r="I101" i="27" s="1"/>
  <c r="G102" i="27"/>
  <c r="I102" i="27" s="1"/>
  <c r="H109" i="27"/>
  <c r="H111" i="27" s="1"/>
  <c r="T111" i="27" s="1"/>
  <c r="R109" i="27"/>
  <c r="R110" i="27" s="1"/>
  <c r="F110" i="27"/>
  <c r="H110" i="27"/>
  <c r="T110" i="27" s="1"/>
  <c r="I131" i="27"/>
  <c r="A140" i="27"/>
  <c r="A150" i="27"/>
  <c r="A152" i="27"/>
  <c r="A156" i="27"/>
  <c r="A160" i="27"/>
  <c r="A161" i="27"/>
  <c r="A162" i="27"/>
  <c r="A166" i="27"/>
  <c r="A167" i="27"/>
  <c r="A168" i="27"/>
  <c r="A170" i="27"/>
  <c r="A171" i="27"/>
  <c r="A172" i="27"/>
  <c r="A173"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56" i="26"/>
  <c r="T56" i="26" s="1"/>
  <c r="H59" i="26"/>
  <c r="T59" i="26" s="1"/>
  <c r="F71" i="26"/>
  <c r="R71" i="26" s="1"/>
  <c r="F74" i="26"/>
  <c r="R74" i="26" s="1"/>
  <c r="F76" i="26"/>
  <c r="R76" i="26" s="1"/>
  <c r="F78" i="26"/>
  <c r="R78" i="26" s="1"/>
  <c r="F85" i="26"/>
  <c r="R85" i="26" s="1"/>
  <c r="F87" i="26"/>
  <c r="R87" i="26" s="1"/>
  <c r="F92" i="26"/>
  <c r="R92" i="26" s="1"/>
  <c r="F93" i="26"/>
  <c r="R93" i="26" s="1"/>
  <c r="F94" i="26"/>
  <c r="R94" i="26" s="1"/>
  <c r="G101" i="26"/>
  <c r="I101" i="26" s="1"/>
  <c r="G102" i="26"/>
  <c r="I102" i="26" s="1"/>
  <c r="H109" i="26"/>
  <c r="R109" i="26"/>
  <c r="R110" i="26" s="1"/>
  <c r="F110" i="26"/>
  <c r="H110" i="26"/>
  <c r="T110" i="26" s="1"/>
  <c r="I131" i="26"/>
  <c r="A140" i="26"/>
  <c r="A150" i="26"/>
  <c r="A152" i="26"/>
  <c r="A156" i="26"/>
  <c r="A160" i="26"/>
  <c r="A161" i="26"/>
  <c r="A162" i="26"/>
  <c r="A166" i="26"/>
  <c r="A167" i="26"/>
  <c r="A168" i="26"/>
  <c r="A170" i="26"/>
  <c r="A171" i="26"/>
  <c r="A172" i="26"/>
  <c r="A173" i="26"/>
  <c r="N1" i="22"/>
  <c r="A3" i="22"/>
  <c r="N3" i="22" s="1"/>
  <c r="F4" i="22"/>
  <c r="P4" i="22"/>
  <c r="N7" i="22"/>
  <c r="C8" i="22"/>
  <c r="P8" i="22" s="1"/>
  <c r="H8" i="22"/>
  <c r="E92" i="22" s="1"/>
  <c r="F14" i="22"/>
  <c r="F15" i="22"/>
  <c r="F16" i="22"/>
  <c r="F17" i="22"/>
  <c r="F18" i="22"/>
  <c r="F19" i="22"/>
  <c r="F20" i="22"/>
  <c r="F21" i="22"/>
  <c r="F22" i="22"/>
  <c r="F23" i="22"/>
  <c r="F24" i="22"/>
  <c r="F25" i="22"/>
  <c r="F26" i="22"/>
  <c r="F27" i="22"/>
  <c r="F28" i="22"/>
  <c r="F29" i="22"/>
  <c r="C30" i="22"/>
  <c r="D30" i="22"/>
  <c r="E109" i="22" s="1"/>
  <c r="C44" i="22"/>
  <c r="D44" i="22"/>
  <c r="E43" i="22" s="1"/>
  <c r="H56" i="22"/>
  <c r="T56" i="22" s="1"/>
  <c r="H59" i="22"/>
  <c r="T59" i="22" s="1"/>
  <c r="F71" i="22"/>
  <c r="R71" i="22" s="1"/>
  <c r="F74" i="22"/>
  <c r="F76" i="22"/>
  <c r="R76" i="22" s="1"/>
  <c r="F78" i="22"/>
  <c r="R78" i="22" s="1"/>
  <c r="F85" i="22"/>
  <c r="R85" i="22" s="1"/>
  <c r="F87" i="22"/>
  <c r="F92" i="22"/>
  <c r="R92" i="22" s="1"/>
  <c r="F93" i="22"/>
  <c r="R93" i="22" s="1"/>
  <c r="F94" i="22"/>
  <c r="R94" i="22" s="1"/>
  <c r="G101" i="22"/>
  <c r="G102" i="22"/>
  <c r="I102" i="22" s="1"/>
  <c r="H109" i="22"/>
  <c r="T109" i="22" s="1"/>
  <c r="R109" i="22"/>
  <c r="R110" i="22" s="1"/>
  <c r="F110" i="22"/>
  <c r="H110" i="22"/>
  <c r="T110" i="22" s="1"/>
  <c r="I131" i="22"/>
  <c r="A140" i="22"/>
  <c r="A150" i="22"/>
  <c r="A152" i="22"/>
  <c r="A156" i="22"/>
  <c r="A160" i="22"/>
  <c r="A161" i="22"/>
  <c r="A162" i="22"/>
  <c r="A166" i="22"/>
  <c r="A167" i="22"/>
  <c r="A168" i="22"/>
  <c r="A170" i="22"/>
  <c r="A171" i="22"/>
  <c r="A172" i="22"/>
  <c r="A173" i="22"/>
  <c r="N1" i="24"/>
  <c r="A3" i="24"/>
  <c r="N3" i="24" s="1"/>
  <c r="F4" i="24"/>
  <c r="P4" i="24"/>
  <c r="N7" i="24"/>
  <c r="C8" i="24"/>
  <c r="P8" i="24" s="1"/>
  <c r="H8" i="24"/>
  <c r="E93" i="24" s="1"/>
  <c r="F14" i="24"/>
  <c r="F15" i="24"/>
  <c r="F16" i="24"/>
  <c r="F17" i="24"/>
  <c r="F18" i="24"/>
  <c r="F19" i="24"/>
  <c r="F20" i="24"/>
  <c r="F21" i="24"/>
  <c r="F22" i="24"/>
  <c r="F23" i="24"/>
  <c r="F24" i="24"/>
  <c r="F25" i="24"/>
  <c r="F26" i="24"/>
  <c r="F27" i="24"/>
  <c r="F28" i="24"/>
  <c r="F29" i="24"/>
  <c r="C30" i="24"/>
  <c r="D30" i="24"/>
  <c r="C44" i="24"/>
  <c r="D44" i="24"/>
  <c r="E39" i="24" s="1"/>
  <c r="H56" i="24"/>
  <c r="T56" i="24" s="1"/>
  <c r="H59" i="24"/>
  <c r="T59" i="24" s="1"/>
  <c r="F71" i="24"/>
  <c r="R71" i="24" s="1"/>
  <c r="F74" i="24"/>
  <c r="R74" i="24" s="1"/>
  <c r="F76" i="24"/>
  <c r="R76" i="24" s="1"/>
  <c r="F78" i="24"/>
  <c r="R78" i="24" s="1"/>
  <c r="F85" i="24"/>
  <c r="R85" i="24" s="1"/>
  <c r="F87" i="24"/>
  <c r="R87" i="24" s="1"/>
  <c r="F92" i="24"/>
  <c r="R92" i="24" s="1"/>
  <c r="F93" i="24"/>
  <c r="R93" i="24" s="1"/>
  <c r="F94" i="24"/>
  <c r="R94" i="24" s="1"/>
  <c r="G101" i="24"/>
  <c r="T101" i="24" s="1"/>
  <c r="G102" i="24"/>
  <c r="I102" i="24" s="1"/>
  <c r="H109" i="24"/>
  <c r="H111" i="24" s="1"/>
  <c r="R109" i="24"/>
  <c r="R110" i="24" s="1"/>
  <c r="F110" i="24"/>
  <c r="H110" i="24"/>
  <c r="T110" i="24" s="1"/>
  <c r="I131" i="24"/>
  <c r="A140" i="24"/>
  <c r="A150" i="24"/>
  <c r="A152" i="24"/>
  <c r="A156" i="24"/>
  <c r="A160" i="24"/>
  <c r="A161" i="24"/>
  <c r="A162" i="24"/>
  <c r="A166" i="24"/>
  <c r="A167" i="24"/>
  <c r="A168" i="24"/>
  <c r="A170" i="24"/>
  <c r="A171" i="24"/>
  <c r="A172" i="24"/>
  <c r="A173" i="24"/>
  <c r="N1" i="25"/>
  <c r="A3" i="25"/>
  <c r="N3" i="25" s="1"/>
  <c r="F4" i="25"/>
  <c r="P4" i="25"/>
  <c r="N7" i="25"/>
  <c r="C8" i="25"/>
  <c r="P8" i="25" s="1"/>
  <c r="H8" i="25"/>
  <c r="T8" i="25" s="1"/>
  <c r="P92" i="25" s="1"/>
  <c r="F14" i="25"/>
  <c r="F15" i="25"/>
  <c r="F16" i="25"/>
  <c r="F17" i="25"/>
  <c r="F18" i="25"/>
  <c r="F19" i="25"/>
  <c r="F20" i="25"/>
  <c r="F21" i="25"/>
  <c r="F22" i="25"/>
  <c r="F23" i="25"/>
  <c r="F24" i="25"/>
  <c r="F25" i="25"/>
  <c r="F26" i="25"/>
  <c r="F27" i="25"/>
  <c r="F28" i="25"/>
  <c r="F29" i="25"/>
  <c r="C30" i="25"/>
  <c r="D30" i="25"/>
  <c r="C44" i="25"/>
  <c r="D44" i="25"/>
  <c r="H56" i="25"/>
  <c r="T56" i="25" s="1"/>
  <c r="H59" i="25"/>
  <c r="T59" i="25" s="1"/>
  <c r="F71" i="25"/>
  <c r="R71" i="25" s="1"/>
  <c r="F74" i="25"/>
  <c r="R74" i="25" s="1"/>
  <c r="F76" i="25"/>
  <c r="R76" i="25" s="1"/>
  <c r="F78" i="25"/>
  <c r="R78" i="25" s="1"/>
  <c r="F85" i="25"/>
  <c r="R85" i="25" s="1"/>
  <c r="F87" i="25"/>
  <c r="R87" i="25" s="1"/>
  <c r="F92" i="25"/>
  <c r="R92" i="25" s="1"/>
  <c r="F93" i="25"/>
  <c r="R93" i="25" s="1"/>
  <c r="F94" i="25"/>
  <c r="R94" i="25" s="1"/>
  <c r="G101" i="25"/>
  <c r="T101" i="25" s="1"/>
  <c r="G102" i="25"/>
  <c r="I102" i="25" s="1"/>
  <c r="H109" i="25"/>
  <c r="R109" i="25"/>
  <c r="R110" i="25" s="1"/>
  <c r="F110" i="25"/>
  <c r="H110" i="25"/>
  <c r="T110" i="25" s="1"/>
  <c r="I131" i="25"/>
  <c r="A140" i="25"/>
  <c r="A150" i="25"/>
  <c r="A152" i="25"/>
  <c r="A156" i="25"/>
  <c r="A160" i="25"/>
  <c r="A161" i="25"/>
  <c r="A162" i="25"/>
  <c r="A166" i="25"/>
  <c r="A167" i="25"/>
  <c r="A168" i="25"/>
  <c r="A170" i="25"/>
  <c r="A171" i="25"/>
  <c r="A172" i="25"/>
  <c r="A173" i="25"/>
  <c r="N1" i="21"/>
  <c r="A3" i="21"/>
  <c r="N3" i="21" s="1"/>
  <c r="F4" i="21"/>
  <c r="P4" i="21"/>
  <c r="N7" i="21"/>
  <c r="C8" i="21"/>
  <c r="P8" i="21" s="1"/>
  <c r="H8" i="21"/>
  <c r="E92" i="21" s="1"/>
  <c r="F14" i="21"/>
  <c r="F15" i="21"/>
  <c r="F16" i="21"/>
  <c r="F17" i="21"/>
  <c r="F18" i="21"/>
  <c r="F19" i="21"/>
  <c r="F20" i="21"/>
  <c r="F21" i="21"/>
  <c r="F22" i="21"/>
  <c r="F23" i="21"/>
  <c r="F24" i="21"/>
  <c r="F25" i="21"/>
  <c r="F26" i="21"/>
  <c r="F27" i="21"/>
  <c r="F28" i="21"/>
  <c r="F29" i="21"/>
  <c r="C30" i="21"/>
  <c r="D30" i="21"/>
  <c r="C44" i="21"/>
  <c r="D44" i="21"/>
  <c r="E40" i="21" s="1"/>
  <c r="H56" i="21"/>
  <c r="T56" i="21" s="1"/>
  <c r="H59" i="21"/>
  <c r="T59" i="21" s="1"/>
  <c r="F71" i="21"/>
  <c r="R71" i="21" s="1"/>
  <c r="F74" i="21"/>
  <c r="F76" i="21"/>
  <c r="R76" i="21" s="1"/>
  <c r="F78" i="21"/>
  <c r="F85" i="21"/>
  <c r="R85" i="21" s="1"/>
  <c r="F87" i="21"/>
  <c r="F92" i="21"/>
  <c r="R92" i="21" s="1"/>
  <c r="F93" i="21"/>
  <c r="R93" i="21" s="1"/>
  <c r="F94" i="21"/>
  <c r="R94" i="21" s="1"/>
  <c r="G101" i="21"/>
  <c r="T101" i="21" s="1"/>
  <c r="G102" i="21"/>
  <c r="I102" i="21" s="1"/>
  <c r="H109" i="21"/>
  <c r="R109" i="21"/>
  <c r="R110" i="21" s="1"/>
  <c r="F110" i="21"/>
  <c r="H110" i="21"/>
  <c r="T110" i="21" s="1"/>
  <c r="I131" i="21"/>
  <c r="A140" i="21"/>
  <c r="A150" i="21"/>
  <c r="A152" i="21"/>
  <c r="A156" i="21"/>
  <c r="A160" i="21"/>
  <c r="A161" i="21"/>
  <c r="A162" i="21"/>
  <c r="A166" i="21"/>
  <c r="A167" i="21"/>
  <c r="A168" i="21"/>
  <c r="A170" i="21"/>
  <c r="A171" i="21"/>
  <c r="A172" i="21"/>
  <c r="A173"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56" i="20"/>
  <c r="T56" i="20" s="1"/>
  <c r="H59" i="20"/>
  <c r="T59" i="20" s="1"/>
  <c r="F71" i="20"/>
  <c r="R71" i="20" s="1"/>
  <c r="F74" i="20"/>
  <c r="R74" i="20" s="1"/>
  <c r="F76" i="20"/>
  <c r="R76" i="20" s="1"/>
  <c r="F78" i="20"/>
  <c r="R78" i="20" s="1"/>
  <c r="F85" i="20"/>
  <c r="R85" i="20" s="1"/>
  <c r="F87" i="20"/>
  <c r="R87" i="20" s="1"/>
  <c r="F92" i="20"/>
  <c r="R92" i="20" s="1"/>
  <c r="F93" i="20"/>
  <c r="R93" i="20" s="1"/>
  <c r="F94" i="20"/>
  <c r="R94" i="20" s="1"/>
  <c r="G101" i="20"/>
  <c r="G102" i="20"/>
  <c r="H109" i="20"/>
  <c r="H111" i="20" s="1"/>
  <c r="T111" i="20" s="1"/>
  <c r="R109" i="20"/>
  <c r="R110" i="20" s="1"/>
  <c r="F110" i="20"/>
  <c r="H110" i="20"/>
  <c r="T110" i="20" s="1"/>
  <c r="I131" i="20"/>
  <c r="A140" i="20"/>
  <c r="A150" i="20"/>
  <c r="A152" i="20"/>
  <c r="A156" i="20"/>
  <c r="A160" i="20"/>
  <c r="A161" i="20"/>
  <c r="A162" i="20"/>
  <c r="A166" i="20"/>
  <c r="A167" i="20"/>
  <c r="A168" i="20"/>
  <c r="A170" i="20"/>
  <c r="A171" i="20"/>
  <c r="A172" i="20"/>
  <c r="A173" i="20"/>
  <c r="N1" i="18"/>
  <c r="A3" i="18"/>
  <c r="N3" i="18" s="1"/>
  <c r="F4" i="18"/>
  <c r="P4" i="18"/>
  <c r="N7" i="18"/>
  <c r="C8" i="18"/>
  <c r="P8" i="18" s="1"/>
  <c r="H8" i="18"/>
  <c r="T8" i="18" s="1"/>
  <c r="P94" i="18" s="1"/>
  <c r="F14" i="18"/>
  <c r="F15" i="18"/>
  <c r="F16" i="18"/>
  <c r="F17" i="18"/>
  <c r="F18" i="18"/>
  <c r="F19" i="18"/>
  <c r="F20" i="18"/>
  <c r="F21" i="18"/>
  <c r="F22" i="18"/>
  <c r="F23" i="18"/>
  <c r="F24" i="18"/>
  <c r="F25" i="18"/>
  <c r="F26" i="18"/>
  <c r="F27" i="18"/>
  <c r="F28" i="18"/>
  <c r="F29" i="18"/>
  <c r="C30" i="18"/>
  <c r="D30" i="18"/>
  <c r="C44" i="18"/>
  <c r="D44" i="18"/>
  <c r="E38" i="18" s="1"/>
  <c r="H56" i="18"/>
  <c r="T56" i="18" s="1"/>
  <c r="H59" i="18"/>
  <c r="T59" i="18" s="1"/>
  <c r="F71" i="18"/>
  <c r="R71" i="18" s="1"/>
  <c r="F74" i="18"/>
  <c r="R74" i="18" s="1"/>
  <c r="F76" i="18"/>
  <c r="R76" i="18" s="1"/>
  <c r="F78" i="18"/>
  <c r="R78" i="18" s="1"/>
  <c r="F85" i="18"/>
  <c r="F87" i="18"/>
  <c r="R87" i="18" s="1"/>
  <c r="F92" i="18"/>
  <c r="R92" i="18" s="1"/>
  <c r="F93" i="18"/>
  <c r="R93" i="18" s="1"/>
  <c r="F94" i="18"/>
  <c r="R94" i="18" s="1"/>
  <c r="G101" i="18"/>
  <c r="T101" i="18" s="1"/>
  <c r="G102" i="18"/>
  <c r="I102" i="18" s="1"/>
  <c r="H109" i="18"/>
  <c r="R109" i="18"/>
  <c r="R110" i="18" s="1"/>
  <c r="F110" i="18"/>
  <c r="H110" i="18"/>
  <c r="I131" i="18"/>
  <c r="A140" i="18"/>
  <c r="A150" i="18"/>
  <c r="A152" i="18"/>
  <c r="A156" i="18"/>
  <c r="A160" i="18"/>
  <c r="A161" i="18"/>
  <c r="A162" i="18"/>
  <c r="A166" i="18"/>
  <c r="A167" i="18"/>
  <c r="A168" i="18"/>
  <c r="A170" i="18"/>
  <c r="A171" i="18"/>
  <c r="A172" i="18"/>
  <c r="A173" i="18"/>
  <c r="N1" i="17"/>
  <c r="A3" i="17"/>
  <c r="N3" i="17" s="1"/>
  <c r="F4" i="17"/>
  <c r="P4" i="17"/>
  <c r="N7" i="17"/>
  <c r="C8" i="17"/>
  <c r="P8" i="17" s="1"/>
  <c r="H8" i="17"/>
  <c r="E93" i="17" s="1"/>
  <c r="F14" i="17"/>
  <c r="F15" i="17"/>
  <c r="F16" i="17"/>
  <c r="F17" i="17"/>
  <c r="F18" i="17"/>
  <c r="F19" i="17"/>
  <c r="F20" i="17"/>
  <c r="F21" i="17"/>
  <c r="F22" i="17"/>
  <c r="F23" i="17"/>
  <c r="F24" i="17"/>
  <c r="F25" i="17"/>
  <c r="F26" i="17"/>
  <c r="F27" i="17"/>
  <c r="F28" i="17"/>
  <c r="F29" i="17"/>
  <c r="C30" i="17"/>
  <c r="D30" i="17"/>
  <c r="C44" i="17"/>
  <c r="D44" i="17"/>
  <c r="E43" i="17" s="1"/>
  <c r="H56" i="17"/>
  <c r="T56" i="17" s="1"/>
  <c r="H59" i="17"/>
  <c r="T59" i="17" s="1"/>
  <c r="F71" i="17"/>
  <c r="R71" i="17" s="1"/>
  <c r="F74" i="17"/>
  <c r="F76" i="17"/>
  <c r="R76" i="17" s="1"/>
  <c r="F78" i="17"/>
  <c r="F85" i="17"/>
  <c r="R85" i="17" s="1"/>
  <c r="F87" i="17"/>
  <c r="F92" i="17"/>
  <c r="R92" i="17" s="1"/>
  <c r="F93" i="17"/>
  <c r="R93" i="17" s="1"/>
  <c r="F94" i="17"/>
  <c r="R94" i="17" s="1"/>
  <c r="G101" i="17"/>
  <c r="T101" i="17" s="1"/>
  <c r="G102" i="17"/>
  <c r="T102" i="17" s="1"/>
  <c r="U102" i="17" s="1"/>
  <c r="H109" i="17"/>
  <c r="H111" i="17" s="1"/>
  <c r="R109" i="17"/>
  <c r="R110" i="17" s="1"/>
  <c r="F110" i="17"/>
  <c r="H110" i="17"/>
  <c r="T110" i="17" s="1"/>
  <c r="I131" i="17"/>
  <c r="A140" i="17"/>
  <c r="A150" i="17"/>
  <c r="A152" i="17"/>
  <c r="A156" i="17"/>
  <c r="A160" i="17"/>
  <c r="A161" i="17"/>
  <c r="A162" i="17"/>
  <c r="A166" i="17"/>
  <c r="A167" i="17"/>
  <c r="A168" i="17"/>
  <c r="A170" i="17"/>
  <c r="A171" i="17"/>
  <c r="A172" i="17"/>
  <c r="A173"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56" i="16"/>
  <c r="T56" i="16" s="1"/>
  <c r="H59" i="16"/>
  <c r="T59" i="16" s="1"/>
  <c r="F71" i="16"/>
  <c r="F74" i="16"/>
  <c r="R74" i="16" s="1"/>
  <c r="F76" i="16"/>
  <c r="F78" i="16"/>
  <c r="R78" i="16" s="1"/>
  <c r="F85" i="16"/>
  <c r="R85" i="16" s="1"/>
  <c r="F87" i="16"/>
  <c r="R87" i="16" s="1"/>
  <c r="F92" i="16"/>
  <c r="R92" i="16" s="1"/>
  <c r="F93" i="16"/>
  <c r="R93" i="16" s="1"/>
  <c r="F94" i="16"/>
  <c r="R94" i="16" s="1"/>
  <c r="G101" i="16"/>
  <c r="I101" i="16" s="1"/>
  <c r="G102" i="16"/>
  <c r="H109" i="16"/>
  <c r="R109" i="16"/>
  <c r="R110" i="16" s="1"/>
  <c r="F110" i="16"/>
  <c r="H110" i="16"/>
  <c r="I131" i="16"/>
  <c r="A140" i="16"/>
  <c r="A150" i="16"/>
  <c r="A152" i="16"/>
  <c r="A156" i="16"/>
  <c r="A160" i="16"/>
  <c r="A161" i="16"/>
  <c r="A162" i="16"/>
  <c r="A166" i="16"/>
  <c r="A167" i="16"/>
  <c r="A168" i="16"/>
  <c r="A170" i="16"/>
  <c r="A171" i="16"/>
  <c r="A172" i="16"/>
  <c r="A173" i="16"/>
  <c r="N1" i="15"/>
  <c r="A3" i="15"/>
  <c r="N3" i="15" s="1"/>
  <c r="F4" i="15"/>
  <c r="P4" i="15"/>
  <c r="N7" i="15"/>
  <c r="C8" i="15"/>
  <c r="P8" i="15" s="1"/>
  <c r="H8" i="15"/>
  <c r="E92" i="15" s="1"/>
  <c r="F14" i="15"/>
  <c r="F15" i="15"/>
  <c r="F16" i="15"/>
  <c r="F17" i="15"/>
  <c r="F18" i="15"/>
  <c r="F19" i="15"/>
  <c r="F20" i="15"/>
  <c r="F21" i="15"/>
  <c r="F22" i="15"/>
  <c r="F23" i="15"/>
  <c r="F24" i="15"/>
  <c r="F25" i="15"/>
  <c r="F26" i="15"/>
  <c r="F27" i="15"/>
  <c r="F28" i="15"/>
  <c r="F29" i="15"/>
  <c r="C30" i="15"/>
  <c r="D30" i="15"/>
  <c r="C44" i="15"/>
  <c r="D44" i="15"/>
  <c r="H56" i="15"/>
  <c r="T56" i="15" s="1"/>
  <c r="H59" i="15"/>
  <c r="T59" i="15" s="1"/>
  <c r="F71" i="15"/>
  <c r="R71" i="15" s="1"/>
  <c r="F74" i="15"/>
  <c r="R74" i="15" s="1"/>
  <c r="F76" i="15"/>
  <c r="R76" i="15" s="1"/>
  <c r="F78" i="15"/>
  <c r="F85" i="15"/>
  <c r="R85" i="15" s="1"/>
  <c r="F87" i="15"/>
  <c r="R87" i="15" s="1"/>
  <c r="F92" i="15"/>
  <c r="R92" i="15" s="1"/>
  <c r="F93" i="15"/>
  <c r="R93" i="15" s="1"/>
  <c r="F94" i="15"/>
  <c r="R94" i="15" s="1"/>
  <c r="G101" i="15"/>
  <c r="T101" i="15" s="1"/>
  <c r="G102" i="15"/>
  <c r="T102" i="15" s="1"/>
  <c r="U102" i="15" s="1"/>
  <c r="H109" i="15"/>
  <c r="T109" i="15" s="1"/>
  <c r="R109" i="15"/>
  <c r="R110" i="15" s="1"/>
  <c r="F110" i="15"/>
  <c r="H110" i="15"/>
  <c r="I131" i="15"/>
  <c r="A140" i="15"/>
  <c r="A150" i="15"/>
  <c r="A152" i="15"/>
  <c r="A156" i="15"/>
  <c r="A160" i="15"/>
  <c r="A161" i="15"/>
  <c r="A162" i="15"/>
  <c r="A166" i="15"/>
  <c r="A167" i="15"/>
  <c r="A168" i="15"/>
  <c r="A170" i="15"/>
  <c r="A171" i="15"/>
  <c r="A172" i="15"/>
  <c r="A173" i="15"/>
  <c r="N1" i="7"/>
  <c r="N3" i="7"/>
  <c r="P4" i="7"/>
  <c r="T8" i="7"/>
  <c r="P92" i="7" s="1"/>
  <c r="C30" i="7"/>
  <c r="D30" i="7"/>
  <c r="I35" i="7"/>
  <c r="U35" i="7" s="1"/>
  <c r="C44" i="7"/>
  <c r="D44" i="7"/>
  <c r="E38" i="7" s="1"/>
  <c r="I38" i="7" s="1"/>
  <c r="T56" i="7"/>
  <c r="T59" i="7"/>
  <c r="R71" i="7"/>
  <c r="R74" i="7"/>
  <c r="R76" i="7"/>
  <c r="R78" i="7"/>
  <c r="R85" i="7"/>
  <c r="R87" i="7"/>
  <c r="E92" i="7"/>
  <c r="E93" i="60" s="1"/>
  <c r="R92" i="7"/>
  <c r="E93" i="7"/>
  <c r="E94" i="60" s="1"/>
  <c r="R93" i="7"/>
  <c r="E94" i="7"/>
  <c r="E95" i="60" s="1"/>
  <c r="R94" i="7"/>
  <c r="I101" i="7"/>
  <c r="T101" i="7"/>
  <c r="I102" i="7"/>
  <c r="T102" i="7"/>
  <c r="U102" i="7" s="1"/>
  <c r="H109" i="7"/>
  <c r="R109" i="7"/>
  <c r="R110" i="7" s="1"/>
  <c r="F110" i="7"/>
  <c r="H110" i="7"/>
  <c r="T110" i="7" s="1"/>
  <c r="A3" i="60"/>
  <c r="F4" i="60"/>
  <c r="A7" i="60"/>
  <c r="C8" i="60"/>
  <c r="H8" i="60"/>
  <c r="I10"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29" i="60"/>
  <c r="D29" i="60"/>
  <c r="F29" i="60"/>
  <c r="C31" i="60"/>
  <c r="D31" i="60"/>
  <c r="E110" i="60" s="1"/>
  <c r="I110" i="60" s="1"/>
  <c r="C38" i="60"/>
  <c r="D38" i="60"/>
  <c r="C39" i="60"/>
  <c r="D39" i="60"/>
  <c r="C40" i="60"/>
  <c r="D40" i="60"/>
  <c r="C41" i="60"/>
  <c r="D41" i="60"/>
  <c r="C42" i="60"/>
  <c r="D42" i="60"/>
  <c r="C43" i="60"/>
  <c r="D43" i="60"/>
  <c r="H149" i="60"/>
  <c r="H152" i="60"/>
  <c r="F155" i="60"/>
  <c r="F157" i="60"/>
  <c r="F158" i="60"/>
  <c r="F163" i="60"/>
  <c r="F164" i="60"/>
  <c r="F165" i="60"/>
  <c r="F166" i="60"/>
  <c r="F167" i="60"/>
  <c r="F172" i="60"/>
  <c r="F177" i="60"/>
  <c r="F178" i="60"/>
  <c r="F179" i="60"/>
  <c r="D186" i="60"/>
  <c r="G186" i="60"/>
  <c r="D187" i="60"/>
  <c r="G187" i="60"/>
  <c r="C194" i="60"/>
  <c r="H194" i="60" s="1"/>
  <c r="H196" i="60" s="1"/>
  <c r="D194" i="60"/>
  <c r="C195" i="60"/>
  <c r="H195" i="60" s="1"/>
  <c r="D195" i="60"/>
  <c r="F195" i="60"/>
  <c r="C196" i="60"/>
  <c r="D196" i="60"/>
  <c r="I217" i="60"/>
  <c r="B2" i="64"/>
  <c r="A15" i="64"/>
  <c r="A37" i="64" s="1"/>
  <c r="A53" i="64" s="1"/>
  <c r="A60" i="64" s="1"/>
  <c r="A72" i="64" s="1"/>
  <c r="A80" i="64" s="1"/>
  <c r="A90" i="64" s="1"/>
  <c r="A100" i="64" s="1"/>
  <c r="A109" i="64" s="1"/>
  <c r="A117" i="64" s="1"/>
  <c r="A124" i="64" s="1"/>
  <c r="A133" i="64" s="1"/>
  <c r="A142" i="64" s="1"/>
  <c r="A151" i="64" s="1"/>
  <c r="A161" i="64" s="1"/>
  <c r="A170" i="64" s="1"/>
  <c r="A178" i="64" s="1"/>
  <c r="A185" i="64" s="1"/>
  <c r="A193" i="64" s="1"/>
  <c r="A204" i="64" s="1"/>
  <c r="A212" i="64" s="1"/>
  <c r="A223" i="64" s="1"/>
  <c r="A233" i="64" s="1"/>
  <c r="A242" i="64" s="1"/>
  <c r="A252" i="64" s="1"/>
  <c r="A262" i="64" s="1"/>
  <c r="A270" i="64" s="1"/>
  <c r="A278" i="64" s="1"/>
  <c r="A287" i="64" s="1"/>
  <c r="A297" i="64" s="1"/>
  <c r="A305" i="64" s="1"/>
  <c r="A314" i="64" s="1"/>
  <c r="A323" i="64" s="1"/>
  <c r="A333" i="64" s="1"/>
  <c r="A343" i="64" s="1"/>
  <c r="A354" i="64" s="1"/>
  <c r="A361" i="64" s="1"/>
  <c r="A370" i="64" s="1"/>
  <c r="A379" i="64" s="1"/>
  <c r="A386" i="64" s="1"/>
  <c r="A395" i="64" s="1"/>
  <c r="A405" i="64" s="1"/>
  <c r="A415" i="64" s="1"/>
  <c r="A424" i="64" s="1"/>
  <c r="A432" i="64" s="1"/>
  <c r="A442" i="64" s="1"/>
  <c r="A451" i="64" s="1"/>
  <c r="D15" i="64"/>
  <c r="L32" i="64"/>
  <c r="D37" i="64"/>
  <c r="D53" i="64"/>
  <c r="D60" i="64"/>
  <c r="D72" i="64"/>
  <c r="D80" i="64"/>
  <c r="D90" i="64"/>
  <c r="D100" i="64"/>
  <c r="D109" i="64"/>
  <c r="D117" i="64"/>
  <c r="D124" i="64"/>
  <c r="D133" i="64"/>
  <c r="D142" i="64"/>
  <c r="D151" i="64"/>
  <c r="D161" i="64"/>
  <c r="D170" i="64"/>
  <c r="D178" i="64"/>
  <c r="D185" i="64"/>
  <c r="D193" i="64"/>
  <c r="D204" i="64"/>
  <c r="D212" i="64"/>
  <c r="D223" i="64"/>
  <c r="D233" i="64"/>
  <c r="D242" i="64"/>
  <c r="D252" i="64"/>
  <c r="D262" i="64"/>
  <c r="D270" i="64"/>
  <c r="D278" i="64"/>
  <c r="D287" i="64"/>
  <c r="D297" i="64"/>
  <c r="D305" i="64"/>
  <c r="D314" i="64"/>
  <c r="D323" i="64"/>
  <c r="D333" i="64"/>
  <c r="D343" i="64"/>
  <c r="D354" i="64"/>
  <c r="D361" i="64"/>
  <c r="D370" i="64"/>
  <c r="D379" i="64"/>
  <c r="D386" i="64"/>
  <c r="D395" i="64"/>
  <c r="D405" i="64"/>
  <c r="D415" i="64"/>
  <c r="D424" i="64"/>
  <c r="D432" i="64"/>
  <c r="D442" i="64"/>
  <c r="D451" i="64"/>
  <c r="F461" i="64"/>
  <c r="E92" i="32" l="1"/>
  <c r="E93" i="32"/>
  <c r="P94" i="32"/>
  <c r="E16" i="18"/>
  <c r="E109" i="18"/>
  <c r="I109" i="18" s="1"/>
  <c r="E17" i="51"/>
  <c r="H17" i="51" s="1"/>
  <c r="I17" i="51" s="1"/>
  <c r="E109" i="51"/>
  <c r="I109" i="51" s="1"/>
  <c r="E22" i="71"/>
  <c r="H22" i="71" s="1"/>
  <c r="I22" i="71" s="1"/>
  <c r="E109" i="71"/>
  <c r="I109" i="71" s="1"/>
  <c r="E25" i="17"/>
  <c r="H25" i="17" s="1"/>
  <c r="I25" i="17" s="1"/>
  <c r="E109" i="17"/>
  <c r="I109" i="17" s="1"/>
  <c r="E17" i="23"/>
  <c r="H17" i="23" s="1"/>
  <c r="I17" i="23" s="1"/>
  <c r="E109" i="23"/>
  <c r="I109" i="23" s="1"/>
  <c r="E25" i="50"/>
  <c r="H25" i="50" s="1"/>
  <c r="I25" i="50" s="1"/>
  <c r="E109" i="50"/>
  <c r="I109" i="50" s="1"/>
  <c r="E28" i="70"/>
  <c r="H28" i="70" s="1"/>
  <c r="I28" i="70" s="1"/>
  <c r="E109" i="70"/>
  <c r="I109" i="70" s="1"/>
  <c r="E22" i="16"/>
  <c r="E109" i="16"/>
  <c r="E19" i="35"/>
  <c r="E109" i="35"/>
  <c r="I109" i="35" s="1"/>
  <c r="E23" i="48"/>
  <c r="H23" i="48" s="1"/>
  <c r="I23" i="48" s="1"/>
  <c r="E109" i="48"/>
  <c r="I109" i="48" s="1"/>
  <c r="E24" i="69"/>
  <c r="E109" i="69"/>
  <c r="I109" i="69" s="1"/>
  <c r="E29" i="15"/>
  <c r="H29" i="15" s="1"/>
  <c r="I29" i="15" s="1"/>
  <c r="E109" i="15"/>
  <c r="I109" i="15" s="1"/>
  <c r="E25" i="31"/>
  <c r="H25" i="31" s="1"/>
  <c r="I25" i="31" s="1"/>
  <c r="E109" i="31"/>
  <c r="I109" i="31" s="1"/>
  <c r="E14" i="34"/>
  <c r="H14" i="34" s="1"/>
  <c r="I14" i="34" s="1"/>
  <c r="E109" i="34"/>
  <c r="I109" i="34" s="1"/>
  <c r="E22" i="47"/>
  <c r="H22" i="47" s="1"/>
  <c r="I22" i="47" s="1"/>
  <c r="E109" i="47"/>
  <c r="I109" i="47" s="1"/>
  <c r="E25" i="28"/>
  <c r="E109" i="28"/>
  <c r="I109" i="28" s="1"/>
  <c r="E19" i="33"/>
  <c r="H19" i="33" s="1"/>
  <c r="I19" i="33" s="1"/>
  <c r="E109" i="33"/>
  <c r="I109" i="33" s="1"/>
  <c r="E25" i="45"/>
  <c r="H25" i="45" s="1"/>
  <c r="I25" i="45" s="1"/>
  <c r="E109" i="45"/>
  <c r="I109" i="45" s="1"/>
  <c r="E18" i="66"/>
  <c r="H18" i="66" s="1"/>
  <c r="I18" i="66" s="1"/>
  <c r="E109" i="66"/>
  <c r="I109" i="66" s="1"/>
  <c r="E16" i="27"/>
  <c r="H16" i="27" s="1"/>
  <c r="I16" i="27" s="1"/>
  <c r="E109" i="27"/>
  <c r="I109" i="27" s="1"/>
  <c r="E26" i="32"/>
  <c r="H26" i="32" s="1"/>
  <c r="I26" i="32" s="1"/>
  <c r="E109" i="32"/>
  <c r="I109" i="32" s="1"/>
  <c r="E19" i="44"/>
  <c r="H19" i="44" s="1"/>
  <c r="I19" i="44" s="1"/>
  <c r="E109" i="44"/>
  <c r="I109" i="44" s="1"/>
  <c r="E25" i="58"/>
  <c r="H25" i="58" s="1"/>
  <c r="I25" i="58" s="1"/>
  <c r="E109" i="58"/>
  <c r="E18" i="26"/>
  <c r="E109" i="26"/>
  <c r="I109" i="26" s="1"/>
  <c r="E18" i="43"/>
  <c r="E109" i="43"/>
  <c r="I109" i="43" s="1"/>
  <c r="E22" i="42"/>
  <c r="H22" i="42" s="1"/>
  <c r="I22" i="42" s="1"/>
  <c r="E109" i="42"/>
  <c r="I109" i="42" s="1"/>
  <c r="E18" i="56"/>
  <c r="H18" i="56" s="1"/>
  <c r="I18" i="56" s="1"/>
  <c r="E109" i="56"/>
  <c r="I109" i="56" s="1"/>
  <c r="E25" i="24"/>
  <c r="H25" i="24" s="1"/>
  <c r="I25" i="24" s="1"/>
  <c r="E109" i="24"/>
  <c r="I109" i="24" s="1"/>
  <c r="E19" i="55"/>
  <c r="H19" i="55" s="1"/>
  <c r="I19" i="55" s="1"/>
  <c r="E109" i="55"/>
  <c r="I109" i="55" s="1"/>
  <c r="E19" i="30"/>
  <c r="H19" i="30" s="1"/>
  <c r="I19" i="30" s="1"/>
  <c r="E109" i="30"/>
  <c r="I109" i="30" s="1"/>
  <c r="E22" i="25"/>
  <c r="H22" i="25" s="1"/>
  <c r="I22" i="25" s="1"/>
  <c r="E109" i="25"/>
  <c r="I109" i="25" s="1"/>
  <c r="E26" i="39"/>
  <c r="E109" i="39"/>
  <c r="E22" i="76"/>
  <c r="E109" i="76"/>
  <c r="I109" i="76" s="1"/>
  <c r="E24" i="78"/>
  <c r="H24" i="78" s="1"/>
  <c r="I24" i="78" s="1"/>
  <c r="E109" i="78"/>
  <c r="I109" i="78" s="1"/>
  <c r="E14" i="21"/>
  <c r="H14" i="21" s="1"/>
  <c r="I14" i="21" s="1"/>
  <c r="E109" i="21"/>
  <c r="I109" i="21" s="1"/>
  <c r="E25" i="38"/>
  <c r="H25" i="38" s="1"/>
  <c r="I25" i="38" s="1"/>
  <c r="E109" i="38"/>
  <c r="I109" i="38" s="1"/>
  <c r="E22" i="75"/>
  <c r="H22" i="75" s="1"/>
  <c r="I22" i="75" s="1"/>
  <c r="E109" i="75"/>
  <c r="I109" i="75" s="1"/>
  <c r="E15" i="7"/>
  <c r="H15" i="7" s="1"/>
  <c r="E109" i="7"/>
  <c r="E29" i="20"/>
  <c r="H29" i="20" s="1"/>
  <c r="I29" i="20" s="1"/>
  <c r="E109" i="20"/>
  <c r="E22" i="37"/>
  <c r="E109" i="37"/>
  <c r="E25" i="52"/>
  <c r="H25" i="52" s="1"/>
  <c r="I25" i="52" s="1"/>
  <c r="E109" i="52"/>
  <c r="E24" i="68"/>
  <c r="H24" i="68" s="1"/>
  <c r="I24" i="68" s="1"/>
  <c r="E109" i="68"/>
  <c r="I109" i="68" s="1"/>
  <c r="T109" i="76"/>
  <c r="H111" i="23"/>
  <c r="T111" i="23" s="1"/>
  <c r="I42" i="52"/>
  <c r="T109" i="27"/>
  <c r="T109" i="44"/>
  <c r="I40" i="38"/>
  <c r="I38" i="40"/>
  <c r="I41" i="76"/>
  <c r="I38" i="28"/>
  <c r="I38" i="43"/>
  <c r="I39" i="42"/>
  <c r="I38" i="68"/>
  <c r="I38" i="20"/>
  <c r="P93" i="32"/>
  <c r="I39" i="16"/>
  <c r="I38" i="18"/>
  <c r="I38" i="55"/>
  <c r="I43" i="17"/>
  <c r="I40" i="21"/>
  <c r="I40" i="35"/>
  <c r="I39" i="24"/>
  <c r="I40" i="26"/>
  <c r="I38" i="33"/>
  <c r="I40" i="50"/>
  <c r="H111" i="52"/>
  <c r="T111" i="52" s="1"/>
  <c r="I40" i="57"/>
  <c r="I39" i="66"/>
  <c r="T109" i="71"/>
  <c r="I40" i="77"/>
  <c r="I38" i="30"/>
  <c r="I40" i="45"/>
  <c r="H111" i="56"/>
  <c r="T111" i="56" s="1"/>
  <c r="I43" i="22"/>
  <c r="I39" i="23"/>
  <c r="I40" i="51"/>
  <c r="I39" i="67"/>
  <c r="I42" i="31"/>
  <c r="I39" i="39"/>
  <c r="E42" i="57"/>
  <c r="I42" i="57" s="1"/>
  <c r="E93" i="18"/>
  <c r="E27" i="47"/>
  <c r="H27" i="47" s="1"/>
  <c r="I27" i="47" s="1"/>
  <c r="E38" i="57"/>
  <c r="I38" i="57" s="1"/>
  <c r="E92" i="18"/>
  <c r="E29" i="52"/>
  <c r="E38" i="39"/>
  <c r="I38" i="39" s="1"/>
  <c r="E42" i="77"/>
  <c r="I42" i="77" s="1"/>
  <c r="H111" i="75"/>
  <c r="T111" i="75" s="1"/>
  <c r="T109" i="67"/>
  <c r="H111" i="68"/>
  <c r="I111" i="68" s="1"/>
  <c r="E23" i="78"/>
  <c r="H23" i="78" s="1"/>
  <c r="I23" i="78" s="1"/>
  <c r="E23" i="52"/>
  <c r="H23" i="52" s="1"/>
  <c r="I23" i="52" s="1"/>
  <c r="E94" i="18"/>
  <c r="E39" i="40"/>
  <c r="I39" i="40" s="1"/>
  <c r="E26" i="15"/>
  <c r="H26" i="15" s="1"/>
  <c r="I26" i="15" s="1"/>
  <c r="E40" i="40"/>
  <c r="I40" i="40" s="1"/>
  <c r="E23" i="69"/>
  <c r="H23" i="69" s="1"/>
  <c r="I23" i="69" s="1"/>
  <c r="E39" i="68"/>
  <c r="I39" i="68" s="1"/>
  <c r="E39" i="18"/>
  <c r="I39" i="18" s="1"/>
  <c r="T109"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09" i="40"/>
  <c r="E28" i="58"/>
  <c r="H111" i="69"/>
  <c r="T111"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09" i="42"/>
  <c r="E27" i="44"/>
  <c r="E42" i="68"/>
  <c r="I42" i="68" s="1"/>
  <c r="E16" i="15"/>
  <c r="H16" i="15" s="1"/>
  <c r="I16" i="15" s="1"/>
  <c r="E40" i="18"/>
  <c r="I40" i="18" s="1"/>
  <c r="E38" i="24"/>
  <c r="I38" i="24" s="1"/>
  <c r="E24" i="33"/>
  <c r="H24" i="33" s="1"/>
  <c r="I24" i="33" s="1"/>
  <c r="E40" i="76"/>
  <c r="I40" i="76" s="1"/>
  <c r="E41" i="57"/>
  <c r="I41" i="57" s="1"/>
  <c r="E41" i="68"/>
  <c r="I41" i="68" s="1"/>
  <c r="E28" i="78"/>
  <c r="H28" i="78" s="1"/>
  <c r="I28" i="78" s="1"/>
  <c r="E15" i="44"/>
  <c r="E39" i="76"/>
  <c r="I39" i="76" s="1"/>
  <c r="E39" i="57"/>
  <c r="I39" i="57" s="1"/>
  <c r="E40" i="68"/>
  <c r="I40" i="68" s="1"/>
  <c r="E41" i="21"/>
  <c r="I41" i="21" s="1"/>
  <c r="E39" i="28"/>
  <c r="I39" i="28" s="1"/>
  <c r="E39" i="33"/>
  <c r="I39" i="33" s="1"/>
  <c r="T109" i="43"/>
  <c r="E20" i="47"/>
  <c r="H20" i="47" s="1"/>
  <c r="I20" i="47" s="1"/>
  <c r="E38" i="76"/>
  <c r="I38" i="76" s="1"/>
  <c r="E42" i="22"/>
  <c r="I42" i="22" s="1"/>
  <c r="E43" i="43"/>
  <c r="I43" i="43" s="1"/>
  <c r="E23" i="66"/>
  <c r="H23" i="66" s="1"/>
  <c r="I23" i="66" s="1"/>
  <c r="E41" i="22"/>
  <c r="I41" i="22" s="1"/>
  <c r="E17" i="27"/>
  <c r="H17" i="27" s="1"/>
  <c r="I17" i="27" s="1"/>
  <c r="P93" i="7"/>
  <c r="T109" i="20"/>
  <c r="E40" i="22"/>
  <c r="I40" i="22" s="1"/>
  <c r="E24" i="35"/>
  <c r="E41" i="39"/>
  <c r="I41" i="39" s="1"/>
  <c r="E92" i="78"/>
  <c r="E94" i="32"/>
  <c r="E92" i="25"/>
  <c r="E94" i="23"/>
  <c r="E92" i="52"/>
  <c r="I102" i="69"/>
  <c r="E93" i="35"/>
  <c r="E94" i="43"/>
  <c r="I102" i="51"/>
  <c r="E23" i="68"/>
  <c r="H23" i="68" s="1"/>
  <c r="I23" i="68" s="1"/>
  <c r="E21" i="68"/>
  <c r="H21" i="68" s="1"/>
  <c r="I21" i="68" s="1"/>
  <c r="E24" i="71"/>
  <c r="H24" i="71" s="1"/>
  <c r="I24" i="71" s="1"/>
  <c r="E23" i="71"/>
  <c r="H23" i="71" s="1"/>
  <c r="I23" i="71" s="1"/>
  <c r="E14" i="71"/>
  <c r="H14" i="71" s="1"/>
  <c r="I14" i="71" s="1"/>
  <c r="I110" i="70"/>
  <c r="E21" i="70"/>
  <c r="E20" i="70"/>
  <c r="E22" i="69"/>
  <c r="H22" i="69" s="1"/>
  <c r="I22" i="69" s="1"/>
  <c r="E21" i="69"/>
  <c r="H21" i="69" s="1"/>
  <c r="I21" i="69" s="1"/>
  <c r="E24" i="66"/>
  <c r="H24" i="66" s="1"/>
  <c r="I24" i="66" s="1"/>
  <c r="E22" i="58"/>
  <c r="H22" i="58" s="1"/>
  <c r="I22" i="58" s="1"/>
  <c r="E21" i="58"/>
  <c r="H21" i="58" s="1"/>
  <c r="I21" i="58" s="1"/>
  <c r="E27" i="55"/>
  <c r="H27" i="55" s="1"/>
  <c r="I27" i="55" s="1"/>
  <c r="E14" i="55"/>
  <c r="H14" i="55" s="1"/>
  <c r="I14" i="55" s="1"/>
  <c r="I110" i="52"/>
  <c r="E28" i="52"/>
  <c r="H28" i="52" s="1"/>
  <c r="I28" i="52" s="1"/>
  <c r="E15" i="52"/>
  <c r="H15" i="52" s="1"/>
  <c r="I15" i="52" s="1"/>
  <c r="E27" i="52"/>
  <c r="H27" i="52" s="1"/>
  <c r="I27" i="52" s="1"/>
  <c r="E20" i="52"/>
  <c r="H20" i="52" s="1"/>
  <c r="I20" i="52" s="1"/>
  <c r="E26" i="52"/>
  <c r="H26" i="52" s="1"/>
  <c r="I26" i="52" s="1"/>
  <c r="E19" i="52"/>
  <c r="E18" i="52"/>
  <c r="H18" i="52" s="1"/>
  <c r="I18" i="52" s="1"/>
  <c r="E24" i="52"/>
  <c r="H24" i="52" s="1"/>
  <c r="I24" i="52" s="1"/>
  <c r="E17" i="52"/>
  <c r="H17" i="52" s="1"/>
  <c r="I17" i="52" s="1"/>
  <c r="E22" i="48"/>
  <c r="H22" i="48" s="1"/>
  <c r="I22" i="48" s="1"/>
  <c r="E21" i="48"/>
  <c r="H21" i="48" s="1"/>
  <c r="I21" i="48" s="1"/>
  <c r="E19" i="47"/>
  <c r="H19" i="47" s="1"/>
  <c r="I19" i="47" s="1"/>
  <c r="E25" i="47"/>
  <c r="H25" i="47" s="1"/>
  <c r="I25" i="47" s="1"/>
  <c r="E24" i="47"/>
  <c r="H24" i="47" s="1"/>
  <c r="I24" i="47" s="1"/>
  <c r="E17" i="47"/>
  <c r="H17" i="47" s="1"/>
  <c r="I17" i="47" s="1"/>
  <c r="E15" i="47"/>
  <c r="H15" i="47" s="1"/>
  <c r="I15" i="47" s="1"/>
  <c r="E29" i="47"/>
  <c r="H29" i="47" s="1"/>
  <c r="I29" i="47" s="1"/>
  <c r="I111" i="44"/>
  <c r="E17" i="44"/>
  <c r="H17" i="44" s="1"/>
  <c r="I17" i="44" s="1"/>
  <c r="E22" i="44"/>
  <c r="H22" i="44" s="1"/>
  <c r="I22" i="44" s="1"/>
  <c r="E14" i="44"/>
  <c r="H14" i="44" s="1"/>
  <c r="I14" i="44" s="1"/>
  <c r="I111" i="43"/>
  <c r="E19" i="43"/>
  <c r="H19" i="43" s="1"/>
  <c r="I19" i="43" s="1"/>
  <c r="I110"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10" i="39"/>
  <c r="I109" i="39"/>
  <c r="E21" i="39"/>
  <c r="H21" i="39" s="1"/>
  <c r="I21" i="39" s="1"/>
  <c r="E20" i="37"/>
  <c r="H20" i="37" s="1"/>
  <c r="I20" i="37" s="1"/>
  <c r="E21" i="23"/>
  <c r="H21" i="23" s="1"/>
  <c r="I21" i="23" s="1"/>
  <c r="E15" i="35"/>
  <c r="E20" i="35"/>
  <c r="H20" i="35" s="1"/>
  <c r="I20" i="35" s="1"/>
  <c r="E20" i="34"/>
  <c r="E27" i="34"/>
  <c r="H27" i="34" s="1"/>
  <c r="I27" i="34" s="1"/>
  <c r="E23" i="33"/>
  <c r="H23" i="33" s="1"/>
  <c r="I23" i="33" s="1"/>
  <c r="E15" i="33"/>
  <c r="H15" i="33" s="1"/>
  <c r="I15" i="33" s="1"/>
  <c r="E22" i="33"/>
  <c r="E14" i="33"/>
  <c r="H14" i="33" s="1"/>
  <c r="I14" i="33" s="1"/>
  <c r="E29" i="33"/>
  <c r="H29" i="33" s="1"/>
  <c r="I29" i="33" s="1"/>
  <c r="E28" i="33"/>
  <c r="H28" i="33" s="1"/>
  <c r="I28" i="33" s="1"/>
  <c r="E27" i="32"/>
  <c r="H27" i="32" s="1"/>
  <c r="I27" i="32" s="1"/>
  <c r="E16" i="32"/>
  <c r="H16" i="32" s="1"/>
  <c r="I16" i="32" s="1"/>
  <c r="E22" i="28"/>
  <c r="H22" i="28" s="1"/>
  <c r="I22" i="28" s="1"/>
  <c r="I110" i="27"/>
  <c r="E29" i="27"/>
  <c r="H29" i="27" s="1"/>
  <c r="I29" i="27" s="1"/>
  <c r="E22" i="27"/>
  <c r="H22" i="27" s="1"/>
  <c r="I22" i="27" s="1"/>
  <c r="E14" i="27"/>
  <c r="H14" i="27" s="1"/>
  <c r="I14" i="27" s="1"/>
  <c r="E28" i="27"/>
  <c r="H28" i="27" s="1"/>
  <c r="I28" i="27" s="1"/>
  <c r="E27" i="27"/>
  <c r="H27" i="27" s="1"/>
  <c r="I27" i="27" s="1"/>
  <c r="E19" i="27"/>
  <c r="H19" i="27" s="1"/>
  <c r="I19" i="27" s="1"/>
  <c r="E18" i="27"/>
  <c r="H18" i="27" s="1"/>
  <c r="I18" i="27" s="1"/>
  <c r="I110" i="26"/>
  <c r="E28" i="26"/>
  <c r="H28" i="26" s="1"/>
  <c r="I28" i="26" s="1"/>
  <c r="E26" i="26"/>
  <c r="H26" i="26" s="1"/>
  <c r="I26" i="26" s="1"/>
  <c r="E15" i="26"/>
  <c r="H15" i="26" s="1"/>
  <c r="I15" i="26" s="1"/>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E20" i="18"/>
  <c r="E29" i="18"/>
  <c r="H29" i="18" s="1"/>
  <c r="I29" i="18" s="1"/>
  <c r="E28" i="18"/>
  <c r="H28" i="18" s="1"/>
  <c r="I28" i="18" s="1"/>
  <c r="E15" i="17"/>
  <c r="E22" i="17"/>
  <c r="H22" i="17" s="1"/>
  <c r="I22" i="17" s="1"/>
  <c r="E21" i="17"/>
  <c r="H21" i="17" s="1"/>
  <c r="I21" i="17" s="1"/>
  <c r="E28" i="17"/>
  <c r="H28" i="17" s="1"/>
  <c r="I28" i="17" s="1"/>
  <c r="E27" i="17"/>
  <c r="H27" i="17" s="1"/>
  <c r="I27" i="17" s="1"/>
  <c r="E17" i="17"/>
  <c r="H17" i="17" s="1"/>
  <c r="I17" i="17" s="1"/>
  <c r="E21" i="16"/>
  <c r="H21" i="16" s="1"/>
  <c r="I21" i="16" s="1"/>
  <c r="E26" i="16"/>
  <c r="H26" i="16" s="1"/>
  <c r="I26" i="16" s="1"/>
  <c r="E15" i="15"/>
  <c r="E24" i="15"/>
  <c r="H24" i="15" s="1"/>
  <c r="I24" i="15" s="1"/>
  <c r="E14" i="15"/>
  <c r="H14" i="15" s="1"/>
  <c r="I14" i="15" s="1"/>
  <c r="E178" i="60"/>
  <c r="E177" i="60"/>
  <c r="E179" i="60"/>
  <c r="I110" i="58"/>
  <c r="H18" i="43"/>
  <c r="I18" i="43" s="1"/>
  <c r="E40" i="31"/>
  <c r="I40" i="31" s="1"/>
  <c r="E39" i="31"/>
  <c r="I39" i="31" s="1"/>
  <c r="I110" i="69"/>
  <c r="H111" i="18"/>
  <c r="T111" i="18" s="1"/>
  <c r="I110" i="75"/>
  <c r="I110" i="31"/>
  <c r="I110"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H19" i="51" s="1"/>
  <c r="I19" i="51" s="1"/>
  <c r="E27" i="51"/>
  <c r="H27" i="51" s="1"/>
  <c r="I27" i="51" s="1"/>
  <c r="E24" i="57"/>
  <c r="H24" i="57" s="1"/>
  <c r="I24" i="57" s="1"/>
  <c r="E25" i="57"/>
  <c r="H25" i="57" s="1"/>
  <c r="I25" i="57" s="1"/>
  <c r="E19" i="57"/>
  <c r="H19" i="57" s="1"/>
  <c r="I19" i="57" s="1"/>
  <c r="T8" i="28"/>
  <c r="P94" i="28" s="1"/>
  <c r="E92" i="28"/>
  <c r="T8" i="27"/>
  <c r="P93" i="27" s="1"/>
  <c r="E92" i="27"/>
  <c r="T109" i="33"/>
  <c r="H111" i="33"/>
  <c r="T111" i="33" s="1"/>
  <c r="T8" i="40"/>
  <c r="P94" i="40" s="1"/>
  <c r="E92" i="40"/>
  <c r="E94" i="40"/>
  <c r="E38" i="27"/>
  <c r="I38" i="27" s="1"/>
  <c r="E40" i="27"/>
  <c r="I40" i="27" s="1"/>
  <c r="E39" i="27"/>
  <c r="I39" i="27" s="1"/>
  <c r="E43" i="27"/>
  <c r="I43" i="27" s="1"/>
  <c r="E42" i="27"/>
  <c r="I42" i="27" s="1"/>
  <c r="T109" i="34"/>
  <c r="H111" i="34"/>
  <c r="T111" i="34" s="1"/>
  <c r="E17" i="43"/>
  <c r="H17" i="43" s="1"/>
  <c r="I17" i="43" s="1"/>
  <c r="E23" i="43"/>
  <c r="H23" i="43" s="1"/>
  <c r="I23" i="43" s="1"/>
  <c r="E14" i="43"/>
  <c r="H14" i="43" s="1"/>
  <c r="I14" i="43" s="1"/>
  <c r="E24" i="43"/>
  <c r="H24" i="43" s="1"/>
  <c r="I24" i="43" s="1"/>
  <c r="E15" i="43"/>
  <c r="E29" i="43"/>
  <c r="H29" i="43" s="1"/>
  <c r="I29" i="43" s="1"/>
  <c r="E20" i="43"/>
  <c r="H20" i="43" s="1"/>
  <c r="I20" i="43" s="1"/>
  <c r="E40" i="69"/>
  <c r="I40" i="69" s="1"/>
  <c r="E41" i="69"/>
  <c r="I41" i="69" s="1"/>
  <c r="E38" i="69"/>
  <c r="I38" i="69" s="1"/>
  <c r="E39" i="69"/>
  <c r="I39" i="69" s="1"/>
  <c r="I110" i="32"/>
  <c r="I111" i="32"/>
  <c r="E14" i="56"/>
  <c r="H14" i="56" s="1"/>
  <c r="I14" i="56" s="1"/>
  <c r="E23" i="56"/>
  <c r="H23" i="56" s="1"/>
  <c r="I23" i="56" s="1"/>
  <c r="E22" i="56"/>
  <c r="H22" i="56" s="1"/>
  <c r="I22" i="56" s="1"/>
  <c r="E21" i="56"/>
  <c r="H21" i="56" s="1"/>
  <c r="I21" i="56" s="1"/>
  <c r="E24" i="56"/>
  <c r="H24" i="56" s="1"/>
  <c r="I24" i="56" s="1"/>
  <c r="E19" i="56"/>
  <c r="H19" i="56" s="1"/>
  <c r="I19" i="56" s="1"/>
  <c r="E15" i="56"/>
  <c r="E27" i="56"/>
  <c r="H27" i="56" s="1"/>
  <c r="I27" i="56" s="1"/>
  <c r="E17" i="56"/>
  <c r="H17" i="56" s="1"/>
  <c r="I17" i="56" s="1"/>
  <c r="E42" i="69"/>
  <c r="I42" i="69" s="1"/>
  <c r="E93" i="36"/>
  <c r="E92" i="36"/>
  <c r="E94" i="36"/>
  <c r="H16" i="18"/>
  <c r="I16" i="18" s="1"/>
  <c r="E38" i="34"/>
  <c r="I38" i="34" s="1"/>
  <c r="E41" i="34"/>
  <c r="I41" i="34" s="1"/>
  <c r="E18" i="23"/>
  <c r="H18" i="23" s="1"/>
  <c r="I18" i="23" s="1"/>
  <c r="E41" i="50"/>
  <c r="I41" i="50" s="1"/>
  <c r="E21" i="76"/>
  <c r="H21" i="76" s="1"/>
  <c r="I21" i="76" s="1"/>
  <c r="E27" i="76"/>
  <c r="H27" i="76" s="1"/>
  <c r="I27" i="76" s="1"/>
  <c r="E19" i="76"/>
  <c r="H19" i="76" s="1"/>
  <c r="I19" i="76" s="1"/>
  <c r="E29" i="76"/>
  <c r="H29" i="76" s="1"/>
  <c r="I29" i="76" s="1"/>
  <c r="E18" i="76"/>
  <c r="H18" i="76" s="1"/>
  <c r="I18" i="76" s="1"/>
  <c r="E28" i="76"/>
  <c r="H28" i="76" s="1"/>
  <c r="I28" i="76" s="1"/>
  <c r="E23" i="76"/>
  <c r="H23" i="76" s="1"/>
  <c r="I23" i="76" s="1"/>
  <c r="E15" i="76"/>
  <c r="E14" i="76"/>
  <c r="E24" i="76"/>
  <c r="H24" i="76" s="1"/>
  <c r="I24" i="76" s="1"/>
  <c r="E38" i="25"/>
  <c r="I38" i="25" s="1"/>
  <c r="E39" i="25"/>
  <c r="I39" i="25" s="1"/>
  <c r="E40" i="25"/>
  <c r="I40" i="25" s="1"/>
  <c r="E41" i="25"/>
  <c r="I41" i="25" s="1"/>
  <c r="E43" i="25"/>
  <c r="I43" i="25" s="1"/>
  <c r="E16" i="76"/>
  <c r="H16" i="76" s="1"/>
  <c r="I16" i="76" s="1"/>
  <c r="I110" i="67"/>
  <c r="E27" i="40"/>
  <c r="H27" i="40" s="1"/>
  <c r="I27" i="40" s="1"/>
  <c r="E23" i="40"/>
  <c r="H23" i="40" s="1"/>
  <c r="I23" i="40" s="1"/>
  <c r="E25" i="40"/>
  <c r="H25" i="40" s="1"/>
  <c r="I25" i="40" s="1"/>
  <c r="T109" i="48"/>
  <c r="H111" i="48"/>
  <c r="T111" i="48" s="1"/>
  <c r="T109" i="21"/>
  <c r="H111" i="21"/>
  <c r="T111" i="21" s="1"/>
  <c r="E23" i="36"/>
  <c r="H23" i="36" s="1"/>
  <c r="I23" i="36" s="1"/>
  <c r="E22" i="36"/>
  <c r="H22" i="36" s="1"/>
  <c r="I22" i="36" s="1"/>
  <c r="E24" i="36"/>
  <c r="H24" i="36" s="1"/>
  <c r="I24" i="36" s="1"/>
  <c r="I110" i="71"/>
  <c r="I111" i="71"/>
  <c r="E24" i="16"/>
  <c r="H24" i="16" s="1"/>
  <c r="I24" i="16" s="1"/>
  <c r="E17" i="16"/>
  <c r="H17" i="16" s="1"/>
  <c r="I17" i="16" s="1"/>
  <c r="E27" i="16"/>
  <c r="H27" i="16" s="1"/>
  <c r="I27" i="16" s="1"/>
  <c r="E20" i="16"/>
  <c r="H20" i="16" s="1"/>
  <c r="I20" i="16" s="1"/>
  <c r="E29" i="16"/>
  <c r="H29" i="16" s="1"/>
  <c r="I29" i="16" s="1"/>
  <c r="E19" i="16"/>
  <c r="H19" i="16" s="1"/>
  <c r="I19" i="16" s="1"/>
  <c r="E28" i="16"/>
  <c r="H28" i="16" s="1"/>
  <c r="I28" i="16" s="1"/>
  <c r="I110" i="20"/>
  <c r="E16" i="20"/>
  <c r="H16" i="20" s="1"/>
  <c r="I16" i="20" s="1"/>
  <c r="E23" i="20"/>
  <c r="H23" i="20" s="1"/>
  <c r="I23" i="20" s="1"/>
  <c r="E22" i="20"/>
  <c r="H22" i="20" s="1"/>
  <c r="I22" i="20" s="1"/>
  <c r="E18" i="20"/>
  <c r="H18" i="20" s="1"/>
  <c r="I18" i="20" s="1"/>
  <c r="E39" i="21"/>
  <c r="I39" i="21" s="1"/>
  <c r="E38" i="21"/>
  <c r="I38" i="21" s="1"/>
  <c r="E15" i="40"/>
  <c r="H15" i="40" s="1"/>
  <c r="I15" i="40" s="1"/>
  <c r="H27" i="44"/>
  <c r="I27" i="44" s="1"/>
  <c r="I110" i="50"/>
  <c r="E26" i="76"/>
  <c r="H26" i="76" s="1"/>
  <c r="I26" i="76" s="1"/>
  <c r="E41" i="58"/>
  <c r="I41" i="58" s="1"/>
  <c r="E40" i="58"/>
  <c r="I40" i="58" s="1"/>
  <c r="H24" i="69"/>
  <c r="I24" i="69" s="1"/>
  <c r="E14" i="69"/>
  <c r="H14" i="69" s="1"/>
  <c r="I14" i="69" s="1"/>
  <c r="E42" i="25"/>
  <c r="I42" i="25" s="1"/>
  <c r="E15" i="50"/>
  <c r="E39" i="32"/>
  <c r="I39" i="32" s="1"/>
  <c r="E38" i="32"/>
  <c r="I38" i="32" s="1"/>
  <c r="E43" i="32"/>
  <c r="I43" i="32" s="1"/>
  <c r="E40" i="32"/>
  <c r="I40" i="32" s="1"/>
  <c r="E41" i="32"/>
  <c r="I41" i="32" s="1"/>
  <c r="E17" i="35"/>
  <c r="H17" i="35" s="1"/>
  <c r="I17" i="35" s="1"/>
  <c r="E14" i="35"/>
  <c r="H14" i="35" s="1"/>
  <c r="I14" i="35" s="1"/>
  <c r="E23" i="35"/>
  <c r="H23" i="35" s="1"/>
  <c r="I23" i="35" s="1"/>
  <c r="E18" i="35"/>
  <c r="H18" i="35" s="1"/>
  <c r="I18" i="35" s="1"/>
  <c r="E28" i="35"/>
  <c r="H28" i="35" s="1"/>
  <c r="I28" i="35" s="1"/>
  <c r="E29" i="35"/>
  <c r="H29" i="35" s="1"/>
  <c r="I29" i="35" s="1"/>
  <c r="E15" i="36"/>
  <c r="E29" i="40"/>
  <c r="H29" i="40" s="1"/>
  <c r="I29" i="40" s="1"/>
  <c r="I111" i="67"/>
  <c r="I110" i="77"/>
  <c r="I109" i="77"/>
  <c r="E15" i="77"/>
  <c r="E25" i="77"/>
  <c r="H25" i="77" s="1"/>
  <c r="I25" i="77" s="1"/>
  <c r="I110" i="38"/>
  <c r="T110" i="38"/>
  <c r="E15" i="23"/>
  <c r="E22" i="23"/>
  <c r="H22" i="23" s="1"/>
  <c r="I22" i="23" s="1"/>
  <c r="E23" i="23"/>
  <c r="H23" i="23" s="1"/>
  <c r="I23" i="23" s="1"/>
  <c r="E26" i="23"/>
  <c r="H26" i="23" s="1"/>
  <c r="I26" i="23" s="1"/>
  <c r="E16" i="23"/>
  <c r="H16" i="23" s="1"/>
  <c r="I16" i="23" s="1"/>
  <c r="T109" i="26"/>
  <c r="H111" i="26"/>
  <c r="E42" i="50"/>
  <c r="I42" i="50" s="1"/>
  <c r="E25" i="69"/>
  <c r="H25" i="69" s="1"/>
  <c r="I25" i="69" s="1"/>
  <c r="E29" i="69"/>
  <c r="H29" i="69" s="1"/>
  <c r="I29" i="69" s="1"/>
  <c r="E19" i="69"/>
  <c r="H19" i="69" s="1"/>
  <c r="I19" i="69" s="1"/>
  <c r="E28" i="69"/>
  <c r="H28" i="69" s="1"/>
  <c r="I28" i="69" s="1"/>
  <c r="E20" i="69"/>
  <c r="H20" i="69" s="1"/>
  <c r="I20" i="69" s="1"/>
  <c r="E16" i="69"/>
  <c r="H16" i="69" s="1"/>
  <c r="I16" i="69" s="1"/>
  <c r="E26" i="69"/>
  <c r="H26" i="69" s="1"/>
  <c r="I26" i="69" s="1"/>
  <c r="E18" i="69"/>
  <c r="H18" i="69" s="1"/>
  <c r="I18" i="69" s="1"/>
  <c r="E25" i="68"/>
  <c r="H25" i="68" s="1"/>
  <c r="I25" i="68" s="1"/>
  <c r="E17" i="68"/>
  <c r="E18" i="68"/>
  <c r="H18" i="68" s="1"/>
  <c r="I18" i="68" s="1"/>
  <c r="E19" i="68"/>
  <c r="H19" i="68" s="1"/>
  <c r="I19" i="68" s="1"/>
  <c r="I110" i="30"/>
  <c r="T8" i="30"/>
  <c r="P92" i="30" s="1"/>
  <c r="E93" i="30"/>
  <c r="T109" i="16"/>
  <c r="H111" i="16"/>
  <c r="I110" i="24"/>
  <c r="E28" i="39"/>
  <c r="H28" i="39" s="1"/>
  <c r="I28" i="39" s="1"/>
  <c r="E24" i="39"/>
  <c r="H24" i="39" s="1"/>
  <c r="I24" i="39" s="1"/>
  <c r="E14" i="39"/>
  <c r="H14" i="39" s="1"/>
  <c r="I14" i="39" s="1"/>
  <c r="E16" i="39"/>
  <c r="H16" i="39" s="1"/>
  <c r="I16" i="39" s="1"/>
  <c r="E27" i="39"/>
  <c r="H27" i="39" s="1"/>
  <c r="I27" i="39" s="1"/>
  <c r="E29" i="39"/>
  <c r="H29" i="39" s="1"/>
  <c r="I29" i="39" s="1"/>
  <c r="E17" i="39"/>
  <c r="H17" i="39" s="1"/>
  <c r="I17" i="39" s="1"/>
  <c r="E19" i="39"/>
  <c r="H19" i="39" s="1"/>
  <c r="I19" i="39" s="1"/>
  <c r="E39" i="50"/>
  <c r="I39" i="50" s="1"/>
  <c r="H111" i="51"/>
  <c r="T111" i="51" s="1"/>
  <c r="E17" i="76"/>
  <c r="H111" i="70"/>
  <c r="T111" i="70" s="1"/>
  <c r="T109" i="70"/>
  <c r="E28" i="23"/>
  <c r="H28" i="23" s="1"/>
  <c r="I28" i="23" s="1"/>
  <c r="E38" i="50"/>
  <c r="I38" i="50" s="1"/>
  <c r="E16" i="67"/>
  <c r="H16" i="67" s="1"/>
  <c r="I16" i="67" s="1"/>
  <c r="E26" i="67"/>
  <c r="H26" i="67" s="1"/>
  <c r="I26" i="67" s="1"/>
  <c r="E15" i="67"/>
  <c r="E27" i="23"/>
  <c r="H27" i="23" s="1"/>
  <c r="I27" i="23" s="1"/>
  <c r="E15" i="69"/>
  <c r="H15" i="69" s="1"/>
  <c r="I15" i="69" s="1"/>
  <c r="E18" i="18"/>
  <c r="H18" i="18" s="1"/>
  <c r="I18" i="18" s="1"/>
  <c r="E22" i="18"/>
  <c r="H22" i="18" s="1"/>
  <c r="I22" i="18" s="1"/>
  <c r="E14" i="18"/>
  <c r="H14" i="18" s="1"/>
  <c r="I14" i="18" s="1"/>
  <c r="E26" i="18"/>
  <c r="H26" i="18" s="1"/>
  <c r="I26" i="18" s="1"/>
  <c r="E43" i="21"/>
  <c r="I43" i="21" s="1"/>
  <c r="I110" i="35"/>
  <c r="E29" i="36"/>
  <c r="H29" i="36" s="1"/>
  <c r="I29" i="36" s="1"/>
  <c r="E14" i="40"/>
  <c r="H14" i="40" s="1"/>
  <c r="I14" i="40" s="1"/>
  <c r="H111" i="47"/>
  <c r="I111" i="47" s="1"/>
  <c r="T109" i="47"/>
  <c r="E14" i="48"/>
  <c r="H14" i="48" s="1"/>
  <c r="I14" i="48" s="1"/>
  <c r="E17" i="48"/>
  <c r="H17" i="48" s="1"/>
  <c r="I17" i="48" s="1"/>
  <c r="E27" i="48"/>
  <c r="H27" i="48" s="1"/>
  <c r="I27" i="48" s="1"/>
  <c r="E18" i="48"/>
  <c r="H18" i="48" s="1"/>
  <c r="I18" i="48" s="1"/>
  <c r="E28" i="48"/>
  <c r="H28" i="48" s="1"/>
  <c r="I28" i="48" s="1"/>
  <c r="E19" i="75"/>
  <c r="H19" i="75" s="1"/>
  <c r="I19" i="75" s="1"/>
  <c r="E28" i="75"/>
  <c r="H28" i="75" s="1"/>
  <c r="I28" i="75" s="1"/>
  <c r="E27" i="75"/>
  <c r="H27" i="75" s="1"/>
  <c r="I27" i="75" s="1"/>
  <c r="E24" i="75"/>
  <c r="H24" i="75" s="1"/>
  <c r="I24" i="75" s="1"/>
  <c r="E26" i="75"/>
  <c r="H26" i="75" s="1"/>
  <c r="I26" i="75" s="1"/>
  <c r="E43" i="58"/>
  <c r="I43" i="58" s="1"/>
  <c r="E15" i="32"/>
  <c r="E23" i="32"/>
  <c r="H23" i="32" s="1"/>
  <c r="I23" i="32" s="1"/>
  <c r="E24" i="32"/>
  <c r="H24" i="32" s="1"/>
  <c r="I24" i="32" s="1"/>
  <c r="E15" i="71"/>
  <c r="E17" i="71"/>
  <c r="E18" i="71"/>
  <c r="H18" i="71" s="1"/>
  <c r="I18" i="71" s="1"/>
  <c r="E27" i="71"/>
  <c r="H27" i="71" s="1"/>
  <c r="I27" i="71" s="1"/>
  <c r="E28" i="71"/>
  <c r="H28" i="71" s="1"/>
  <c r="I28" i="71" s="1"/>
  <c r="E19" i="15"/>
  <c r="H19" i="15" s="1"/>
  <c r="I19" i="15" s="1"/>
  <c r="E41" i="36"/>
  <c r="I41" i="36" s="1"/>
  <c r="E42" i="36"/>
  <c r="I42" i="36" s="1"/>
  <c r="E43" i="36"/>
  <c r="I43" i="36" s="1"/>
  <c r="E43" i="28"/>
  <c r="I43" i="28" s="1"/>
  <c r="E19" i="32"/>
  <c r="E42" i="38"/>
  <c r="I42" i="38" s="1"/>
  <c r="I110" i="66"/>
  <c r="E19" i="71"/>
  <c r="H19" i="71" s="1"/>
  <c r="I19" i="71" s="1"/>
  <c r="E18" i="78"/>
  <c r="H18" i="78" s="1"/>
  <c r="I18" i="78" s="1"/>
  <c r="E27" i="78"/>
  <c r="H27" i="78" s="1"/>
  <c r="I27" i="78" s="1"/>
  <c r="E15" i="78"/>
  <c r="E18" i="15"/>
  <c r="H18" i="15" s="1"/>
  <c r="I18" i="15" s="1"/>
  <c r="E41" i="18"/>
  <c r="I41" i="18" s="1"/>
  <c r="E42" i="18"/>
  <c r="I42" i="18" s="1"/>
  <c r="E43" i="18"/>
  <c r="I43" i="18" s="1"/>
  <c r="E42" i="28"/>
  <c r="I42" i="28" s="1"/>
  <c r="E29" i="32"/>
  <c r="H29" i="32" s="1"/>
  <c r="I29" i="32" s="1"/>
  <c r="I110" i="33"/>
  <c r="E40" i="36"/>
  <c r="I40" i="36" s="1"/>
  <c r="T102" i="37"/>
  <c r="U102" i="37" s="1"/>
  <c r="E41" i="38"/>
  <c r="I41" i="38" s="1"/>
  <c r="E41" i="42"/>
  <c r="I41" i="42" s="1"/>
  <c r="E93" i="43"/>
  <c r="I110" i="47"/>
  <c r="E42" i="51"/>
  <c r="I42" i="51" s="1"/>
  <c r="I109" i="52"/>
  <c r="E43" i="76"/>
  <c r="I43" i="76" s="1"/>
  <c r="E40" i="66"/>
  <c r="I40" i="66" s="1"/>
  <c r="E16" i="70"/>
  <c r="H16" i="70" s="1"/>
  <c r="I16" i="70" s="1"/>
  <c r="E24" i="70"/>
  <c r="H24" i="70" s="1"/>
  <c r="I24" i="70" s="1"/>
  <c r="E15" i="70"/>
  <c r="E25" i="70"/>
  <c r="H25" i="70" s="1"/>
  <c r="I25" i="70" s="1"/>
  <c r="E29" i="71"/>
  <c r="H29" i="71" s="1"/>
  <c r="I29" i="71" s="1"/>
  <c r="E19" i="78"/>
  <c r="E19" i="34"/>
  <c r="H19" i="34" s="1"/>
  <c r="I19" i="34" s="1"/>
  <c r="E17" i="34"/>
  <c r="H17" i="34" s="1"/>
  <c r="I17" i="34" s="1"/>
  <c r="E29" i="34"/>
  <c r="H29" i="34" s="1"/>
  <c r="I29" i="34" s="1"/>
  <c r="T109" i="37"/>
  <c r="H111" i="37"/>
  <c r="T111" i="37" s="1"/>
  <c r="I111" i="42"/>
  <c r="E38" i="47"/>
  <c r="I38" i="47" s="1"/>
  <c r="E40" i="47"/>
  <c r="I40" i="47" s="1"/>
  <c r="E39" i="47"/>
  <c r="I39" i="47" s="1"/>
  <c r="E43" i="66"/>
  <c r="I43" i="66" s="1"/>
  <c r="I110" i="18"/>
  <c r="E29" i="24"/>
  <c r="H29" i="24" s="1"/>
  <c r="I29" i="24" s="1"/>
  <c r="E41" i="28"/>
  <c r="I41" i="28" s="1"/>
  <c r="E18" i="32"/>
  <c r="H18" i="32" s="1"/>
  <c r="I18" i="32" s="1"/>
  <c r="E21" i="33"/>
  <c r="H21" i="33" s="1"/>
  <c r="I21" i="33" s="1"/>
  <c r="E26" i="33"/>
  <c r="H26" i="33" s="1"/>
  <c r="I26" i="33" s="1"/>
  <c r="E17" i="33"/>
  <c r="H17" i="33" s="1"/>
  <c r="I17" i="33" s="1"/>
  <c r="E18" i="33"/>
  <c r="H18" i="33" s="1"/>
  <c r="I18" i="33" s="1"/>
  <c r="E27" i="33"/>
  <c r="H27" i="33" s="1"/>
  <c r="I27" i="33" s="1"/>
  <c r="H111" i="35"/>
  <c r="I111" i="35" s="1"/>
  <c r="T109"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E25" i="15"/>
  <c r="H25" i="15" s="1"/>
  <c r="I25" i="15" s="1"/>
  <c r="E21" i="15"/>
  <c r="H21" i="15" s="1"/>
  <c r="I21" i="15" s="1"/>
  <c r="E23" i="15"/>
  <c r="H23" i="15" s="1"/>
  <c r="I23" i="15" s="1"/>
  <c r="I110" i="34"/>
  <c r="F479" i="64"/>
  <c r="G479" i="64" s="1"/>
  <c r="E39" i="17"/>
  <c r="I39" i="17" s="1"/>
  <c r="E42" i="17"/>
  <c r="I42" i="17" s="1"/>
  <c r="E16" i="26"/>
  <c r="H16" i="26" s="1"/>
  <c r="I16" i="26" s="1"/>
  <c r="E40" i="28"/>
  <c r="I40" i="28" s="1"/>
  <c r="E28" i="32"/>
  <c r="H28" i="32" s="1"/>
  <c r="I28" i="32" s="1"/>
  <c r="E38" i="36"/>
  <c r="I38" i="36" s="1"/>
  <c r="E38" i="38"/>
  <c r="I38" i="38" s="1"/>
  <c r="E19" i="42"/>
  <c r="H19" i="42" s="1"/>
  <c r="I19" i="42" s="1"/>
  <c r="E17" i="42"/>
  <c r="H17" i="42" s="1"/>
  <c r="I17" i="42" s="1"/>
  <c r="E16" i="42"/>
  <c r="H16" i="42" s="1"/>
  <c r="I16" i="42" s="1"/>
  <c r="E26" i="42"/>
  <c r="H26" i="42" s="1"/>
  <c r="I26" i="42" s="1"/>
  <c r="E21" i="42"/>
  <c r="H21" i="42" s="1"/>
  <c r="I21" i="42" s="1"/>
  <c r="I110" i="43"/>
  <c r="E42" i="47"/>
  <c r="I42" i="47" s="1"/>
  <c r="E39" i="51"/>
  <c r="I39" i="51" s="1"/>
  <c r="H22" i="76"/>
  <c r="I22" i="76" s="1"/>
  <c r="E19" i="70"/>
  <c r="I110" i="78"/>
  <c r="E92" i="23"/>
  <c r="E14" i="52"/>
  <c r="E17" i="55"/>
  <c r="H17" i="55" s="1"/>
  <c r="I17" i="55" s="1"/>
  <c r="E20" i="44"/>
  <c r="H20" i="44" s="1"/>
  <c r="I20" i="44" s="1"/>
  <c r="E41" i="16"/>
  <c r="I41" i="16" s="1"/>
  <c r="E42" i="26"/>
  <c r="I42" i="26" s="1"/>
  <c r="E42" i="35"/>
  <c r="I42" i="35" s="1"/>
  <c r="E41" i="23"/>
  <c r="I41" i="23" s="1"/>
  <c r="E43" i="40"/>
  <c r="I43" i="40" s="1"/>
  <c r="E42" i="45"/>
  <c r="I42" i="45" s="1"/>
  <c r="E38" i="16"/>
  <c r="I38" i="16" s="1"/>
  <c r="H22" i="16"/>
  <c r="I22"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F483" i="64"/>
  <c r="G483" i="64" s="1"/>
  <c r="F475" i="64"/>
  <c r="G475" i="64" s="1"/>
  <c r="E39" i="7"/>
  <c r="I39" i="7" s="1"/>
  <c r="E94" i="24"/>
  <c r="E94" i="26"/>
  <c r="E94" i="31"/>
  <c r="E93" i="20"/>
  <c r="E92" i="35"/>
  <c r="E93" i="26"/>
  <c r="E93" i="31"/>
  <c r="E92" i="24"/>
  <c r="T8" i="24"/>
  <c r="E92" i="31"/>
  <c r="E94" i="28"/>
  <c r="E93" i="28"/>
  <c r="E94" i="35"/>
  <c r="E94" i="68"/>
  <c r="E94" i="30"/>
  <c r="E94" i="66"/>
  <c r="T8" i="23"/>
  <c r="P94" i="23" s="1"/>
  <c r="E92" i="66"/>
  <c r="T8" i="66"/>
  <c r="P94" i="66" s="1"/>
  <c r="E26" i="7"/>
  <c r="H26" i="7" s="1"/>
  <c r="E94" i="17"/>
  <c r="E94" i="21"/>
  <c r="E94" i="52"/>
  <c r="E94" i="77"/>
  <c r="E23" i="7"/>
  <c r="H23" i="7" s="1"/>
  <c r="E20" i="7"/>
  <c r="H20" i="7" s="1"/>
  <c r="E94" i="45"/>
  <c r="E93" i="52"/>
  <c r="E92" i="17"/>
  <c r="T8" i="50"/>
  <c r="E94" i="22"/>
  <c r="E94" i="27"/>
  <c r="E92" i="43"/>
  <c r="E93" i="45"/>
  <c r="E92" i="26"/>
  <c r="E94" i="50"/>
  <c r="E93" i="58"/>
  <c r="E92" i="30"/>
  <c r="E93" i="27"/>
  <c r="E92" i="45"/>
  <c r="E29" i="7"/>
  <c r="H29" i="7" s="1"/>
  <c r="E93" i="40"/>
  <c r="P93" i="20"/>
  <c r="P92" i="20"/>
  <c r="P92" i="43"/>
  <c r="P94" i="43"/>
  <c r="E43" i="7"/>
  <c r="I43" i="7" s="1"/>
  <c r="E28" i="7"/>
  <c r="H28" i="7" s="1"/>
  <c r="E22" i="7"/>
  <c r="H22" i="7" s="1"/>
  <c r="T102" i="45"/>
  <c r="U102" i="45" s="1"/>
  <c r="E42" i="7"/>
  <c r="I42" i="7" s="1"/>
  <c r="E93" i="21"/>
  <c r="E41" i="7"/>
  <c r="I41" i="7" s="1"/>
  <c r="E92" i="20"/>
  <c r="T101" i="33"/>
  <c r="H22" i="37"/>
  <c r="I22" i="37" s="1"/>
  <c r="E93" i="50"/>
  <c r="E40" i="7"/>
  <c r="I40" i="7" s="1"/>
  <c r="E27" i="7"/>
  <c r="H27" i="7" s="1"/>
  <c r="E21" i="7"/>
  <c r="H21" i="7" s="1"/>
  <c r="T8" i="21"/>
  <c r="P94" i="21" s="1"/>
  <c r="T102" i="31"/>
  <c r="U102" i="31" s="1"/>
  <c r="E19" i="7"/>
  <c r="H19" i="7" s="1"/>
  <c r="T8" i="17"/>
  <c r="P92" i="17" s="1"/>
  <c r="I102" i="35"/>
  <c r="E18" i="7"/>
  <c r="H18" i="7" s="1"/>
  <c r="E25" i="7"/>
  <c r="H25" i="7" s="1"/>
  <c r="E14" i="7"/>
  <c r="H14" i="7" s="1"/>
  <c r="E94" i="25"/>
  <c r="D44" i="60"/>
  <c r="E24" i="7"/>
  <c r="H24" i="7" s="1"/>
  <c r="E94" i="15"/>
  <c r="T8" i="15"/>
  <c r="P94" i="15" s="1"/>
  <c r="T101" i="16"/>
  <c r="E94" i="20"/>
  <c r="E93" i="25"/>
  <c r="I102" i="71"/>
  <c r="P92" i="70"/>
  <c r="P93" i="70"/>
  <c r="P94" i="70"/>
  <c r="P92" i="26"/>
  <c r="P93" i="26"/>
  <c r="P94" i="26"/>
  <c r="T102" i="18"/>
  <c r="U102" i="18" s="1"/>
  <c r="H24" i="35"/>
  <c r="I24" i="35" s="1"/>
  <c r="E94" i="38"/>
  <c r="E92" i="58"/>
  <c r="P93" i="43"/>
  <c r="P94" i="51"/>
  <c r="E94" i="70"/>
  <c r="I102" i="17"/>
  <c r="E93" i="38"/>
  <c r="T8" i="38"/>
  <c r="P93" i="51"/>
  <c r="E93" i="70"/>
  <c r="D30" i="60"/>
  <c r="E31" i="60" s="1"/>
  <c r="H26" i="39"/>
  <c r="I26" i="39" s="1"/>
  <c r="E93" i="51"/>
  <c r="I102" i="34"/>
  <c r="T8" i="68"/>
  <c r="P93" i="68" s="1"/>
  <c r="T102" i="26"/>
  <c r="U102" i="26" s="1"/>
  <c r="H19" i="35"/>
  <c r="I19" i="35" s="1"/>
  <c r="E92" i="51"/>
  <c r="E92" i="70"/>
  <c r="E94" i="58"/>
  <c r="I101" i="47"/>
  <c r="I101" i="55"/>
  <c r="P93" i="31"/>
  <c r="P94" i="31"/>
  <c r="P92" i="31"/>
  <c r="P94" i="35"/>
  <c r="P92" i="35"/>
  <c r="P93" i="35"/>
  <c r="E93" i="15"/>
  <c r="E93" i="37"/>
  <c r="T8" i="37"/>
  <c r="P94" i="37" s="1"/>
  <c r="E94" i="37"/>
  <c r="T8" i="69"/>
  <c r="E94" i="69"/>
  <c r="E92" i="69"/>
  <c r="E93" i="69"/>
  <c r="T8" i="75"/>
  <c r="E92" i="75"/>
  <c r="E93" i="75"/>
  <c r="E94" i="75"/>
  <c r="E94" i="71"/>
  <c r="E92" i="71"/>
  <c r="E93" i="71"/>
  <c r="T8" i="76"/>
  <c r="P94" i="76" s="1"/>
  <c r="E92" i="76"/>
  <c r="E93" i="76"/>
  <c r="E94" i="76"/>
  <c r="P94" i="58"/>
  <c r="P92" i="58"/>
  <c r="P93" i="58"/>
  <c r="P93" i="18"/>
  <c r="H18" i="26"/>
  <c r="I18" i="26" s="1"/>
  <c r="I102" i="58"/>
  <c r="T8" i="33"/>
  <c r="P94" i="33" s="1"/>
  <c r="E93" i="68"/>
  <c r="I101" i="25"/>
  <c r="P94" i="25"/>
  <c r="T8" i="36"/>
  <c r="I102" i="67"/>
  <c r="P92" i="18"/>
  <c r="E93" i="77"/>
  <c r="H25" i="28"/>
  <c r="I25" i="28" s="1"/>
  <c r="I101" i="31"/>
  <c r="T101" i="40"/>
  <c r="T102" i="52"/>
  <c r="U102" i="52" s="1"/>
  <c r="I101" i="17"/>
  <c r="T8" i="22"/>
  <c r="P92" i="22" s="1"/>
  <c r="H29" i="52"/>
  <c r="I29" i="52" s="1"/>
  <c r="H28" i="58"/>
  <c r="I28" i="58" s="1"/>
  <c r="E92" i="77"/>
  <c r="E94" i="78"/>
  <c r="I101" i="18"/>
  <c r="H20" i="20"/>
  <c r="I20" i="20" s="1"/>
  <c r="P93" i="25"/>
  <c r="I101" i="48"/>
  <c r="E93" i="22"/>
  <c r="H20" i="18"/>
  <c r="I20" i="18" s="1"/>
  <c r="E93" i="78"/>
  <c r="I102" i="66"/>
  <c r="H20" i="70"/>
  <c r="I20" i="70" s="1"/>
  <c r="T102" i="24"/>
  <c r="U102" i="24" s="1"/>
  <c r="T102" i="27"/>
  <c r="U102" i="27" s="1"/>
  <c r="I102" i="55"/>
  <c r="I102" i="30"/>
  <c r="T102" i="32"/>
  <c r="U102" i="32" s="1"/>
  <c r="T102" i="38"/>
  <c r="U102" i="38" s="1"/>
  <c r="T102" i="48"/>
  <c r="U102" i="48" s="1"/>
  <c r="I102" i="56"/>
  <c r="T102" i="77"/>
  <c r="U102" i="77" s="1"/>
  <c r="I102" i="15"/>
  <c r="T102" i="40"/>
  <c r="U102" i="40" s="1"/>
  <c r="T102" i="78"/>
  <c r="U102" i="78" s="1"/>
  <c r="T102" i="22"/>
  <c r="U102" i="22" s="1"/>
  <c r="T102" i="42"/>
  <c r="U102" i="42" s="1"/>
  <c r="I102" i="75"/>
  <c r="T101" i="27"/>
  <c r="T101" i="30"/>
  <c r="I101" i="50"/>
  <c r="I101" i="57"/>
  <c r="I101" i="67"/>
  <c r="T101" i="32"/>
  <c r="T101" i="42"/>
  <c r="T101" i="51"/>
  <c r="T101" i="52"/>
  <c r="I101" i="15"/>
  <c r="T101" i="69"/>
  <c r="T101" i="71"/>
  <c r="T101" i="56"/>
  <c r="I101" i="77"/>
  <c r="I101" i="23"/>
  <c r="T101" i="39"/>
  <c r="T101" i="75"/>
  <c r="T101" i="76"/>
  <c r="I101" i="66"/>
  <c r="I101" i="78"/>
  <c r="F488" i="64"/>
  <c r="G488" i="64" s="1"/>
  <c r="E39" i="15"/>
  <c r="I39" i="15" s="1"/>
  <c r="E42" i="15"/>
  <c r="I42" i="15" s="1"/>
  <c r="E40" i="15"/>
  <c r="I40" i="15" s="1"/>
  <c r="E43" i="15"/>
  <c r="I43" i="15" s="1"/>
  <c r="E38" i="15"/>
  <c r="I38" i="15" s="1"/>
  <c r="E41" i="15"/>
  <c r="I41" i="15" s="1"/>
  <c r="T8" i="16"/>
  <c r="E92" i="16"/>
  <c r="E94" i="16"/>
  <c r="E17" i="22"/>
  <c r="E27" i="22"/>
  <c r="H27" i="22" s="1"/>
  <c r="I27" i="22" s="1"/>
  <c r="E14" i="22"/>
  <c r="E29" i="22"/>
  <c r="H29" i="22" s="1"/>
  <c r="I29" i="22" s="1"/>
  <c r="E19" i="22"/>
  <c r="E24" i="22"/>
  <c r="H24" i="22" s="1"/>
  <c r="I24" i="22" s="1"/>
  <c r="E21" i="22"/>
  <c r="H21" i="22" s="1"/>
  <c r="I21" i="22" s="1"/>
  <c r="E15" i="22"/>
  <c r="E22" i="22"/>
  <c r="H22" i="22" s="1"/>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F487" i="64"/>
  <c r="G487" i="64" s="1"/>
  <c r="F478" i="64"/>
  <c r="G478" i="64" s="1"/>
  <c r="F486" i="64"/>
  <c r="G486" i="64" s="1"/>
  <c r="T111" i="17"/>
  <c r="F477" i="64"/>
  <c r="G477" i="64" s="1"/>
  <c r="H111" i="7"/>
  <c r="T109" i="7"/>
  <c r="F485" i="64"/>
  <c r="G485" i="64" s="1"/>
  <c r="F476" i="64"/>
  <c r="G476" i="64" s="1"/>
  <c r="R78" i="15"/>
  <c r="E93" i="16"/>
  <c r="F484" i="64"/>
  <c r="G484" i="64" s="1"/>
  <c r="I102" i="16"/>
  <c r="T102" i="16"/>
  <c r="U102" i="16" s="1"/>
  <c r="I110" i="17"/>
  <c r="I111" i="17"/>
  <c r="F472" i="64"/>
  <c r="G472" i="64" s="1"/>
  <c r="F473" i="64"/>
  <c r="G473" i="64" s="1"/>
  <c r="F474" i="64"/>
  <c r="G474" i="64" s="1"/>
  <c r="F469" i="64"/>
  <c r="F470" i="64"/>
  <c r="G470" i="64" s="1"/>
  <c r="F482" i="64"/>
  <c r="G482" i="64" s="1"/>
  <c r="T110" i="15"/>
  <c r="I110" i="15"/>
  <c r="F481" i="64"/>
  <c r="G481" i="64" s="1"/>
  <c r="F471" i="64"/>
  <c r="G471" i="64" s="1"/>
  <c r="C30" i="60"/>
  <c r="C32" i="60" s="1"/>
  <c r="R85" i="18"/>
  <c r="F480" i="64"/>
  <c r="G480" i="64" s="1"/>
  <c r="C44" i="60"/>
  <c r="E18" i="25"/>
  <c r="H18" i="25" s="1"/>
  <c r="I18" i="25" s="1"/>
  <c r="E23" i="25"/>
  <c r="H23" i="25" s="1"/>
  <c r="I23" i="25" s="1"/>
  <c r="E15" i="25"/>
  <c r="E17" i="25"/>
  <c r="E27" i="25"/>
  <c r="H27" i="25" s="1"/>
  <c r="I27" i="25" s="1"/>
  <c r="E20" i="25"/>
  <c r="H20" i="25" s="1"/>
  <c r="I20" i="25" s="1"/>
  <c r="E14" i="25"/>
  <c r="E16" i="25"/>
  <c r="H16" i="25" s="1"/>
  <c r="I16" i="25" s="1"/>
  <c r="E29" i="25"/>
  <c r="H29" i="25" s="1"/>
  <c r="I29" i="25" s="1"/>
  <c r="E25" i="25"/>
  <c r="H25" i="25" s="1"/>
  <c r="I25" i="25" s="1"/>
  <c r="E19" i="25"/>
  <c r="E21" i="25"/>
  <c r="H21" i="25" s="1"/>
  <c r="I21" i="25" s="1"/>
  <c r="E28" i="25"/>
  <c r="H28" i="25" s="1"/>
  <c r="I28" i="25" s="1"/>
  <c r="E26" i="25"/>
  <c r="H26" i="25" s="1"/>
  <c r="I26" i="25" s="1"/>
  <c r="E24" i="25"/>
  <c r="H24" i="25" s="1"/>
  <c r="I24" i="25" s="1"/>
  <c r="E16" i="7"/>
  <c r="E28" i="15"/>
  <c r="I110" i="21"/>
  <c r="T111" i="28"/>
  <c r="E43" i="16"/>
  <c r="I43" i="16" s="1"/>
  <c r="E40" i="16"/>
  <c r="I40" i="16" s="1"/>
  <c r="P94" i="7"/>
  <c r="E17" i="7"/>
  <c r="H111" i="15"/>
  <c r="E22" i="15"/>
  <c r="T110" i="16"/>
  <c r="E14" i="16"/>
  <c r="E16" i="16"/>
  <c r="H16" i="16" s="1"/>
  <c r="I16" i="16" s="1"/>
  <c r="E18" i="16"/>
  <c r="H18" i="16" s="1"/>
  <c r="I18" i="16" s="1"/>
  <c r="E25" i="16"/>
  <c r="E40" i="17"/>
  <c r="I40" i="17" s="1"/>
  <c r="E27" i="15"/>
  <c r="E17" i="15"/>
  <c r="R76" i="16"/>
  <c r="R71" i="16"/>
  <c r="E42" i="16"/>
  <c r="I42" i="16" s="1"/>
  <c r="E20" i="15"/>
  <c r="E23" i="16"/>
  <c r="E15" i="16"/>
  <c r="T110" i="18"/>
  <c r="I102" i="20"/>
  <c r="H111" i="25"/>
  <c r="T109" i="25"/>
  <c r="T111" i="24"/>
  <c r="E38" i="17"/>
  <c r="I38" i="17" s="1"/>
  <c r="E41" i="17"/>
  <c r="I41" i="17" s="1"/>
  <c r="I101" i="20"/>
  <c r="T101" i="20"/>
  <c r="R78" i="21"/>
  <c r="E23" i="17"/>
  <c r="H23" i="17" s="1"/>
  <c r="I23" i="17" s="1"/>
  <c r="E18" i="17"/>
  <c r="H18" i="17" s="1"/>
  <c r="I18" i="17" s="1"/>
  <c r="E21" i="18"/>
  <c r="P94" i="20"/>
  <c r="E24" i="20"/>
  <c r="H24" i="20" s="1"/>
  <c r="I24" i="20" s="1"/>
  <c r="E19" i="20"/>
  <c r="I101" i="21"/>
  <c r="E27" i="21"/>
  <c r="H27" i="21" s="1"/>
  <c r="I27" i="21" s="1"/>
  <c r="E17" i="21"/>
  <c r="H111" i="31"/>
  <c r="T109" i="31"/>
  <c r="I101" i="22"/>
  <c r="T101" i="22"/>
  <c r="E25" i="21"/>
  <c r="H25" i="21" s="1"/>
  <c r="I25" i="21" s="1"/>
  <c r="T102" i="25"/>
  <c r="U102" i="25" s="1"/>
  <c r="E26" i="17"/>
  <c r="H26" i="17" s="1"/>
  <c r="I26" i="17" s="1"/>
  <c r="E16" i="17"/>
  <c r="H16" i="17" s="1"/>
  <c r="I16" i="17" s="1"/>
  <c r="T109" i="18"/>
  <c r="E24" i="18"/>
  <c r="H24" i="18" s="1"/>
  <c r="I24" i="18" s="1"/>
  <c r="E19" i="18"/>
  <c r="I111" i="20"/>
  <c r="E27" i="20"/>
  <c r="H27" i="20" s="1"/>
  <c r="I27" i="20" s="1"/>
  <c r="E17" i="20"/>
  <c r="E42" i="21"/>
  <c r="I42" i="21" s="1"/>
  <c r="E15" i="21"/>
  <c r="I101" i="24"/>
  <c r="E19" i="24"/>
  <c r="E24" i="24"/>
  <c r="H24" i="24" s="1"/>
  <c r="I24" i="24" s="1"/>
  <c r="E16" i="24"/>
  <c r="H16" i="24" s="1"/>
  <c r="I16" i="24" s="1"/>
  <c r="E26" i="24"/>
  <c r="H26" i="24" s="1"/>
  <c r="I26" i="24" s="1"/>
  <c r="E21" i="24"/>
  <c r="H21" i="24" s="1"/>
  <c r="I21" i="24" s="1"/>
  <c r="E28" i="24"/>
  <c r="H28" i="24" s="1"/>
  <c r="I28" i="24" s="1"/>
  <c r="E15" i="24"/>
  <c r="E17" i="24"/>
  <c r="E27" i="24"/>
  <c r="H27" i="24" s="1"/>
  <c r="I27" i="24" s="1"/>
  <c r="R87" i="17"/>
  <c r="R74" i="17"/>
  <c r="E24" i="17"/>
  <c r="H24" i="17" s="1"/>
  <c r="I24" i="17" s="1"/>
  <c r="E19" i="17"/>
  <c r="E25" i="20"/>
  <c r="H25" i="20" s="1"/>
  <c r="I25" i="20" s="1"/>
  <c r="T102" i="21"/>
  <c r="U102" i="21" s="1"/>
  <c r="E28" i="21"/>
  <c r="H28" i="21" s="1"/>
  <c r="I28" i="21" s="1"/>
  <c r="I110" i="25"/>
  <c r="T109" i="24"/>
  <c r="E18" i="24"/>
  <c r="H18" i="24" s="1"/>
  <c r="I18" i="24" s="1"/>
  <c r="I110" i="22"/>
  <c r="I109" i="22"/>
  <c r="T109" i="17"/>
  <c r="E29" i="17"/>
  <c r="E14" i="17"/>
  <c r="E27" i="18"/>
  <c r="H27" i="18" s="1"/>
  <c r="I27" i="18" s="1"/>
  <c r="E17" i="18"/>
  <c r="I109" i="20"/>
  <c r="E15" i="20"/>
  <c r="E21" i="21"/>
  <c r="H21" i="21" s="1"/>
  <c r="I21" i="21" s="1"/>
  <c r="E14" i="28"/>
  <c r="E29" i="28"/>
  <c r="H29" i="28" s="1"/>
  <c r="I29" i="28" s="1"/>
  <c r="E19" i="28"/>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E20" i="28"/>
  <c r="H20" i="28" s="1"/>
  <c r="I20" i="28" s="1"/>
  <c r="E17" i="28"/>
  <c r="E27" i="28"/>
  <c r="H27" i="28" s="1"/>
  <c r="I27" i="28" s="1"/>
  <c r="E17" i="31"/>
  <c r="E27" i="31"/>
  <c r="H27" i="31" s="1"/>
  <c r="I27" i="31" s="1"/>
  <c r="E22" i="31"/>
  <c r="H22" i="31" s="1"/>
  <c r="I22" i="31" s="1"/>
  <c r="E19" i="31"/>
  <c r="E24" i="31"/>
  <c r="H24" i="31" s="1"/>
  <c r="I24" i="31" s="1"/>
  <c r="E16" i="31"/>
  <c r="H16" i="31" s="1"/>
  <c r="I16" i="31" s="1"/>
  <c r="E26" i="31"/>
  <c r="H26" i="31" s="1"/>
  <c r="I26" i="31" s="1"/>
  <c r="E15" i="3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11" i="24"/>
  <c r="I110" i="28"/>
  <c r="I111" i="28"/>
  <c r="E25" i="18"/>
  <c r="H25" i="18" s="1"/>
  <c r="I25" i="18" s="1"/>
  <c r="T102" i="20"/>
  <c r="U102" i="20" s="1"/>
  <c r="E28" i="20"/>
  <c r="H28" i="20" s="1"/>
  <c r="I28" i="20" s="1"/>
  <c r="R78" i="17"/>
  <c r="E20" i="17"/>
  <c r="H20" i="17" s="1"/>
  <c r="I20" i="17" s="1"/>
  <c r="E15" i="18"/>
  <c r="E21" i="20"/>
  <c r="H21" i="20" s="1"/>
  <c r="I21" i="20" s="1"/>
  <c r="R87" i="21"/>
  <c r="R74" i="21"/>
  <c r="E24" i="21"/>
  <c r="H24" i="21" s="1"/>
  <c r="I24" i="21" s="1"/>
  <c r="E19" i="21"/>
  <c r="E14" i="24"/>
  <c r="I111" i="27"/>
  <c r="T109" i="28"/>
  <c r="E23" i="18"/>
  <c r="H23" i="18" s="1"/>
  <c r="I23" i="18" s="1"/>
  <c r="E41" i="20"/>
  <c r="I41" i="20" s="1"/>
  <c r="E26" i="20"/>
  <c r="H26" i="20" s="1"/>
  <c r="I26" i="20" s="1"/>
  <c r="E29" i="21"/>
  <c r="H29" i="21" s="1"/>
  <c r="I29" i="21" s="1"/>
  <c r="H111" i="22"/>
  <c r="E21" i="26"/>
  <c r="H21" i="26" s="1"/>
  <c r="I21" i="26" s="1"/>
  <c r="I101" i="28"/>
  <c r="I102" i="33"/>
  <c r="T101" i="34"/>
  <c r="I101" i="34"/>
  <c r="R85" i="34"/>
  <c r="I101" i="35"/>
  <c r="T101" i="35"/>
  <c r="R78" i="23"/>
  <c r="E24" i="26"/>
  <c r="H24" i="26" s="1"/>
  <c r="I24" i="26" s="1"/>
  <c r="E19" i="26"/>
  <c r="R78" i="32"/>
  <c r="H22" i="33"/>
  <c r="I22" i="33" s="1"/>
  <c r="H20" i="34"/>
  <c r="I20" i="34" s="1"/>
  <c r="T109" i="36"/>
  <c r="T101" i="26"/>
  <c r="E29" i="26"/>
  <c r="H29" i="26" s="1"/>
  <c r="I29" i="26" s="1"/>
  <c r="E14" i="26"/>
  <c r="R78"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02" i="28"/>
  <c r="U102" i="28" s="1"/>
  <c r="E41" i="31"/>
  <c r="I41" i="31" s="1"/>
  <c r="E38" i="31"/>
  <c r="I38" i="31" s="1"/>
  <c r="E93" i="34"/>
  <c r="E92" i="34"/>
  <c r="T8" i="34"/>
  <c r="R87" i="22"/>
  <c r="R74" i="22"/>
  <c r="E27" i="26"/>
  <c r="H27" i="26" s="1"/>
  <c r="I27" i="26" s="1"/>
  <c r="E17" i="26"/>
  <c r="E15" i="27"/>
  <c r="R85" i="36"/>
  <c r="E25" i="26"/>
  <c r="H25" i="26" s="1"/>
  <c r="I25" i="26" s="1"/>
  <c r="E21" i="27"/>
  <c r="H21" i="27" s="1"/>
  <c r="I21" i="27" s="1"/>
  <c r="R87" i="28"/>
  <c r="R74" i="28"/>
  <c r="E43" i="31"/>
  <c r="I43" i="31" s="1"/>
  <c r="H111" i="36"/>
  <c r="E23" i="26"/>
  <c r="H23" i="26" s="1"/>
  <c r="I23" i="26" s="1"/>
  <c r="E41" i="27"/>
  <c r="I41" i="27" s="1"/>
  <c r="E26" i="27"/>
  <c r="H26" i="27" s="1"/>
  <c r="I26" i="27" s="1"/>
  <c r="E21" i="32"/>
  <c r="H21" i="32" s="1"/>
  <c r="I21" i="32" s="1"/>
  <c r="E93" i="33"/>
  <c r="E43" i="34"/>
  <c r="I43" i="34" s="1"/>
  <c r="E40" i="34"/>
  <c r="I40" i="34" s="1"/>
  <c r="E22" i="34"/>
  <c r="H22" i="34" s="1"/>
  <c r="I22" i="34" s="1"/>
  <c r="E25" i="35"/>
  <c r="H25" i="35" s="1"/>
  <c r="I25" i="35" s="1"/>
  <c r="T102" i="23"/>
  <c r="U102" i="23" s="1"/>
  <c r="I109" i="36"/>
  <c r="I101" i="38"/>
  <c r="I102" i="36"/>
  <c r="T102" i="36"/>
  <c r="U102" i="36" s="1"/>
  <c r="E15" i="38"/>
  <c r="E20" i="38"/>
  <c r="H20" i="38" s="1"/>
  <c r="I20" i="38" s="1"/>
  <c r="E17" i="38"/>
  <c r="E27" i="38"/>
  <c r="H27" i="38" s="1"/>
  <c r="I27" i="38" s="1"/>
  <c r="E22" i="38"/>
  <c r="H22" i="38" s="1"/>
  <c r="I22" i="38" s="1"/>
  <c r="E14" i="38"/>
  <c r="E29" i="38"/>
  <c r="H29" i="38" s="1"/>
  <c r="I29" i="38" s="1"/>
  <c r="E19" i="38"/>
  <c r="E24" i="38"/>
  <c r="H24" i="38" s="1"/>
  <c r="I24" i="38" s="1"/>
  <c r="E16" i="38"/>
  <c r="H16" i="38" s="1"/>
  <c r="I16" i="38" s="1"/>
  <c r="E26" i="38"/>
  <c r="H26" i="38" s="1"/>
  <c r="I26" i="38" s="1"/>
  <c r="E21" i="38"/>
  <c r="H21" i="38" s="1"/>
  <c r="I21" i="38" s="1"/>
  <c r="E28" i="38"/>
  <c r="H28" i="38" s="1"/>
  <c r="I28" i="38" s="1"/>
  <c r="E25" i="34"/>
  <c r="H25" i="34" s="1"/>
  <c r="I25" i="34" s="1"/>
  <c r="I110" i="23"/>
  <c r="E19" i="36"/>
  <c r="E14" i="36"/>
  <c r="I102" i="39"/>
  <c r="T102" i="39"/>
  <c r="U102" i="39" s="1"/>
  <c r="E14" i="32"/>
  <c r="E94" i="33"/>
  <c r="R78" i="33"/>
  <c r="E20" i="33"/>
  <c r="H20" i="33" s="1"/>
  <c r="I20" i="33" s="1"/>
  <c r="R76" i="34"/>
  <c r="R71" i="34"/>
  <c r="E42" i="34"/>
  <c r="I42" i="34" s="1"/>
  <c r="E39" i="34"/>
  <c r="I39" i="34" s="1"/>
  <c r="E15" i="34"/>
  <c r="E21" i="35"/>
  <c r="H21" i="35" s="1"/>
  <c r="I21" i="35" s="1"/>
  <c r="R87" i="23"/>
  <c r="R74" i="23"/>
  <c r="E24" i="23"/>
  <c r="H24" i="23" s="1"/>
  <c r="I24" i="23" s="1"/>
  <c r="E19" i="23"/>
  <c r="I101" i="37"/>
  <c r="T101"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10" i="37"/>
  <c r="I109" i="37"/>
  <c r="E18" i="38"/>
  <c r="H18" i="38" s="1"/>
  <c r="I18" i="38" s="1"/>
  <c r="E17" i="32"/>
  <c r="E28" i="34"/>
  <c r="H28" i="34" s="1"/>
  <c r="I28" i="34" s="1"/>
  <c r="E43" i="23"/>
  <c r="I43" i="23" s="1"/>
  <c r="E40" i="23"/>
  <c r="I40" i="23" s="1"/>
  <c r="I110" i="36"/>
  <c r="H111" i="38"/>
  <c r="T109" i="38"/>
  <c r="E23" i="38"/>
  <c r="H23" i="38" s="1"/>
  <c r="I23" i="38" s="1"/>
  <c r="R85" i="40"/>
  <c r="E20" i="32"/>
  <c r="H20" i="32" s="1"/>
  <c r="I20" i="32" s="1"/>
  <c r="E21" i="34"/>
  <c r="H21" i="34" s="1"/>
  <c r="I21" i="34" s="1"/>
  <c r="I101" i="36"/>
  <c r="E25" i="32"/>
  <c r="H25" i="32" s="1"/>
  <c r="I25" i="32" s="1"/>
  <c r="T102" i="33"/>
  <c r="U102" i="33" s="1"/>
  <c r="E26" i="34"/>
  <c r="H26" i="34" s="1"/>
  <c r="I26" i="34" s="1"/>
  <c r="E16" i="34"/>
  <c r="H16" i="34" s="1"/>
  <c r="I16" i="34" s="1"/>
  <c r="E16" i="36"/>
  <c r="H16" i="36" s="1"/>
  <c r="I16" i="36" s="1"/>
  <c r="E26" i="36"/>
  <c r="H26" i="36" s="1"/>
  <c r="I26" i="36" s="1"/>
  <c r="E21" i="36"/>
  <c r="H21" i="36" s="1"/>
  <c r="I21" i="36" s="1"/>
  <c r="E28" i="36"/>
  <c r="H28" i="36" s="1"/>
  <c r="I28" i="36" s="1"/>
  <c r="E17" i="36"/>
  <c r="E27" i="36"/>
  <c r="H27" i="36" s="1"/>
  <c r="I27" i="36" s="1"/>
  <c r="E42" i="32"/>
  <c r="I42" i="32" s="1"/>
  <c r="R87" i="34"/>
  <c r="E43" i="35"/>
  <c r="I43" i="35" s="1"/>
  <c r="E22" i="35"/>
  <c r="H22" i="35" s="1"/>
  <c r="I22" i="35" s="1"/>
  <c r="E25" i="23"/>
  <c r="H25" i="23" s="1"/>
  <c r="I25" i="23" s="1"/>
  <c r="E25" i="36"/>
  <c r="H25" i="36" s="1"/>
  <c r="I25" i="36" s="1"/>
  <c r="E18" i="36"/>
  <c r="H18" i="36" s="1"/>
  <c r="I18" i="36" s="1"/>
  <c r="E17" i="37"/>
  <c r="E27" i="37"/>
  <c r="H27" i="37" s="1"/>
  <c r="I27" i="37" s="1"/>
  <c r="E14" i="37"/>
  <c r="E29" i="37"/>
  <c r="H29" i="37" s="1"/>
  <c r="I29" i="37" s="1"/>
  <c r="E19" i="37"/>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E24" i="34"/>
  <c r="H24" i="34" s="1"/>
  <c r="I24" i="34" s="1"/>
  <c r="E27" i="35"/>
  <c r="H27" i="35" s="1"/>
  <c r="I27" i="35" s="1"/>
  <c r="E42" i="23"/>
  <c r="I42" i="23" s="1"/>
  <c r="E20" i="36"/>
  <c r="H20" i="36" s="1"/>
  <c r="I20" i="36" s="1"/>
  <c r="E25" i="37"/>
  <c r="H25" i="37" s="1"/>
  <c r="I25" i="37" s="1"/>
  <c r="R74" i="44"/>
  <c r="E93" i="39"/>
  <c r="I111" i="40"/>
  <c r="R85" i="42"/>
  <c r="I102" i="44"/>
  <c r="I110" i="48"/>
  <c r="I101" i="43"/>
  <c r="T101" i="43"/>
  <c r="E92" i="37"/>
  <c r="H111" i="39"/>
  <c r="E43" i="39"/>
  <c r="I43" i="39" s="1"/>
  <c r="E40" i="39"/>
  <c r="I40" i="39" s="1"/>
  <c r="E22" i="39"/>
  <c r="H22" i="39" s="1"/>
  <c r="I22" i="39" s="1"/>
  <c r="T8" i="39"/>
  <c r="T110" i="40"/>
  <c r="E21" i="40"/>
  <c r="H21" i="40" s="1"/>
  <c r="I21" i="40" s="1"/>
  <c r="E20" i="40"/>
  <c r="H20" i="40" s="1"/>
  <c r="I20" i="40" s="1"/>
  <c r="E17" i="40"/>
  <c r="E22" i="40"/>
  <c r="H22" i="40" s="1"/>
  <c r="I22" i="40" s="1"/>
  <c r="I109" i="40"/>
  <c r="E93" i="42"/>
  <c r="T8" i="42"/>
  <c r="R87" i="48"/>
  <c r="R85" i="37"/>
  <c r="T101" i="38"/>
  <c r="E94" i="39"/>
  <c r="E20" i="39"/>
  <c r="H20" i="39" s="1"/>
  <c r="I20" i="39" s="1"/>
  <c r="E19" i="40"/>
  <c r="T110" i="44"/>
  <c r="E92" i="44"/>
  <c r="T8" i="44"/>
  <c r="E94" i="44"/>
  <c r="E93" i="44"/>
  <c r="H111" i="45"/>
  <c r="T109" i="45"/>
  <c r="E43" i="38"/>
  <c r="I43" i="38" s="1"/>
  <c r="T110" i="39"/>
  <c r="E25" i="39"/>
  <c r="H25" i="39" s="1"/>
  <c r="I25" i="39" s="1"/>
  <c r="E28" i="40"/>
  <c r="H28" i="40" s="1"/>
  <c r="I28" i="40" s="1"/>
  <c r="E16" i="40"/>
  <c r="H16" i="40" s="1"/>
  <c r="I16" i="40" s="1"/>
  <c r="E38" i="44"/>
  <c r="I38" i="44" s="1"/>
  <c r="E41" i="44"/>
  <c r="I41" i="44" s="1"/>
  <c r="E40" i="44"/>
  <c r="I40" i="44" s="1"/>
  <c r="E42" i="44"/>
  <c r="I42" i="44" s="1"/>
  <c r="E39" i="44"/>
  <c r="I39" i="44" s="1"/>
  <c r="R87" i="37"/>
  <c r="R74" i="37"/>
  <c r="R76" i="39"/>
  <c r="R71" i="39"/>
  <c r="E42" i="39"/>
  <c r="I42" i="39" s="1"/>
  <c r="E15" i="39"/>
  <c r="E24" i="40"/>
  <c r="H24" i="40" s="1"/>
  <c r="I24" i="40" s="1"/>
  <c r="E92" i="42"/>
  <c r="E17" i="45"/>
  <c r="E27" i="45"/>
  <c r="H27" i="45" s="1"/>
  <c r="I27" i="45" s="1"/>
  <c r="E22" i="45"/>
  <c r="H22" i="45" s="1"/>
  <c r="I22" i="45" s="1"/>
  <c r="E14" i="45"/>
  <c r="E29" i="45"/>
  <c r="H29" i="45" s="1"/>
  <c r="I29" i="45" s="1"/>
  <c r="E19" i="45"/>
  <c r="E24" i="45"/>
  <c r="H24" i="45" s="1"/>
  <c r="I24" i="45" s="1"/>
  <c r="E16" i="45"/>
  <c r="H16" i="45" s="1"/>
  <c r="I16" i="45" s="1"/>
  <c r="E26" i="45"/>
  <c r="H26" i="45" s="1"/>
  <c r="I26" i="45" s="1"/>
  <c r="E21" i="45"/>
  <c r="H21" i="45" s="1"/>
  <c r="I21" i="45" s="1"/>
  <c r="E28" i="45"/>
  <c r="H28" i="45" s="1"/>
  <c r="I28" i="45" s="1"/>
  <c r="E15" i="45"/>
  <c r="E18" i="45"/>
  <c r="H18" i="45" s="1"/>
  <c r="I18" i="45" s="1"/>
  <c r="E23" i="45"/>
  <c r="H23" i="45" s="1"/>
  <c r="I23" i="45" s="1"/>
  <c r="E20" i="45"/>
  <c r="H20" i="45" s="1"/>
  <c r="I20" i="45" s="1"/>
  <c r="T8" i="47"/>
  <c r="E94" i="47"/>
  <c r="E93" i="47"/>
  <c r="E92" i="47"/>
  <c r="E23" i="39"/>
  <c r="H23" i="39" s="1"/>
  <c r="I23" i="39" s="1"/>
  <c r="E18" i="39"/>
  <c r="H18" i="39" s="1"/>
  <c r="I18" i="39" s="1"/>
  <c r="E41" i="40"/>
  <c r="I41" i="40" s="1"/>
  <c r="E26" i="40"/>
  <c r="H26" i="40" s="1"/>
  <c r="I26" i="40" s="1"/>
  <c r="I110" i="40"/>
  <c r="E18" i="40"/>
  <c r="H18" i="40" s="1"/>
  <c r="I18" i="40" s="1"/>
  <c r="T111" i="43"/>
  <c r="E43" i="44"/>
  <c r="I43" i="44" s="1"/>
  <c r="E43" i="42"/>
  <c r="I43" i="42" s="1"/>
  <c r="E40" i="42"/>
  <c r="I40" i="42" s="1"/>
  <c r="E25" i="43"/>
  <c r="H25" i="43" s="1"/>
  <c r="I25" i="43" s="1"/>
  <c r="E25" i="42"/>
  <c r="H25" i="42" s="1"/>
  <c r="I25" i="42" s="1"/>
  <c r="T102" i="43"/>
  <c r="U102" i="43" s="1"/>
  <c r="E28" i="43"/>
  <c r="H28" i="43" s="1"/>
  <c r="I28" i="43" s="1"/>
  <c r="T111" i="44"/>
  <c r="I110" i="44"/>
  <c r="R78" i="45"/>
  <c r="R76" i="42"/>
  <c r="R71" i="42"/>
  <c r="E42" i="42"/>
  <c r="I42" i="42" s="1"/>
  <c r="E15" i="42"/>
  <c r="E21" i="43"/>
  <c r="H21" i="43" s="1"/>
  <c r="I21" i="43" s="1"/>
  <c r="T102" i="47"/>
  <c r="U102" i="47" s="1"/>
  <c r="R78" i="47"/>
  <c r="E93" i="48"/>
  <c r="E92" i="48"/>
  <c r="E94" i="48"/>
  <c r="T8" i="48"/>
  <c r="E26" i="43"/>
  <c r="H26" i="43" s="1"/>
  <c r="I26" i="43" s="1"/>
  <c r="E16" i="43"/>
  <c r="H16" i="43" s="1"/>
  <c r="I16" i="43" s="1"/>
  <c r="T101" i="44"/>
  <c r="P94" i="45"/>
  <c r="P93" i="45"/>
  <c r="T110" i="75"/>
  <c r="E22" i="43"/>
  <c r="H22" i="43" s="1"/>
  <c r="I22" i="43" s="1"/>
  <c r="I101" i="45"/>
  <c r="T101" i="45"/>
  <c r="E24" i="42"/>
  <c r="H24" i="42" s="1"/>
  <c r="I24" i="42" s="1"/>
  <c r="E27" i="43"/>
  <c r="H27" i="43" s="1"/>
  <c r="I27" i="43" s="1"/>
  <c r="R71" i="75"/>
  <c r="R74" i="48"/>
  <c r="E25" i="44"/>
  <c r="H25" i="44" s="1"/>
  <c r="I25" i="44" s="1"/>
  <c r="E38" i="48"/>
  <c r="I38" i="48" s="1"/>
  <c r="E41" i="48"/>
  <c r="I41" i="48" s="1"/>
  <c r="E39" i="48"/>
  <c r="I39" i="48" s="1"/>
  <c r="E42" i="48"/>
  <c r="I42" i="48" s="1"/>
  <c r="E20" i="50"/>
  <c r="H20" i="50" s="1"/>
  <c r="I20" i="50" s="1"/>
  <c r="E17" i="50"/>
  <c r="E27" i="50"/>
  <c r="H27" i="50" s="1"/>
  <c r="I27" i="50" s="1"/>
  <c r="E22" i="50"/>
  <c r="H22" i="50" s="1"/>
  <c r="I22" i="50" s="1"/>
  <c r="E14" i="50"/>
  <c r="E29" i="50"/>
  <c r="H29" i="50" s="1"/>
  <c r="I29" i="50" s="1"/>
  <c r="E19" i="50"/>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85"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78" i="48"/>
  <c r="E26" i="44"/>
  <c r="H26" i="44" s="1"/>
  <c r="I26" i="44" s="1"/>
  <c r="E16" i="44"/>
  <c r="H111" i="50"/>
  <c r="T109" i="50"/>
  <c r="E43" i="45"/>
  <c r="I43" i="45" s="1"/>
  <c r="T110" i="48"/>
  <c r="E40" i="48"/>
  <c r="I40" i="48" s="1"/>
  <c r="I110" i="51"/>
  <c r="E24" i="44"/>
  <c r="H24" i="44" s="1"/>
  <c r="I24" i="44" s="1"/>
  <c r="E20" i="48"/>
  <c r="H20" i="48" s="1"/>
  <c r="I20" i="48" s="1"/>
  <c r="R85" i="51"/>
  <c r="I111" i="76"/>
  <c r="I110" i="76"/>
  <c r="E25" i="48"/>
  <c r="H25" i="48" s="1"/>
  <c r="I25" i="48" s="1"/>
  <c r="T102" i="50"/>
  <c r="U102" i="50" s="1"/>
  <c r="E39" i="75"/>
  <c r="I39" i="75" s="1"/>
  <c r="E42" i="75"/>
  <c r="I42" i="75" s="1"/>
  <c r="E40" i="75"/>
  <c r="I40" i="75" s="1"/>
  <c r="E43" i="75"/>
  <c r="I43" i="75" s="1"/>
  <c r="E15" i="48"/>
  <c r="R87" i="51"/>
  <c r="P92" i="52"/>
  <c r="P94" i="52"/>
  <c r="P93" i="52"/>
  <c r="E41" i="75"/>
  <c r="I41" i="75" s="1"/>
  <c r="R76" i="58"/>
  <c r="R78" i="52"/>
  <c r="E26" i="48"/>
  <c r="H26" i="48" s="1"/>
  <c r="I26" i="48" s="1"/>
  <c r="E16" i="48"/>
  <c r="H16" i="48" s="1"/>
  <c r="I16" i="48" s="1"/>
  <c r="E94" i="51"/>
  <c r="E23" i="51"/>
  <c r="H23" i="51" s="1"/>
  <c r="I23" i="51" s="1"/>
  <c r="R76" i="75"/>
  <c r="E38" i="75"/>
  <c r="I38" i="75" s="1"/>
  <c r="E43" i="50"/>
  <c r="I43" i="50" s="1"/>
  <c r="E24" i="48"/>
  <c r="H24" i="48" s="1"/>
  <c r="I24" i="48" s="1"/>
  <c r="E19" i="48"/>
  <c r="I102" i="76"/>
  <c r="T102" i="76"/>
  <c r="U102" i="76" s="1"/>
  <c r="E41" i="47"/>
  <c r="I41" i="47" s="1"/>
  <c r="E29" i="48"/>
  <c r="H29" i="48" s="1"/>
  <c r="I29" i="48" s="1"/>
  <c r="E22" i="51"/>
  <c r="H22" i="51" s="1"/>
  <c r="I22" i="51" s="1"/>
  <c r="E14" i="51"/>
  <c r="E29" i="51"/>
  <c r="H29" i="51" s="1"/>
  <c r="I29" i="51" s="1"/>
  <c r="E21" i="51"/>
  <c r="H21" i="51" s="1"/>
  <c r="I21" i="51" s="1"/>
  <c r="E28" i="51"/>
  <c r="H28" i="51" s="1"/>
  <c r="I28" i="51" s="1"/>
  <c r="E15" i="51"/>
  <c r="R85" i="55"/>
  <c r="E38" i="56"/>
  <c r="I38" i="56" s="1"/>
  <c r="E41" i="56"/>
  <c r="I41" i="56" s="1"/>
  <c r="E39" i="56"/>
  <c r="I39" i="56" s="1"/>
  <c r="E40" i="56"/>
  <c r="I40" i="56" s="1"/>
  <c r="E42" i="56"/>
  <c r="I42" i="56" s="1"/>
  <c r="E43" i="56"/>
  <c r="I43" i="56" s="1"/>
  <c r="T111" i="76"/>
  <c r="P93" i="56"/>
  <c r="P92" i="56"/>
  <c r="R85" i="52"/>
  <c r="E41" i="52"/>
  <c r="I41" i="52" s="1"/>
  <c r="E38" i="52"/>
  <c r="I38" i="52" s="1"/>
  <c r="E29" i="75"/>
  <c r="H29" i="75" s="1"/>
  <c r="I29" i="75" s="1"/>
  <c r="E93" i="55"/>
  <c r="E92" i="55"/>
  <c r="E94" i="55"/>
  <c r="T8" i="55"/>
  <c r="E17" i="75"/>
  <c r="P94" i="56"/>
  <c r="E43" i="52"/>
  <c r="I43" i="52" s="1"/>
  <c r="E22" i="52"/>
  <c r="H22" i="52" s="1"/>
  <c r="I22" i="52" s="1"/>
  <c r="E15" i="75"/>
  <c r="E20" i="75"/>
  <c r="H20" i="75" s="1"/>
  <c r="I20" i="75" s="1"/>
  <c r="E14" i="75"/>
  <c r="E25" i="75"/>
  <c r="H25" i="75" s="1"/>
  <c r="I25" i="75" s="1"/>
  <c r="E21" i="75"/>
  <c r="H21" i="75" s="1"/>
  <c r="I21" i="75" s="1"/>
  <c r="E16" i="75"/>
  <c r="H16" i="75" s="1"/>
  <c r="I16" i="75" s="1"/>
  <c r="E23" i="75"/>
  <c r="H23" i="75" s="1"/>
  <c r="I23" i="75" s="1"/>
  <c r="E43" i="51"/>
  <c r="I43" i="51" s="1"/>
  <c r="H14" i="76"/>
  <c r="I14" i="76" s="1"/>
  <c r="H111" i="55"/>
  <c r="E43" i="55"/>
  <c r="I43" i="55" s="1"/>
  <c r="E40" i="55"/>
  <c r="I40" i="55" s="1"/>
  <c r="E22" i="55"/>
  <c r="H22" i="55" s="1"/>
  <c r="I22" i="55" s="1"/>
  <c r="E20" i="55"/>
  <c r="H20" i="55" s="1"/>
  <c r="I20" i="55" s="1"/>
  <c r="I110" i="56"/>
  <c r="I110" i="57"/>
  <c r="E15" i="57"/>
  <c r="E25" i="55"/>
  <c r="H25" i="55" s="1"/>
  <c r="I25" i="55" s="1"/>
  <c r="T110" i="56"/>
  <c r="R78" i="56"/>
  <c r="E92" i="56"/>
  <c r="E94" i="56"/>
  <c r="H111" i="66"/>
  <c r="T109" i="66"/>
  <c r="R76" i="55"/>
  <c r="R71" i="55"/>
  <c r="E42" i="55"/>
  <c r="I42" i="55" s="1"/>
  <c r="E39" i="55"/>
  <c r="I39" i="55" s="1"/>
  <c r="E15" i="55"/>
  <c r="R78" i="76"/>
  <c r="E20" i="76"/>
  <c r="H20" i="76" s="1"/>
  <c r="I20" i="76" s="1"/>
  <c r="E23" i="55"/>
  <c r="H23" i="55" s="1"/>
  <c r="I23" i="55" s="1"/>
  <c r="E18" i="55"/>
  <c r="H18" i="55" s="1"/>
  <c r="I18" i="55" s="1"/>
  <c r="E27" i="57"/>
  <c r="H27" i="57" s="1"/>
  <c r="I27" i="57" s="1"/>
  <c r="E94" i="57"/>
  <c r="T8" i="57"/>
  <c r="E92" i="57"/>
  <c r="E25" i="76"/>
  <c r="H25" i="76" s="1"/>
  <c r="I25" i="76" s="1"/>
  <c r="E28" i="55"/>
  <c r="H28" i="55" s="1"/>
  <c r="I28" i="55" s="1"/>
  <c r="E93"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E21" i="55"/>
  <c r="H21" i="55" s="1"/>
  <c r="I21" i="55" s="1"/>
  <c r="E41" i="55"/>
  <c r="I41" i="55" s="1"/>
  <c r="E26" i="55"/>
  <c r="H26" i="55" s="1"/>
  <c r="I26" i="55" s="1"/>
  <c r="E16" i="55"/>
  <c r="H16" i="55" s="1"/>
  <c r="I16" i="55" s="1"/>
  <c r="I109" i="57"/>
  <c r="H111" i="57"/>
  <c r="T109" i="57"/>
  <c r="I110" i="55"/>
  <c r="E26" i="57"/>
  <c r="H26" i="57" s="1"/>
  <c r="I26" i="57" s="1"/>
  <c r="E24" i="55"/>
  <c r="H24" i="55" s="1"/>
  <c r="I24" i="55" s="1"/>
  <c r="I102" i="57"/>
  <c r="T102" i="57"/>
  <c r="U102" i="57" s="1"/>
  <c r="E16" i="57"/>
  <c r="H16" i="57" s="1"/>
  <c r="I16" i="57" s="1"/>
  <c r="E20" i="56"/>
  <c r="H20" i="56" s="1"/>
  <c r="I20" i="56" s="1"/>
  <c r="E15" i="66"/>
  <c r="E20" i="66"/>
  <c r="H20" i="66" s="1"/>
  <c r="I20" i="66" s="1"/>
  <c r="E17" i="66"/>
  <c r="E27" i="66"/>
  <c r="H27" i="66" s="1"/>
  <c r="I27" i="66" s="1"/>
  <c r="E22" i="66"/>
  <c r="H22" i="66" s="1"/>
  <c r="I22" i="66" s="1"/>
  <c r="E14" i="66"/>
  <c r="E29" i="66"/>
  <c r="H29" i="66" s="1"/>
  <c r="I29" i="66" s="1"/>
  <c r="E16" i="66"/>
  <c r="H16" i="66" s="1"/>
  <c r="I16" i="66" s="1"/>
  <c r="E26" i="66"/>
  <c r="H26" i="66" s="1"/>
  <c r="I26" i="66" s="1"/>
  <c r="E21" i="66"/>
  <c r="H21" i="66" s="1"/>
  <c r="I21" i="66" s="1"/>
  <c r="E19" i="66"/>
  <c r="E25" i="56"/>
  <c r="H25" i="56" s="1"/>
  <c r="I25" i="56" s="1"/>
  <c r="H111" i="58"/>
  <c r="I109" i="58"/>
  <c r="R71" i="58"/>
  <c r="E38" i="58"/>
  <c r="I38" i="58" s="1"/>
  <c r="E39" i="58"/>
  <c r="I39" i="58" s="1"/>
  <c r="E42" i="58"/>
  <c r="I42" i="58" s="1"/>
  <c r="E28" i="56"/>
  <c r="H28" i="56" s="1"/>
  <c r="I28" i="56" s="1"/>
  <c r="E25" i="66"/>
  <c r="H25" i="66" s="1"/>
  <c r="I25" i="66" s="1"/>
  <c r="E26" i="56"/>
  <c r="H26" i="56" s="1"/>
  <c r="I26" i="56" s="1"/>
  <c r="E16" i="56"/>
  <c r="H16" i="56" s="1"/>
  <c r="I16" i="56" s="1"/>
  <c r="T101" i="58"/>
  <c r="E17" i="58"/>
  <c r="E27" i="58"/>
  <c r="H27" i="58" s="1"/>
  <c r="I27" i="58" s="1"/>
  <c r="E14" i="58"/>
  <c r="E29" i="58"/>
  <c r="H29" i="58" s="1"/>
  <c r="I29" i="58" s="1"/>
  <c r="E19" i="58"/>
  <c r="E24" i="58"/>
  <c r="H24" i="58" s="1"/>
  <c r="I24" i="58" s="1"/>
  <c r="E16" i="58"/>
  <c r="H16" i="58" s="1"/>
  <c r="I16" i="58" s="1"/>
  <c r="E26" i="58"/>
  <c r="H26" i="58" s="1"/>
  <c r="I26" i="58" s="1"/>
  <c r="E18" i="58"/>
  <c r="H18" i="58" s="1"/>
  <c r="I18" i="58" s="1"/>
  <c r="E23" i="58"/>
  <c r="H23" i="58" s="1"/>
  <c r="I23" i="58" s="1"/>
  <c r="E15" i="58"/>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09" i="67"/>
  <c r="E29" i="67"/>
  <c r="H29" i="67" s="1"/>
  <c r="I29" i="67" s="1"/>
  <c r="E27" i="67"/>
  <c r="H27" i="67" s="1"/>
  <c r="I27" i="67" s="1"/>
  <c r="E25" i="67"/>
  <c r="H25" i="67" s="1"/>
  <c r="I25" i="67" s="1"/>
  <c r="T8" i="67"/>
  <c r="E93" i="67"/>
  <c r="E20" i="67"/>
  <c r="H20" i="67" s="1"/>
  <c r="I20" i="67" s="1"/>
  <c r="E18" i="67"/>
  <c r="H18" i="67" s="1"/>
  <c r="I18" i="67" s="1"/>
  <c r="E22" i="67"/>
  <c r="H22" i="67" s="1"/>
  <c r="I22" i="67" s="1"/>
  <c r="E14" i="67"/>
  <c r="E19" i="67"/>
  <c r="E24" i="67"/>
  <c r="H24" i="67" s="1"/>
  <c r="I24" i="67" s="1"/>
  <c r="E28" i="67"/>
  <c r="H28" i="67" s="1"/>
  <c r="I28" i="67" s="1"/>
  <c r="R78" i="69"/>
  <c r="E42" i="66"/>
  <c r="I42" i="66" s="1"/>
  <c r="E94" i="67"/>
  <c r="E17" i="67"/>
  <c r="E40" i="70"/>
  <c r="I40" i="70" s="1"/>
  <c r="E43" i="70"/>
  <c r="I43" i="70" s="1"/>
  <c r="E41" i="70"/>
  <c r="I41" i="70" s="1"/>
  <c r="E42" i="70"/>
  <c r="I42" i="70" s="1"/>
  <c r="E38" i="70"/>
  <c r="I38" i="70" s="1"/>
  <c r="E39" i="70"/>
  <c r="I39" i="70" s="1"/>
  <c r="I110" i="68"/>
  <c r="H111" i="77"/>
  <c r="T109" i="77"/>
  <c r="I101" i="70"/>
  <c r="I102" i="68"/>
  <c r="T102" i="68"/>
  <c r="U102" i="68" s="1"/>
  <c r="R78" i="71"/>
  <c r="H21" i="70"/>
  <c r="I21" i="70" s="1"/>
  <c r="I101" i="68"/>
  <c r="T101" i="68"/>
  <c r="E43" i="69"/>
  <c r="I43" i="69" s="1"/>
  <c r="T102" i="70"/>
  <c r="U102" i="70" s="1"/>
  <c r="T110" i="78"/>
  <c r="I111" i="69"/>
  <c r="E27" i="69"/>
  <c r="H27" i="69" s="1"/>
  <c r="I27" i="69" s="1"/>
  <c r="E17" i="69"/>
  <c r="E17" i="70"/>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71" i="78"/>
  <c r="P92" i="77"/>
  <c r="P94" i="77"/>
  <c r="P93" i="77"/>
  <c r="T8" i="71"/>
  <c r="E14" i="68"/>
  <c r="E16" i="68"/>
  <c r="H16" i="68" s="1"/>
  <c r="I16" i="68" s="1"/>
  <c r="E28" i="68"/>
  <c r="H28" i="68" s="1"/>
  <c r="I28" i="68" s="1"/>
  <c r="E15" i="68"/>
  <c r="E20" i="68"/>
  <c r="H20" i="68" s="1"/>
  <c r="I20" i="68" s="1"/>
  <c r="E22" i="68"/>
  <c r="H22" i="68" s="1"/>
  <c r="I22" i="68" s="1"/>
  <c r="E20" i="71"/>
  <c r="H20" i="71" s="1"/>
  <c r="I20" i="71" s="1"/>
  <c r="E26" i="68"/>
  <c r="H26" i="68" s="1"/>
  <c r="I26" i="68" s="1"/>
  <c r="E20" i="77"/>
  <c r="H20" i="77" s="1"/>
  <c r="I20" i="77" s="1"/>
  <c r="E17" i="77"/>
  <c r="E27" i="77"/>
  <c r="H27" i="77" s="1"/>
  <c r="I27" i="77" s="1"/>
  <c r="E22" i="77"/>
  <c r="H22" i="77" s="1"/>
  <c r="I22" i="77" s="1"/>
  <c r="E14" i="77"/>
  <c r="E29" i="77"/>
  <c r="H29" i="77" s="1"/>
  <c r="I29" i="77" s="1"/>
  <c r="E19" i="77"/>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92" i="78"/>
  <c r="P94" i="78"/>
  <c r="R76"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09" i="30"/>
  <c r="E29" i="30"/>
  <c r="H29" i="30" s="1"/>
  <c r="I29" i="30" s="1"/>
  <c r="E14" i="30"/>
  <c r="E43" i="30"/>
  <c r="I43" i="30" s="1"/>
  <c r="E40" i="30"/>
  <c r="I40" i="30" s="1"/>
  <c r="R87" i="78"/>
  <c r="R74" i="78"/>
  <c r="I111" i="30"/>
  <c r="E27" i="30"/>
  <c r="H27" i="30" s="1"/>
  <c r="I27" i="30" s="1"/>
  <c r="E17" i="30"/>
  <c r="R85" i="77"/>
  <c r="E41" i="77"/>
  <c r="I41" i="77" s="1"/>
  <c r="E38" i="77"/>
  <c r="I38" i="77" s="1"/>
  <c r="T109" i="78"/>
  <c r="E29" i="78"/>
  <c r="H29" i="78" s="1"/>
  <c r="I29" i="78" s="1"/>
  <c r="E14" i="78"/>
  <c r="E20" i="30"/>
  <c r="H20" i="30" s="1"/>
  <c r="I20" i="30" s="1"/>
  <c r="H111" i="78"/>
  <c r="E22" i="78"/>
  <c r="H22" i="78" s="1"/>
  <c r="I22" i="78" s="1"/>
  <c r="T110" i="30"/>
  <c r="E25" i="30"/>
  <c r="H25" i="30" s="1"/>
  <c r="I25" i="30" s="1"/>
  <c r="R87" i="77"/>
  <c r="R74" i="77"/>
  <c r="E17" i="78"/>
  <c r="R76" i="30"/>
  <c r="R71" i="30"/>
  <c r="E42" i="30"/>
  <c r="I42" i="30" s="1"/>
  <c r="E39" i="30"/>
  <c r="I39" i="30" s="1"/>
  <c r="E15" i="30"/>
  <c r="R78"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F81" i="51" l="1"/>
  <c r="T111" i="68"/>
  <c r="E44" i="68"/>
  <c r="I111" i="56"/>
  <c r="I111" i="23"/>
  <c r="F81" i="34"/>
  <c r="F81" i="39"/>
  <c r="F81" i="27"/>
  <c r="I111" i="21"/>
  <c r="F81" i="55"/>
  <c r="F81" i="42"/>
  <c r="F83" i="42" s="1"/>
  <c r="I83" i="42" s="1"/>
  <c r="F81" i="16"/>
  <c r="F83" i="16" s="1"/>
  <c r="I83" i="16" s="1"/>
  <c r="F81" i="68"/>
  <c r="F83" i="68" s="1"/>
  <c r="I83" i="68" s="1"/>
  <c r="I103" i="60"/>
  <c r="I102" i="60"/>
  <c r="F81" i="18"/>
  <c r="F83" i="18" s="1"/>
  <c r="I83" i="18" s="1"/>
  <c r="I21" i="7"/>
  <c r="I22" i="7"/>
  <c r="I14" i="7"/>
  <c r="I27" i="7"/>
  <c r="I28" i="7"/>
  <c r="I25" i="7"/>
  <c r="I15" i="7"/>
  <c r="I20" i="7"/>
  <c r="I18" i="7"/>
  <c r="H18" i="60"/>
  <c r="I23" i="7"/>
  <c r="I24" i="7"/>
  <c r="I24" i="60" s="1"/>
  <c r="H24" i="60"/>
  <c r="I19" i="7"/>
  <c r="I29" i="7"/>
  <c r="I26" i="7"/>
  <c r="I26" i="60" s="1"/>
  <c r="H26" i="60"/>
  <c r="H31" i="60"/>
  <c r="I111" i="48"/>
  <c r="I112" i="48" s="1"/>
  <c r="I111" i="52"/>
  <c r="I112" i="52" s="1"/>
  <c r="T111" i="35"/>
  <c r="T111" i="47"/>
  <c r="E44" i="33"/>
  <c r="F83" i="51"/>
  <c r="I83" i="51" s="1"/>
  <c r="F83" i="34"/>
  <c r="I83" i="34" s="1"/>
  <c r="F83" i="55"/>
  <c r="I83" i="55" s="1"/>
  <c r="F83" i="27"/>
  <c r="I83" i="27" s="1"/>
  <c r="F81" i="7"/>
  <c r="F83" i="39"/>
  <c r="I83" i="39" s="1"/>
  <c r="F81" i="75"/>
  <c r="F81" i="22"/>
  <c r="F81" i="57"/>
  <c r="F81" i="28"/>
  <c r="F81" i="20"/>
  <c r="F81" i="31"/>
  <c r="R81" i="31" s="1"/>
  <c r="F81" i="58"/>
  <c r="F81" i="21"/>
  <c r="F81" i="48"/>
  <c r="H15" i="78"/>
  <c r="I15" i="78" s="1"/>
  <c r="F81" i="78"/>
  <c r="H15" i="67"/>
  <c r="I15" i="67" s="1"/>
  <c r="F81" i="67"/>
  <c r="H15" i="77"/>
  <c r="I15" i="77" s="1"/>
  <c r="F81" i="77"/>
  <c r="H15" i="56"/>
  <c r="I15" i="56" s="1"/>
  <c r="F81" i="56"/>
  <c r="H15" i="17"/>
  <c r="I15" i="17" s="1"/>
  <c r="F81" i="17"/>
  <c r="F81" i="33"/>
  <c r="F81" i="38"/>
  <c r="H15" i="15"/>
  <c r="I15" i="15" s="1"/>
  <c r="F81" i="15"/>
  <c r="F81" i="40"/>
  <c r="F81" i="45"/>
  <c r="F81" i="24"/>
  <c r="F81" i="26"/>
  <c r="F81" i="30"/>
  <c r="F81" i="37"/>
  <c r="F81" i="25"/>
  <c r="H15" i="70"/>
  <c r="I15" i="70" s="1"/>
  <c r="F81" i="70"/>
  <c r="H15" i="43"/>
  <c r="I15" i="43" s="1"/>
  <c r="I30" i="43" s="1"/>
  <c r="F81" i="43"/>
  <c r="H15" i="71"/>
  <c r="I15" i="71" s="1"/>
  <c r="F81" i="71"/>
  <c r="H15" i="36"/>
  <c r="I15" i="36" s="1"/>
  <c r="F81" i="36"/>
  <c r="H15" i="50"/>
  <c r="I15" i="50" s="1"/>
  <c r="F81" i="50"/>
  <c r="H15" i="76"/>
  <c r="I15" i="76" s="1"/>
  <c r="F81" i="76"/>
  <c r="H15" i="35"/>
  <c r="I15" i="35" s="1"/>
  <c r="F81" i="35"/>
  <c r="F81" i="47"/>
  <c r="F81" i="66"/>
  <c r="H15" i="32"/>
  <c r="I15" i="32" s="1"/>
  <c r="F81" i="32"/>
  <c r="H15" i="23"/>
  <c r="I15" i="23" s="1"/>
  <c r="F81" i="23"/>
  <c r="F81" i="69"/>
  <c r="F81" i="52"/>
  <c r="H15" i="44"/>
  <c r="I15" i="44" s="1"/>
  <c r="F81" i="44"/>
  <c r="P92" i="76"/>
  <c r="I111" i="75"/>
  <c r="I112" i="75" s="1"/>
  <c r="P94" i="68"/>
  <c r="I111" i="18"/>
  <c r="E44" i="22"/>
  <c r="P92" i="21"/>
  <c r="I111" i="37"/>
  <c r="I112" i="37" s="1"/>
  <c r="I111" i="34"/>
  <c r="I112" i="34" s="1"/>
  <c r="E44" i="24"/>
  <c r="I111" i="51"/>
  <c r="I112" i="51" s="1"/>
  <c r="I44" i="22"/>
  <c r="E44" i="25"/>
  <c r="P93" i="23"/>
  <c r="I112" i="42"/>
  <c r="H19" i="70"/>
  <c r="I19" i="70" s="1"/>
  <c r="E44" i="38"/>
  <c r="P93" i="76"/>
  <c r="E44" i="32"/>
  <c r="E44" i="18"/>
  <c r="E44" i="43"/>
  <c r="E44" i="76"/>
  <c r="I44" i="69"/>
  <c r="P94" i="30"/>
  <c r="P93" i="30"/>
  <c r="P92" i="33"/>
  <c r="I44" i="68"/>
  <c r="P92" i="68"/>
  <c r="P92" i="40"/>
  <c r="P93" i="40"/>
  <c r="I112" i="71"/>
  <c r="I111" i="70"/>
  <c r="I112" i="70" s="1"/>
  <c r="C94" i="69"/>
  <c r="H94" i="69" s="1"/>
  <c r="C93" i="52"/>
  <c r="H93" i="52" s="1"/>
  <c r="H19" i="52"/>
  <c r="I19" i="52" s="1"/>
  <c r="E30" i="52"/>
  <c r="I112" i="44"/>
  <c r="I112" i="35"/>
  <c r="I112" i="18"/>
  <c r="I112" i="32"/>
  <c r="C93" i="39"/>
  <c r="H93" i="39" s="1"/>
  <c r="I44" i="28"/>
  <c r="E44" i="28"/>
  <c r="P94" i="27"/>
  <c r="P92" i="27"/>
  <c r="E44" i="36"/>
  <c r="I112" i="30"/>
  <c r="P92" i="24"/>
  <c r="P94" i="24"/>
  <c r="P93" i="24"/>
  <c r="I112" i="27"/>
  <c r="I111" i="26"/>
  <c r="I112" i="26" s="1"/>
  <c r="T111" i="26"/>
  <c r="P92" i="50"/>
  <c r="P93" i="50"/>
  <c r="H17" i="68"/>
  <c r="I17" i="68" s="1"/>
  <c r="E15" i="60"/>
  <c r="I44" i="38"/>
  <c r="E44" i="39"/>
  <c r="I44" i="25"/>
  <c r="E30" i="34"/>
  <c r="H17" i="71"/>
  <c r="I17" i="71" s="1"/>
  <c r="E44" i="69"/>
  <c r="P93" i="28"/>
  <c r="P92" i="28"/>
  <c r="E44" i="21"/>
  <c r="I44" i="21"/>
  <c r="H19" i="32"/>
  <c r="I19" i="32" s="1"/>
  <c r="H14" i="52"/>
  <c r="E14" i="60"/>
  <c r="H17" i="76"/>
  <c r="I17" i="76" s="1"/>
  <c r="E44" i="50"/>
  <c r="I112" i="43"/>
  <c r="T111" i="16"/>
  <c r="I112" i="69"/>
  <c r="I112" i="67"/>
  <c r="I112" i="47"/>
  <c r="I44" i="32"/>
  <c r="I44" i="18"/>
  <c r="H19" i="78"/>
  <c r="I19" i="78" s="1"/>
  <c r="I112" i="24"/>
  <c r="I111" i="33"/>
  <c r="I112" i="33" s="1"/>
  <c r="I112" i="28"/>
  <c r="P93" i="33"/>
  <c r="P94" i="50"/>
  <c r="P92" i="23"/>
  <c r="P93" i="17"/>
  <c r="P94" i="17"/>
  <c r="P92" i="66"/>
  <c r="P93" i="66"/>
  <c r="P93" i="37"/>
  <c r="P92" i="37"/>
  <c r="I44" i="50"/>
  <c r="D32" i="60"/>
  <c r="E111" i="60" s="1"/>
  <c r="I111" i="60" s="1"/>
  <c r="I113" i="60" s="1"/>
  <c r="P93" i="15"/>
  <c r="P92" i="15"/>
  <c r="E44" i="7"/>
  <c r="C92" i="69"/>
  <c r="H92" i="69" s="1"/>
  <c r="P93" i="21"/>
  <c r="I44" i="76"/>
  <c r="I44" i="36"/>
  <c r="P94" i="38"/>
  <c r="P92" i="38"/>
  <c r="P93" i="38"/>
  <c r="C94" i="33"/>
  <c r="H94" i="33" s="1"/>
  <c r="C94" i="42"/>
  <c r="H94" i="42" s="1"/>
  <c r="I44" i="33"/>
  <c r="I44" i="34"/>
  <c r="I44" i="20"/>
  <c r="P93" i="69"/>
  <c r="P94" i="69"/>
  <c r="P92" i="69"/>
  <c r="P93" i="36"/>
  <c r="P92" i="36"/>
  <c r="P94" i="36"/>
  <c r="P92" i="75"/>
  <c r="P93" i="75"/>
  <c r="P94" i="75"/>
  <c r="I44" i="47"/>
  <c r="I44" i="23"/>
  <c r="I44" i="39"/>
  <c r="C93" i="33"/>
  <c r="H93" i="33" s="1"/>
  <c r="P94" i="22"/>
  <c r="P93" i="22"/>
  <c r="I44" i="43"/>
  <c r="I44" i="27"/>
  <c r="I187" i="60"/>
  <c r="I112" i="56"/>
  <c r="E30" i="36"/>
  <c r="H14" i="36"/>
  <c r="I14" i="36" s="1"/>
  <c r="E40" i="60"/>
  <c r="P92" i="71"/>
  <c r="P93" i="71"/>
  <c r="P94" i="71"/>
  <c r="H17" i="57"/>
  <c r="I17" i="57" s="1"/>
  <c r="E30" i="75"/>
  <c r="H14" i="75"/>
  <c r="I14" i="75" s="1"/>
  <c r="E30" i="55"/>
  <c r="E44" i="75"/>
  <c r="I44" i="75"/>
  <c r="H14" i="47"/>
  <c r="I14" i="47" s="1"/>
  <c r="E30" i="47"/>
  <c r="E30" i="42"/>
  <c r="H15" i="42"/>
  <c r="I15" i="42" s="1"/>
  <c r="C94" i="39"/>
  <c r="H94" i="39" s="1"/>
  <c r="H15" i="45"/>
  <c r="I15" i="45" s="1"/>
  <c r="P92" i="44"/>
  <c r="P94" i="44"/>
  <c r="P93" i="44"/>
  <c r="C94" i="34"/>
  <c r="H94" i="34" s="1"/>
  <c r="H19" i="36"/>
  <c r="I19" i="36" s="1"/>
  <c r="H30" i="33"/>
  <c r="H14" i="31"/>
  <c r="I14" i="31" s="1"/>
  <c r="E30" i="31"/>
  <c r="H21" i="18"/>
  <c r="I21" i="18" s="1"/>
  <c r="E21" i="60"/>
  <c r="H27" i="15"/>
  <c r="I27" i="15" s="1"/>
  <c r="E27" i="60"/>
  <c r="C93" i="16"/>
  <c r="H93" i="16" s="1"/>
  <c r="H28" i="15"/>
  <c r="H28" i="60" s="1"/>
  <c r="E28" i="60"/>
  <c r="E18" i="60"/>
  <c r="I44" i="16"/>
  <c r="H15" i="22"/>
  <c r="I15" i="22" s="1"/>
  <c r="I42" i="60"/>
  <c r="E42" i="60"/>
  <c r="H17" i="18"/>
  <c r="I17" i="18" s="1"/>
  <c r="C93" i="17"/>
  <c r="H93" i="17" s="1"/>
  <c r="H23" i="16"/>
  <c r="H23" i="60" s="1"/>
  <c r="E23" i="60"/>
  <c r="H17" i="15"/>
  <c r="I17" i="15" s="1"/>
  <c r="E41" i="60"/>
  <c r="E44" i="16"/>
  <c r="I111" i="78"/>
  <c r="I112" i="78" s="1"/>
  <c r="T111" i="78"/>
  <c r="P94" i="67"/>
  <c r="P92" i="67"/>
  <c r="P93" i="67"/>
  <c r="H17" i="58"/>
  <c r="I17" i="58" s="1"/>
  <c r="H19" i="66"/>
  <c r="I19" i="66" s="1"/>
  <c r="C93" i="55"/>
  <c r="H93" i="55" s="1"/>
  <c r="E30" i="56"/>
  <c r="C94" i="56"/>
  <c r="H94" i="56" s="1"/>
  <c r="H15" i="48"/>
  <c r="I15" i="48" s="1"/>
  <c r="C93" i="51"/>
  <c r="H93" i="51" s="1"/>
  <c r="E30" i="50"/>
  <c r="H14" i="50"/>
  <c r="I14" i="50" s="1"/>
  <c r="P94" i="42"/>
  <c r="P92" i="42"/>
  <c r="P93" i="42"/>
  <c r="C92" i="33"/>
  <c r="E44" i="27"/>
  <c r="H15" i="31"/>
  <c r="I15" i="31" s="1"/>
  <c r="H17" i="28"/>
  <c r="I17" i="28" s="1"/>
  <c r="H14" i="28"/>
  <c r="I14" i="28" s="1"/>
  <c r="E30" i="28"/>
  <c r="E30" i="17"/>
  <c r="H14" i="17"/>
  <c r="I14" i="17" s="1"/>
  <c r="I112" i="21"/>
  <c r="E44" i="20"/>
  <c r="H20" i="15"/>
  <c r="H20" i="60" s="1"/>
  <c r="E20" i="60"/>
  <c r="E30" i="16"/>
  <c r="H14" i="16"/>
  <c r="I14" i="16" s="1"/>
  <c r="E30" i="25"/>
  <c r="H14" i="25"/>
  <c r="I14" i="25" s="1"/>
  <c r="C94" i="7"/>
  <c r="E39" i="60"/>
  <c r="E30" i="77"/>
  <c r="H14" i="77"/>
  <c r="I14" i="77" s="1"/>
  <c r="H17" i="45"/>
  <c r="I17" i="45" s="1"/>
  <c r="C93" i="34"/>
  <c r="H93" i="34" s="1"/>
  <c r="I111" i="38"/>
  <c r="I112" i="38" s="1"/>
  <c r="T111" i="38"/>
  <c r="H17" i="30"/>
  <c r="I17" i="30" s="1"/>
  <c r="H17" i="77"/>
  <c r="I17" i="77" s="1"/>
  <c r="E30" i="70"/>
  <c r="H14" i="70"/>
  <c r="I14" i="70" s="1"/>
  <c r="I111" i="77"/>
  <c r="I112" i="77" s="1"/>
  <c r="T111" i="77"/>
  <c r="C94" i="57"/>
  <c r="H94" i="57" s="1"/>
  <c r="H15" i="75"/>
  <c r="I15" i="75" s="1"/>
  <c r="P94" i="55"/>
  <c r="P93" i="55"/>
  <c r="P92" i="55"/>
  <c r="H14" i="51"/>
  <c r="I14" i="51" s="1"/>
  <c r="E30" i="51"/>
  <c r="C94" i="47"/>
  <c r="H94" i="47" s="1"/>
  <c r="I112" i="23"/>
  <c r="H19" i="38"/>
  <c r="I19" i="38" s="1"/>
  <c r="I44" i="37"/>
  <c r="E44" i="37"/>
  <c r="H19" i="26"/>
  <c r="I19" i="26" s="1"/>
  <c r="I30" i="33"/>
  <c r="I111" i="22"/>
  <c r="I112" i="22" s="1"/>
  <c r="T111" i="22"/>
  <c r="H29" i="17"/>
  <c r="H29" i="60" s="1"/>
  <c r="E29" i="60"/>
  <c r="H17" i="24"/>
  <c r="I17" i="24" s="1"/>
  <c r="H15" i="21"/>
  <c r="I15" i="21" s="1"/>
  <c r="I111" i="25"/>
  <c r="I112" i="25" s="1"/>
  <c r="T111" i="25"/>
  <c r="E16" i="60"/>
  <c r="H16" i="7"/>
  <c r="H19" i="28"/>
  <c r="I19" i="28" s="1"/>
  <c r="C94" i="30"/>
  <c r="H94" i="30" s="1"/>
  <c r="E44" i="71"/>
  <c r="I44" i="71"/>
  <c r="H15" i="58"/>
  <c r="I15" i="58" s="1"/>
  <c r="C93" i="56"/>
  <c r="H93" i="56" s="1"/>
  <c r="I112" i="76"/>
  <c r="I111" i="50"/>
  <c r="I112" i="50" s="1"/>
  <c r="T111" i="50"/>
  <c r="C94" i="51"/>
  <c r="H94" i="51" s="1"/>
  <c r="P93" i="39"/>
  <c r="P92" i="39"/>
  <c r="P94" i="39"/>
  <c r="E44" i="34"/>
  <c r="H15" i="18"/>
  <c r="I15" i="18" s="1"/>
  <c r="H15" i="28"/>
  <c r="I15" i="28" s="1"/>
  <c r="H15" i="24"/>
  <c r="I15" i="24" s="1"/>
  <c r="I44" i="7"/>
  <c r="G469" i="64"/>
  <c r="F490" i="64"/>
  <c r="F491" i="64" s="1"/>
  <c r="C92" i="7"/>
  <c r="E24" i="60"/>
  <c r="H19" i="22"/>
  <c r="I19" i="22" s="1"/>
  <c r="H14" i="68"/>
  <c r="I14" i="68" s="1"/>
  <c r="E30" i="68"/>
  <c r="E44" i="56"/>
  <c r="I44" i="56"/>
  <c r="H17" i="50"/>
  <c r="I17" i="50" s="1"/>
  <c r="E30" i="32"/>
  <c r="H14" i="32"/>
  <c r="I14" i="32" s="1"/>
  <c r="E30" i="38"/>
  <c r="H14" i="38"/>
  <c r="I14" i="38" s="1"/>
  <c r="I44" i="17"/>
  <c r="E44" i="17"/>
  <c r="E22" i="60"/>
  <c r="H22" i="15"/>
  <c r="I22" i="15" s="1"/>
  <c r="H17" i="78"/>
  <c r="I17" i="78" s="1"/>
  <c r="H17" i="70"/>
  <c r="I17" i="70" s="1"/>
  <c r="C94" i="75"/>
  <c r="H94" i="75" s="1"/>
  <c r="I44" i="45"/>
  <c r="E44" i="45"/>
  <c r="H15" i="39"/>
  <c r="I15" i="39" s="1"/>
  <c r="H17" i="36"/>
  <c r="I17" i="36" s="1"/>
  <c r="I44" i="26"/>
  <c r="E44" i="26"/>
  <c r="I44" i="24"/>
  <c r="H19" i="31"/>
  <c r="I19" i="31" s="1"/>
  <c r="H17" i="21"/>
  <c r="I17" i="21" s="1"/>
  <c r="H15" i="25"/>
  <c r="I15" i="25" s="1"/>
  <c r="E30" i="7"/>
  <c r="H121" i="7" s="1"/>
  <c r="H14" i="22"/>
  <c r="I14" i="22" s="1"/>
  <c r="E30" i="22"/>
  <c r="P93" i="16"/>
  <c r="P92" i="16"/>
  <c r="P94" i="16"/>
  <c r="E30" i="78"/>
  <c r="H14" i="78"/>
  <c r="I14" i="78" s="1"/>
  <c r="E29" i="62"/>
  <c r="E30" i="62" s="1"/>
  <c r="I31" i="60"/>
  <c r="H17" i="69"/>
  <c r="I17" i="69" s="1"/>
  <c r="I112" i="68"/>
  <c r="E44" i="67"/>
  <c r="I44" i="67"/>
  <c r="E30" i="66"/>
  <c r="H14" i="66"/>
  <c r="I14" i="66" s="1"/>
  <c r="E30" i="57"/>
  <c r="H14" i="57"/>
  <c r="I14" i="57" s="1"/>
  <c r="P92" i="57"/>
  <c r="P93" i="57"/>
  <c r="P94" i="57"/>
  <c r="E44" i="57"/>
  <c r="C93" i="47"/>
  <c r="H93" i="47" s="1"/>
  <c r="P92" i="47"/>
  <c r="P94" i="47"/>
  <c r="P93" i="47"/>
  <c r="H19" i="45"/>
  <c r="I19" i="45" s="1"/>
  <c r="C94" i="43"/>
  <c r="H94" i="43" s="1"/>
  <c r="I44" i="42"/>
  <c r="E30" i="40"/>
  <c r="H19" i="37"/>
  <c r="I19" i="37" s="1"/>
  <c r="E44" i="23"/>
  <c r="H15" i="27"/>
  <c r="I15" i="27" s="1"/>
  <c r="P94" i="34"/>
  <c r="P93" i="34"/>
  <c r="P92" i="34"/>
  <c r="C93" i="23"/>
  <c r="H93" i="23" s="1"/>
  <c r="H19" i="17"/>
  <c r="I19" i="17" s="1"/>
  <c r="E19" i="60"/>
  <c r="I111" i="31"/>
  <c r="I112" i="31" s="1"/>
  <c r="T111" i="31"/>
  <c r="I111" i="15"/>
  <c r="I112" i="15" s="1"/>
  <c r="T111" i="15"/>
  <c r="I110" i="7"/>
  <c r="E30" i="15"/>
  <c r="H14" i="58"/>
  <c r="I14" i="58" s="1"/>
  <c r="E30" i="58"/>
  <c r="H17" i="40"/>
  <c r="I17" i="40" s="1"/>
  <c r="E44" i="30"/>
  <c r="C94" i="68"/>
  <c r="H94" i="68" s="1"/>
  <c r="H17" i="67"/>
  <c r="I17" i="67" s="1"/>
  <c r="I44" i="57"/>
  <c r="E44" i="55"/>
  <c r="E44" i="51"/>
  <c r="H16" i="44"/>
  <c r="I16" i="44" s="1"/>
  <c r="E30" i="44"/>
  <c r="C93" i="43"/>
  <c r="H93" i="43" s="1"/>
  <c r="E44" i="47"/>
  <c r="E30" i="43"/>
  <c r="I112" i="40"/>
  <c r="E44" i="42"/>
  <c r="H19" i="23"/>
  <c r="I19" i="23" s="1"/>
  <c r="H17" i="38"/>
  <c r="I17" i="38" s="1"/>
  <c r="H17" i="26"/>
  <c r="I17" i="26" s="1"/>
  <c r="E30" i="26"/>
  <c r="H14" i="26"/>
  <c r="I14" i="26" s="1"/>
  <c r="E30" i="27"/>
  <c r="C93" i="27"/>
  <c r="H93" i="27" s="1"/>
  <c r="H19" i="18"/>
  <c r="I19" i="18" s="1"/>
  <c r="H17" i="7"/>
  <c r="E17" i="60"/>
  <c r="E30" i="18"/>
  <c r="H17" i="22"/>
  <c r="I17" i="22" s="1"/>
  <c r="E44" i="44"/>
  <c r="I44" i="44"/>
  <c r="C93" i="42"/>
  <c r="H93" i="42" s="1"/>
  <c r="E30" i="23"/>
  <c r="H14" i="23"/>
  <c r="I14" i="23" s="1"/>
  <c r="H17" i="25"/>
  <c r="I17" i="25" s="1"/>
  <c r="I44" i="30"/>
  <c r="E30" i="71"/>
  <c r="C94" i="71"/>
  <c r="H94" i="71" s="1"/>
  <c r="I111" i="57"/>
  <c r="I112" i="57" s="1"/>
  <c r="T111" i="57"/>
  <c r="H15" i="55"/>
  <c r="I15" i="55" s="1"/>
  <c r="I44" i="55"/>
  <c r="E30" i="76"/>
  <c r="I44" i="51"/>
  <c r="H14" i="45"/>
  <c r="I14" i="45" s="1"/>
  <c r="E30" i="45"/>
  <c r="I111" i="39"/>
  <c r="I112" i="39" s="1"/>
  <c r="T111" i="39"/>
  <c r="H14" i="37"/>
  <c r="I14" i="37" s="1"/>
  <c r="E30" i="37"/>
  <c r="H17" i="32"/>
  <c r="I17" i="32" s="1"/>
  <c r="H16" i="35"/>
  <c r="I16" i="35" s="1"/>
  <c r="E30" i="35"/>
  <c r="I44" i="31"/>
  <c r="E44" i="31"/>
  <c r="H14" i="24"/>
  <c r="I14" i="24" s="1"/>
  <c r="E30" i="24"/>
  <c r="H17" i="31"/>
  <c r="I17" i="31" s="1"/>
  <c r="E30" i="20"/>
  <c r="H15" i="20"/>
  <c r="I15" i="20" s="1"/>
  <c r="H19" i="20"/>
  <c r="I19" i="20" s="1"/>
  <c r="E26" i="60"/>
  <c r="I111" i="7"/>
  <c r="I199" i="60" s="1"/>
  <c r="T111" i="7"/>
  <c r="E30" i="21"/>
  <c r="H14" i="67"/>
  <c r="I14" i="67" s="1"/>
  <c r="E30" i="67"/>
  <c r="H15" i="57"/>
  <c r="I15" i="57" s="1"/>
  <c r="I44" i="58"/>
  <c r="E44" i="58"/>
  <c r="H15" i="34"/>
  <c r="I15" i="34" s="1"/>
  <c r="H17" i="20"/>
  <c r="I17" i="20" s="1"/>
  <c r="E38" i="60"/>
  <c r="H15" i="68"/>
  <c r="I15" i="68" s="1"/>
  <c r="I44" i="77"/>
  <c r="E44" i="77"/>
  <c r="H19" i="77"/>
  <c r="I19" i="77" s="1"/>
  <c r="E44" i="70"/>
  <c r="I44" i="70"/>
  <c r="H19" i="58"/>
  <c r="I19" i="58" s="1"/>
  <c r="E30" i="69"/>
  <c r="H17" i="66"/>
  <c r="I17" i="66" s="1"/>
  <c r="C94" i="55"/>
  <c r="H94" i="55" s="1"/>
  <c r="T111" i="55"/>
  <c r="I111" i="55"/>
  <c r="I112" i="55" s="1"/>
  <c r="C94" i="76"/>
  <c r="H94" i="76" s="1"/>
  <c r="C93" i="48"/>
  <c r="H93" i="48" s="1"/>
  <c r="E30" i="48"/>
  <c r="I111" i="45"/>
  <c r="I112" i="45" s="1"/>
  <c r="T111" i="45"/>
  <c r="H19" i="40"/>
  <c r="I19" i="40" s="1"/>
  <c r="H15" i="38"/>
  <c r="I15" i="38" s="1"/>
  <c r="C92" i="40"/>
  <c r="E44" i="40"/>
  <c r="H19" i="21"/>
  <c r="I19" i="21" s="1"/>
  <c r="C94" i="35"/>
  <c r="H94" i="35" s="1"/>
  <c r="H19" i="24"/>
  <c r="I19" i="24" s="1"/>
  <c r="C94" i="27"/>
  <c r="H94" i="27" s="1"/>
  <c r="I112" i="17"/>
  <c r="H19" i="25"/>
  <c r="I19" i="25" s="1"/>
  <c r="I109" i="7"/>
  <c r="E44" i="15"/>
  <c r="E30" i="30"/>
  <c r="H14" i="30"/>
  <c r="I14" i="30" s="1"/>
  <c r="H15" i="66"/>
  <c r="I15" i="66" s="1"/>
  <c r="H19" i="50"/>
  <c r="I19" i="50" s="1"/>
  <c r="P94" i="48"/>
  <c r="P93" i="48"/>
  <c r="P92" i="48"/>
  <c r="I111" i="58"/>
  <c r="I112" i="58" s="1"/>
  <c r="T111" i="58"/>
  <c r="I111" i="66"/>
  <c r="I112" i="66" s="1"/>
  <c r="T111" i="66"/>
  <c r="I44" i="52"/>
  <c r="E44" i="52"/>
  <c r="H15" i="30"/>
  <c r="I15" i="30" s="1"/>
  <c r="E44" i="78"/>
  <c r="I44" i="78"/>
  <c r="H19" i="67"/>
  <c r="I19" i="67" s="1"/>
  <c r="I44" i="66"/>
  <c r="E44" i="66"/>
  <c r="H17" i="75"/>
  <c r="I17" i="75" s="1"/>
  <c r="H15" i="51"/>
  <c r="I15" i="51" s="1"/>
  <c r="H19" i="48"/>
  <c r="I19" i="48" s="1"/>
  <c r="C94" i="44"/>
  <c r="H94" i="44" s="1"/>
  <c r="E44" i="48"/>
  <c r="I44" i="48"/>
  <c r="H15" i="37"/>
  <c r="I15" i="37" s="1"/>
  <c r="H17" i="37"/>
  <c r="I17" i="37" s="1"/>
  <c r="I44" i="35"/>
  <c r="E44" i="35"/>
  <c r="E30" i="39"/>
  <c r="I44" i="40"/>
  <c r="I111" i="36"/>
  <c r="I112" i="36" s="1"/>
  <c r="T111" i="36"/>
  <c r="E30" i="33"/>
  <c r="I112" i="20"/>
  <c r="H15" i="16"/>
  <c r="I15" i="16" s="1"/>
  <c r="H25" i="16"/>
  <c r="H25" i="60" s="1"/>
  <c r="E25" i="60"/>
  <c r="E43" i="60"/>
  <c r="H30" i="43" l="1"/>
  <c r="C92" i="71"/>
  <c r="C92" i="76"/>
  <c r="H30" i="56"/>
  <c r="C59" i="56" s="1"/>
  <c r="F82" i="60"/>
  <c r="H22" i="60"/>
  <c r="H19" i="60"/>
  <c r="I17" i="7"/>
  <c r="H17" i="60"/>
  <c r="I16" i="7"/>
  <c r="H16" i="60"/>
  <c r="H94" i="7"/>
  <c r="H27" i="60"/>
  <c r="H14" i="60"/>
  <c r="R81" i="7"/>
  <c r="R82" i="7"/>
  <c r="H15" i="60"/>
  <c r="H21" i="60"/>
  <c r="F83" i="37"/>
  <c r="I83" i="37" s="1"/>
  <c r="F83" i="56"/>
  <c r="I83" i="56" s="1"/>
  <c r="C92" i="43"/>
  <c r="H92" i="43" s="1"/>
  <c r="I95" i="43" s="1"/>
  <c r="F83" i="52"/>
  <c r="I83" i="52" s="1"/>
  <c r="F83" i="50"/>
  <c r="I83" i="50" s="1"/>
  <c r="F83" i="30"/>
  <c r="I83" i="30" s="1"/>
  <c r="F83" i="28"/>
  <c r="I83" i="28" s="1"/>
  <c r="F83" i="20"/>
  <c r="I83" i="20" s="1"/>
  <c r="C92" i="35"/>
  <c r="H92" i="35" s="1"/>
  <c r="F83" i="69"/>
  <c r="I83" i="69" s="1"/>
  <c r="F83" i="26"/>
  <c r="I83" i="26" s="1"/>
  <c r="F83" i="77"/>
  <c r="I83" i="77" s="1"/>
  <c r="F83" i="57"/>
  <c r="I83" i="57" s="1"/>
  <c r="F83" i="23"/>
  <c r="I83" i="23" s="1"/>
  <c r="F83" i="36"/>
  <c r="I83" i="36" s="1"/>
  <c r="R83" i="36"/>
  <c r="U83" i="36" s="1"/>
  <c r="F83" i="24"/>
  <c r="I83" i="24" s="1"/>
  <c r="F83" i="22"/>
  <c r="I83" i="22" s="1"/>
  <c r="F83" i="45"/>
  <c r="I83" i="45" s="1"/>
  <c r="F83" i="67"/>
  <c r="I83" i="67" s="1"/>
  <c r="F83" i="75"/>
  <c r="I83" i="75" s="1"/>
  <c r="C92" i="44"/>
  <c r="H92" i="44" s="1"/>
  <c r="F83" i="32"/>
  <c r="I83" i="32" s="1"/>
  <c r="F83" i="71"/>
  <c r="I83" i="71" s="1"/>
  <c r="F83" i="40"/>
  <c r="I83" i="40" s="1"/>
  <c r="F83" i="15"/>
  <c r="I83" i="15" s="1"/>
  <c r="F83" i="78"/>
  <c r="I83" i="78" s="1"/>
  <c r="F83" i="66"/>
  <c r="I83" i="66" s="1"/>
  <c r="F83" i="43"/>
  <c r="I83" i="43" s="1"/>
  <c r="F83" i="7"/>
  <c r="I83" i="7" s="1"/>
  <c r="F83" i="47"/>
  <c r="I83" i="47" s="1"/>
  <c r="F83" i="38"/>
  <c r="I83" i="38" s="1"/>
  <c r="F83" i="48"/>
  <c r="I83" i="48" s="1"/>
  <c r="F83" i="35"/>
  <c r="I83" i="35" s="1"/>
  <c r="F83" i="70"/>
  <c r="I83" i="70" s="1"/>
  <c r="F83" i="33"/>
  <c r="I83" i="33" s="1"/>
  <c r="F83" i="21"/>
  <c r="I83" i="21" s="1"/>
  <c r="F83" i="17"/>
  <c r="I83" i="17" s="1"/>
  <c r="F83" i="58"/>
  <c r="I83" i="58" s="1"/>
  <c r="F83" i="44"/>
  <c r="I83" i="44" s="1"/>
  <c r="F83" i="76"/>
  <c r="I83" i="76" s="1"/>
  <c r="F83" i="25"/>
  <c r="I83" i="25" s="1"/>
  <c r="F83" i="31"/>
  <c r="I83" i="31" s="1"/>
  <c r="R83" i="31"/>
  <c r="U83" i="31" s="1"/>
  <c r="C92" i="56"/>
  <c r="C95" i="56" s="1"/>
  <c r="H121" i="45"/>
  <c r="C62" i="45"/>
  <c r="H63" i="45" s="1"/>
  <c r="H78" i="45" s="1"/>
  <c r="C65" i="45"/>
  <c r="H66" i="45" s="1"/>
  <c r="H71" i="45" s="1"/>
  <c r="C68" i="45"/>
  <c r="H69" i="45" s="1"/>
  <c r="H76" i="45" s="1"/>
  <c r="H121" i="78"/>
  <c r="C65" i="78"/>
  <c r="H66" i="78" s="1"/>
  <c r="H71" i="78" s="1"/>
  <c r="C68" i="78"/>
  <c r="H69" i="78" s="1"/>
  <c r="H76" i="78" s="1"/>
  <c r="C62" i="78"/>
  <c r="H63" i="78" s="1"/>
  <c r="H78" i="78" s="1"/>
  <c r="H121" i="50"/>
  <c r="C62" i="50"/>
  <c r="H63" i="50" s="1"/>
  <c r="H78" i="50" s="1"/>
  <c r="C65" i="50"/>
  <c r="H66" i="50" s="1"/>
  <c r="H71" i="50" s="1"/>
  <c r="C68" i="50"/>
  <c r="H69" i="50" s="1"/>
  <c r="H76" i="50" s="1"/>
  <c r="H121" i="55"/>
  <c r="C62" i="55"/>
  <c r="H63" i="55" s="1"/>
  <c r="H78" i="55" s="1"/>
  <c r="C65" i="55"/>
  <c r="H66" i="55" s="1"/>
  <c r="H71" i="55" s="1"/>
  <c r="C68" i="55"/>
  <c r="H69" i="55" s="1"/>
  <c r="H76" i="55" s="1"/>
  <c r="H121" i="40"/>
  <c r="C62" i="40"/>
  <c r="H63" i="40" s="1"/>
  <c r="H78" i="40" s="1"/>
  <c r="C65" i="40"/>
  <c r="H66" i="40" s="1"/>
  <c r="H71" i="40" s="1"/>
  <c r="C68" i="40"/>
  <c r="H69" i="40" s="1"/>
  <c r="H76" i="40" s="1"/>
  <c r="H121" i="77"/>
  <c r="C68" i="77"/>
  <c r="H69" i="77" s="1"/>
  <c r="H76" i="77" s="1"/>
  <c r="C65" i="77"/>
  <c r="H66" i="77" s="1"/>
  <c r="H71" i="77" s="1"/>
  <c r="C62" i="77"/>
  <c r="H63" i="77" s="1"/>
  <c r="H78" i="77" s="1"/>
  <c r="H121" i="17"/>
  <c r="C62" i="17"/>
  <c r="H63" i="17" s="1"/>
  <c r="H78" i="17" s="1"/>
  <c r="C68" i="17"/>
  <c r="H69" i="17" s="1"/>
  <c r="H76" i="17" s="1"/>
  <c r="C65" i="17"/>
  <c r="H66" i="17" s="1"/>
  <c r="H71" i="17" s="1"/>
  <c r="H121" i="26"/>
  <c r="C65" i="26"/>
  <c r="H66" i="26" s="1"/>
  <c r="H71" i="26" s="1"/>
  <c r="C68" i="26"/>
  <c r="H69" i="26" s="1"/>
  <c r="H76" i="26" s="1"/>
  <c r="C62" i="26"/>
  <c r="H63" i="26" s="1"/>
  <c r="H78" i="26" s="1"/>
  <c r="H121" i="57"/>
  <c r="C68" i="57"/>
  <c r="H69" i="57" s="1"/>
  <c r="H76" i="57" s="1"/>
  <c r="C62" i="57"/>
  <c r="H63" i="57" s="1"/>
  <c r="H78" i="57" s="1"/>
  <c r="C65" i="57"/>
  <c r="H66" i="57" s="1"/>
  <c r="H71" i="57" s="1"/>
  <c r="H121" i="38"/>
  <c r="C68" i="38"/>
  <c r="H69" i="38" s="1"/>
  <c r="H76" i="38" s="1"/>
  <c r="C65" i="38"/>
  <c r="H66" i="38" s="1"/>
  <c r="H71" i="38" s="1"/>
  <c r="C62" i="38"/>
  <c r="H63" i="38" s="1"/>
  <c r="H78" i="38" s="1"/>
  <c r="H121" i="28"/>
  <c r="C68" i="28"/>
  <c r="H69" i="28" s="1"/>
  <c r="H76" i="28" s="1"/>
  <c r="C65" i="28"/>
  <c r="H66" i="28" s="1"/>
  <c r="H71" i="28" s="1"/>
  <c r="C62" i="28"/>
  <c r="H63" i="28" s="1"/>
  <c r="H78" i="28" s="1"/>
  <c r="H121" i="75"/>
  <c r="C68" i="75"/>
  <c r="H69" i="75" s="1"/>
  <c r="H76" i="75" s="1"/>
  <c r="C62" i="75"/>
  <c r="H63" i="75" s="1"/>
  <c r="H78" i="75" s="1"/>
  <c r="C65" i="75"/>
  <c r="H66" i="75" s="1"/>
  <c r="H71" i="75" s="1"/>
  <c r="H121" i="23"/>
  <c r="C65" i="23"/>
  <c r="H66" i="23" s="1"/>
  <c r="H71" i="23" s="1"/>
  <c r="C62" i="23"/>
  <c r="H63" i="23" s="1"/>
  <c r="H78" i="23" s="1"/>
  <c r="C68" i="23"/>
  <c r="H69" i="23" s="1"/>
  <c r="H76" i="23" s="1"/>
  <c r="C62" i="30"/>
  <c r="H63" i="30" s="1"/>
  <c r="H78" i="30" s="1"/>
  <c r="C65" i="30"/>
  <c r="H66" i="30" s="1"/>
  <c r="H71" i="30" s="1"/>
  <c r="C68" i="30"/>
  <c r="H69" i="30" s="1"/>
  <c r="H76" i="30" s="1"/>
  <c r="H121" i="67"/>
  <c r="C68" i="67"/>
  <c r="H69" i="67" s="1"/>
  <c r="H76" i="67" s="1"/>
  <c r="C62" i="67"/>
  <c r="H63" i="67" s="1"/>
  <c r="H78" i="67" s="1"/>
  <c r="C65" i="67"/>
  <c r="H66" i="67" s="1"/>
  <c r="H71" i="67" s="1"/>
  <c r="H121" i="76"/>
  <c r="C65" i="76"/>
  <c r="H66" i="76" s="1"/>
  <c r="H71" i="76" s="1"/>
  <c r="C68" i="76"/>
  <c r="H69" i="76" s="1"/>
  <c r="H76" i="76" s="1"/>
  <c r="C62" i="76"/>
  <c r="H63" i="76" s="1"/>
  <c r="H78" i="76" s="1"/>
  <c r="H121" i="24"/>
  <c r="C65" i="24"/>
  <c r="H66" i="24" s="1"/>
  <c r="H71" i="24" s="1"/>
  <c r="C68" i="24"/>
  <c r="H69" i="24" s="1"/>
  <c r="H76" i="24" s="1"/>
  <c r="C62" i="24"/>
  <c r="H63" i="24" s="1"/>
  <c r="H78" i="24" s="1"/>
  <c r="H121" i="66"/>
  <c r="C62" i="66"/>
  <c r="H63" i="66" s="1"/>
  <c r="H78" i="66" s="1"/>
  <c r="C65" i="66"/>
  <c r="H66" i="66" s="1"/>
  <c r="H71" i="66" s="1"/>
  <c r="C68" i="66"/>
  <c r="H69" i="66" s="1"/>
  <c r="H76" i="66" s="1"/>
  <c r="H121" i="22"/>
  <c r="C68" i="22"/>
  <c r="H69" i="22" s="1"/>
  <c r="H76" i="22" s="1"/>
  <c r="C62" i="22"/>
  <c r="H63" i="22" s="1"/>
  <c r="H78" i="22" s="1"/>
  <c r="C65" i="22"/>
  <c r="H66" i="22" s="1"/>
  <c r="H71" i="22" s="1"/>
  <c r="C65" i="32"/>
  <c r="H66" i="32" s="1"/>
  <c r="H71" i="32" s="1"/>
  <c r="C68" i="32"/>
  <c r="H69" i="32" s="1"/>
  <c r="H76" i="32" s="1"/>
  <c r="C62" i="32"/>
  <c r="H63" i="32" s="1"/>
  <c r="H78" i="32" s="1"/>
  <c r="H121" i="56"/>
  <c r="C65" i="56"/>
  <c r="H66" i="56" s="1"/>
  <c r="H71" i="56" s="1"/>
  <c r="C68" i="56"/>
  <c r="H69" i="56" s="1"/>
  <c r="H76" i="56" s="1"/>
  <c r="C62" i="56"/>
  <c r="H63" i="56" s="1"/>
  <c r="H78" i="56" s="1"/>
  <c r="H121" i="33"/>
  <c r="C62" i="33"/>
  <c r="H63" i="33" s="1"/>
  <c r="H78" i="33" s="1"/>
  <c r="C65" i="33"/>
  <c r="H66" i="33" s="1"/>
  <c r="H71" i="33" s="1"/>
  <c r="C68" i="33"/>
  <c r="H69" i="33" s="1"/>
  <c r="H76" i="33" s="1"/>
  <c r="H121" i="21"/>
  <c r="C68" i="21"/>
  <c r="H69" i="21" s="1"/>
  <c r="H76" i="21" s="1"/>
  <c r="C65" i="21"/>
  <c r="H66" i="21" s="1"/>
  <c r="H71" i="21" s="1"/>
  <c r="C62" i="21"/>
  <c r="H63" i="21" s="1"/>
  <c r="H78" i="21" s="1"/>
  <c r="H121" i="35"/>
  <c r="C62" i="35"/>
  <c r="H63" i="35" s="1"/>
  <c r="H78" i="35" s="1"/>
  <c r="C68" i="35"/>
  <c r="H69" i="35" s="1"/>
  <c r="H76" i="35" s="1"/>
  <c r="C65" i="35"/>
  <c r="H66" i="35" s="1"/>
  <c r="H71" i="35" s="1"/>
  <c r="H121" i="51"/>
  <c r="C68" i="51"/>
  <c r="H69" i="51" s="1"/>
  <c r="H76" i="51" s="1"/>
  <c r="C65" i="51"/>
  <c r="H66" i="51" s="1"/>
  <c r="H71" i="51" s="1"/>
  <c r="C62" i="51"/>
  <c r="H63" i="51" s="1"/>
  <c r="H78" i="51" s="1"/>
  <c r="H121" i="70"/>
  <c r="C68" i="70"/>
  <c r="H69" i="70" s="1"/>
  <c r="H76" i="70" s="1"/>
  <c r="C65" i="70"/>
  <c r="H66" i="70" s="1"/>
  <c r="H71" i="70" s="1"/>
  <c r="C62" i="70"/>
  <c r="H63" i="70" s="1"/>
  <c r="H78" i="70" s="1"/>
  <c r="H121" i="25"/>
  <c r="C68" i="25"/>
  <c r="H69" i="25" s="1"/>
  <c r="H76" i="25" s="1"/>
  <c r="C62" i="25"/>
  <c r="H63" i="25" s="1"/>
  <c r="H78" i="25" s="1"/>
  <c r="C65" i="25"/>
  <c r="H66" i="25" s="1"/>
  <c r="H71" i="25" s="1"/>
  <c r="H121" i="48"/>
  <c r="C62" i="48"/>
  <c r="H63" i="48" s="1"/>
  <c r="H78" i="48" s="1"/>
  <c r="C65" i="48"/>
  <c r="H66" i="48" s="1"/>
  <c r="H71" i="48" s="1"/>
  <c r="C68" i="48"/>
  <c r="H69" i="48" s="1"/>
  <c r="H76" i="48" s="1"/>
  <c r="H121" i="18"/>
  <c r="C68" i="18"/>
  <c r="H69" i="18" s="1"/>
  <c r="H76" i="18" s="1"/>
  <c r="C65" i="18"/>
  <c r="H66" i="18" s="1"/>
  <c r="H71" i="18" s="1"/>
  <c r="C62" i="18"/>
  <c r="H63" i="18" s="1"/>
  <c r="H78" i="18" s="1"/>
  <c r="C62" i="7"/>
  <c r="C68" i="7"/>
  <c r="C65" i="7"/>
  <c r="H121" i="43"/>
  <c r="C68" i="43"/>
  <c r="H69" i="43" s="1"/>
  <c r="H76" i="43" s="1"/>
  <c r="C62" i="43"/>
  <c r="H63" i="43" s="1"/>
  <c r="H78" i="43" s="1"/>
  <c r="C65" i="43"/>
  <c r="H66" i="43" s="1"/>
  <c r="H71" i="43" s="1"/>
  <c r="H121" i="16"/>
  <c r="C65" i="16"/>
  <c r="H66" i="16" s="1"/>
  <c r="H71" i="16" s="1"/>
  <c r="C68" i="16"/>
  <c r="H69" i="16" s="1"/>
  <c r="H76" i="16" s="1"/>
  <c r="C62" i="16"/>
  <c r="H63" i="16" s="1"/>
  <c r="H78" i="16" s="1"/>
  <c r="H121" i="42"/>
  <c r="C68" i="42"/>
  <c r="H69" i="42" s="1"/>
  <c r="H76" i="42" s="1"/>
  <c r="C65" i="42"/>
  <c r="H66" i="42" s="1"/>
  <c r="H71" i="42" s="1"/>
  <c r="C62" i="42"/>
  <c r="H63" i="42" s="1"/>
  <c r="H78" i="42" s="1"/>
  <c r="H121" i="37"/>
  <c r="C65" i="37"/>
  <c r="H66" i="37" s="1"/>
  <c r="H71" i="37" s="1"/>
  <c r="C68" i="37"/>
  <c r="H69" i="37" s="1"/>
  <c r="H76" i="37" s="1"/>
  <c r="C62" i="37"/>
  <c r="H63" i="37" s="1"/>
  <c r="H78" i="37" s="1"/>
  <c r="H121" i="58"/>
  <c r="C65" i="58"/>
  <c r="H66" i="58" s="1"/>
  <c r="H71" i="58" s="1"/>
  <c r="C68" i="58"/>
  <c r="H69" i="58" s="1"/>
  <c r="H76" i="58" s="1"/>
  <c r="C62" i="58"/>
  <c r="H63" i="58" s="1"/>
  <c r="H78" i="58" s="1"/>
  <c r="H121" i="68"/>
  <c r="C65" i="68"/>
  <c r="H66" i="68" s="1"/>
  <c r="H71" i="68" s="1"/>
  <c r="C68" i="68"/>
  <c r="H69" i="68" s="1"/>
  <c r="H76" i="68" s="1"/>
  <c r="C62" i="68"/>
  <c r="H63" i="68" s="1"/>
  <c r="H78" i="68" s="1"/>
  <c r="C68" i="31"/>
  <c r="H69" i="31" s="1"/>
  <c r="H76" i="31" s="1"/>
  <c r="C62" i="31"/>
  <c r="H63" i="31" s="1"/>
  <c r="H78" i="31" s="1"/>
  <c r="C65" i="31"/>
  <c r="H66" i="31" s="1"/>
  <c r="H71" i="31" s="1"/>
  <c r="H121" i="47"/>
  <c r="C68" i="47"/>
  <c r="H69" i="47" s="1"/>
  <c r="H76" i="47" s="1"/>
  <c r="C65" i="47"/>
  <c r="H66" i="47" s="1"/>
  <c r="H71" i="47" s="1"/>
  <c r="C62" i="47"/>
  <c r="H63" i="47" s="1"/>
  <c r="H78" i="47" s="1"/>
  <c r="H121" i="39"/>
  <c r="C65" i="39"/>
  <c r="H66" i="39" s="1"/>
  <c r="H71" i="39" s="1"/>
  <c r="C68" i="39"/>
  <c r="H69" i="39" s="1"/>
  <c r="H76" i="39" s="1"/>
  <c r="C62" i="39"/>
  <c r="H63" i="39" s="1"/>
  <c r="H78" i="39" s="1"/>
  <c r="H121" i="71"/>
  <c r="C68" i="71"/>
  <c r="H69" i="71" s="1"/>
  <c r="H76" i="71" s="1"/>
  <c r="C65" i="71"/>
  <c r="H66" i="71" s="1"/>
  <c r="H71" i="71" s="1"/>
  <c r="C62" i="71"/>
  <c r="H63" i="71" s="1"/>
  <c r="H78" i="71" s="1"/>
  <c r="C68" i="36"/>
  <c r="H69" i="36" s="1"/>
  <c r="H76" i="36" s="1"/>
  <c r="C65" i="36"/>
  <c r="H66" i="36" s="1"/>
  <c r="H71" i="36" s="1"/>
  <c r="C62" i="36"/>
  <c r="H63" i="36" s="1"/>
  <c r="H78" i="36" s="1"/>
  <c r="H121" i="34"/>
  <c r="P16" i="34" s="1"/>
  <c r="T16" i="34" s="1"/>
  <c r="U16" i="34" s="1"/>
  <c r="C68" i="34"/>
  <c r="H69" i="34" s="1"/>
  <c r="H76" i="34" s="1"/>
  <c r="C62" i="34"/>
  <c r="H63" i="34" s="1"/>
  <c r="H78" i="34" s="1"/>
  <c r="C65" i="34"/>
  <c r="H66" i="34" s="1"/>
  <c r="H71" i="34" s="1"/>
  <c r="H121" i="15"/>
  <c r="C68" i="15"/>
  <c r="H69" i="15" s="1"/>
  <c r="H76" i="15" s="1"/>
  <c r="C62" i="15"/>
  <c r="H63" i="15" s="1"/>
  <c r="H78" i="15" s="1"/>
  <c r="C65" i="15"/>
  <c r="H66" i="15" s="1"/>
  <c r="H71" i="15" s="1"/>
  <c r="H121" i="69"/>
  <c r="C62" i="69"/>
  <c r="H63" i="69" s="1"/>
  <c r="H78" i="69" s="1"/>
  <c r="C65" i="69"/>
  <c r="H66" i="69" s="1"/>
  <c r="H71" i="69" s="1"/>
  <c r="C68" i="69"/>
  <c r="H69" i="69" s="1"/>
  <c r="H76" i="69" s="1"/>
  <c r="H121" i="20"/>
  <c r="C62" i="20"/>
  <c r="H63" i="20" s="1"/>
  <c r="H78" i="20" s="1"/>
  <c r="C68" i="20"/>
  <c r="H69" i="20" s="1"/>
  <c r="H76" i="20" s="1"/>
  <c r="C65" i="20"/>
  <c r="H66" i="20" s="1"/>
  <c r="H71" i="20" s="1"/>
  <c r="H121" i="27"/>
  <c r="C62" i="27"/>
  <c r="H63" i="27" s="1"/>
  <c r="H78" i="27" s="1"/>
  <c r="C65" i="27"/>
  <c r="H66" i="27" s="1"/>
  <c r="H71" i="27" s="1"/>
  <c r="C68" i="27"/>
  <c r="H69" i="27" s="1"/>
  <c r="H76" i="27" s="1"/>
  <c r="H121" i="44"/>
  <c r="C65" i="44"/>
  <c r="H66" i="44" s="1"/>
  <c r="H71" i="44" s="1"/>
  <c r="C68" i="44"/>
  <c r="H69" i="44" s="1"/>
  <c r="H76" i="44" s="1"/>
  <c r="C62" i="44"/>
  <c r="H63" i="44" s="1"/>
  <c r="H78" i="44" s="1"/>
  <c r="H121" i="52"/>
  <c r="P42" i="52" s="1"/>
  <c r="U42" i="52" s="1"/>
  <c r="C65" i="52"/>
  <c r="H66" i="52" s="1"/>
  <c r="H71" i="52" s="1"/>
  <c r="C68" i="52"/>
  <c r="H69" i="52" s="1"/>
  <c r="H76" i="52" s="1"/>
  <c r="C62" i="52"/>
  <c r="H63" i="52" s="1"/>
  <c r="H78" i="52" s="1"/>
  <c r="E46" i="33"/>
  <c r="C59" i="33"/>
  <c r="E46" i="43"/>
  <c r="C59" i="43"/>
  <c r="I29" i="17"/>
  <c r="I29" i="60" s="1"/>
  <c r="I20" i="15"/>
  <c r="I20" i="60" s="1"/>
  <c r="C92" i="52"/>
  <c r="H92" i="52" s="1"/>
  <c r="I14" i="52"/>
  <c r="I30" i="52" s="1"/>
  <c r="I28" i="15"/>
  <c r="I28" i="60" s="1"/>
  <c r="I23" i="16"/>
  <c r="I25" i="16"/>
  <c r="I25" i="60" s="1"/>
  <c r="I39" i="60"/>
  <c r="C94" i="70"/>
  <c r="H94" i="70" s="1"/>
  <c r="C56" i="34"/>
  <c r="H57" i="34" s="1"/>
  <c r="H74" i="34" s="1"/>
  <c r="I74" i="34" s="1"/>
  <c r="I30" i="76"/>
  <c r="I30" i="71"/>
  <c r="I27" i="60"/>
  <c r="I41" i="60"/>
  <c r="I46" i="33"/>
  <c r="I46" i="43"/>
  <c r="C94" i="78"/>
  <c r="H94" i="78" s="1"/>
  <c r="C93" i="57"/>
  <c r="H93" i="57" s="1"/>
  <c r="H30" i="76"/>
  <c r="C93" i="76"/>
  <c r="H93" i="76" s="1"/>
  <c r="C94" i="52"/>
  <c r="H94" i="52" s="1"/>
  <c r="H30" i="52"/>
  <c r="C56" i="52"/>
  <c r="H57" i="52" s="1"/>
  <c r="H121" i="32"/>
  <c r="C56" i="32"/>
  <c r="H57" i="32" s="1"/>
  <c r="C93" i="68"/>
  <c r="H93" i="68" s="1"/>
  <c r="C94" i="32"/>
  <c r="H94" i="32" s="1"/>
  <c r="C93" i="71"/>
  <c r="H93" i="71" s="1"/>
  <c r="H30" i="71"/>
  <c r="H121" i="30"/>
  <c r="C92" i="21"/>
  <c r="H92" i="21" s="1"/>
  <c r="I40" i="60"/>
  <c r="C93" i="36"/>
  <c r="H93" i="36" s="1"/>
  <c r="C93" i="58"/>
  <c r="H93" i="58" s="1"/>
  <c r="C92" i="48"/>
  <c r="H92" i="48" s="1"/>
  <c r="C93" i="50"/>
  <c r="H93" i="50" s="1"/>
  <c r="C93" i="75"/>
  <c r="H93" i="75" s="1"/>
  <c r="I43" i="60"/>
  <c r="C92" i="15"/>
  <c r="H92" i="15" s="1"/>
  <c r="C94" i="36"/>
  <c r="H94" i="36" s="1"/>
  <c r="H30" i="21"/>
  <c r="C93" i="77"/>
  <c r="H93" i="77" s="1"/>
  <c r="C94" i="22"/>
  <c r="H94" i="22" s="1"/>
  <c r="C94" i="28"/>
  <c r="H94" i="28" s="1"/>
  <c r="I44" i="15"/>
  <c r="C92" i="34"/>
  <c r="H92" i="34" s="1"/>
  <c r="I95" i="34" s="1"/>
  <c r="C93" i="24"/>
  <c r="H93" i="24" s="1"/>
  <c r="I30" i="40"/>
  <c r="C94" i="24"/>
  <c r="H94" i="24" s="1"/>
  <c r="C94" i="31"/>
  <c r="H94" i="31" s="1"/>
  <c r="C93" i="22"/>
  <c r="H93" i="22" s="1"/>
  <c r="C93" i="28"/>
  <c r="H93" i="28" s="1"/>
  <c r="I21" i="60"/>
  <c r="C93" i="45"/>
  <c r="H93" i="45" s="1"/>
  <c r="C56" i="35"/>
  <c r="H57" i="35" s="1"/>
  <c r="H30" i="58"/>
  <c r="I30" i="58"/>
  <c r="C92" i="58"/>
  <c r="C56" i="40"/>
  <c r="H57" i="40" s="1"/>
  <c r="H92" i="71"/>
  <c r="I30" i="68"/>
  <c r="C92" i="68"/>
  <c r="H30" i="68"/>
  <c r="I38" i="60"/>
  <c r="I18" i="60"/>
  <c r="C95" i="33"/>
  <c r="H92" i="33"/>
  <c r="I95" i="33" s="1"/>
  <c r="I30" i="55"/>
  <c r="C94" i="16"/>
  <c r="H94" i="16" s="1"/>
  <c r="C56" i="33"/>
  <c r="H57" i="33" s="1"/>
  <c r="I30" i="34"/>
  <c r="C93" i="35"/>
  <c r="I30" i="35"/>
  <c r="H30" i="35"/>
  <c r="C94" i="25"/>
  <c r="H94" i="25" s="1"/>
  <c r="C94" i="23"/>
  <c r="H94" i="23" s="1"/>
  <c r="H30" i="66"/>
  <c r="C92" i="66"/>
  <c r="H30" i="70"/>
  <c r="C92" i="70"/>
  <c r="H30" i="25"/>
  <c r="I30" i="25"/>
  <c r="C92" i="25"/>
  <c r="H30" i="50"/>
  <c r="I30" i="50"/>
  <c r="C92" i="50"/>
  <c r="C94" i="37"/>
  <c r="H94" i="37" s="1"/>
  <c r="C56" i="55"/>
  <c r="H57" i="55" s="1"/>
  <c r="C93" i="20"/>
  <c r="H93" i="20" s="1"/>
  <c r="C56" i="15"/>
  <c r="H57" i="15" s="1"/>
  <c r="C56" i="66"/>
  <c r="H57" i="66" s="1"/>
  <c r="E34" i="62"/>
  <c r="E38" i="62" s="1"/>
  <c r="C56" i="7"/>
  <c r="C94" i="50"/>
  <c r="H94" i="50" s="1"/>
  <c r="C93" i="70"/>
  <c r="H93" i="70" s="1"/>
  <c r="E46" i="56"/>
  <c r="H60" i="56" s="1"/>
  <c r="C56" i="70"/>
  <c r="H57" i="70" s="1"/>
  <c r="C56" i="25"/>
  <c r="H57" i="25" s="1"/>
  <c r="H30" i="17"/>
  <c r="C92" i="17"/>
  <c r="C56" i="50"/>
  <c r="H57" i="50" s="1"/>
  <c r="C93" i="15"/>
  <c r="C56" i="31"/>
  <c r="H57" i="31" s="1"/>
  <c r="C56" i="45"/>
  <c r="H57" i="45" s="1"/>
  <c r="H30" i="23"/>
  <c r="C92" i="23"/>
  <c r="C56" i="18"/>
  <c r="H57" i="18" s="1"/>
  <c r="I30" i="27"/>
  <c r="C92" i="27"/>
  <c r="H30" i="27"/>
  <c r="I30" i="56"/>
  <c r="C56" i="17"/>
  <c r="H57" i="17" s="1"/>
  <c r="C94" i="45"/>
  <c r="H94" i="45" s="1"/>
  <c r="C93" i="25"/>
  <c r="H93" i="25" s="1"/>
  <c r="H30" i="31"/>
  <c r="I30" i="31"/>
  <c r="C92" i="31"/>
  <c r="I30" i="42"/>
  <c r="H30" i="42"/>
  <c r="C92" i="42"/>
  <c r="H30" i="75"/>
  <c r="I30" i="75"/>
  <c r="C92" i="75"/>
  <c r="H92" i="76"/>
  <c r="C92" i="30"/>
  <c r="H30" i="30"/>
  <c r="C56" i="69"/>
  <c r="H57" i="69" s="1"/>
  <c r="H30" i="45"/>
  <c r="I30" i="45"/>
  <c r="C92" i="45"/>
  <c r="C56" i="23"/>
  <c r="H57" i="23" s="1"/>
  <c r="H30" i="78"/>
  <c r="I30" i="78"/>
  <c r="C92" i="78"/>
  <c r="C56" i="51"/>
  <c r="H57" i="51" s="1"/>
  <c r="C56" i="28"/>
  <c r="H57" i="28" s="1"/>
  <c r="C56" i="56"/>
  <c r="H57" i="56" s="1"/>
  <c r="C93" i="38"/>
  <c r="H93" i="38" s="1"/>
  <c r="C56" i="42"/>
  <c r="H57" i="42" s="1"/>
  <c r="C56" i="75"/>
  <c r="H57" i="75" s="1"/>
  <c r="C56" i="30"/>
  <c r="H57" i="30" s="1"/>
  <c r="C56" i="24"/>
  <c r="H57" i="24" s="1"/>
  <c r="C93" i="32"/>
  <c r="H93" i="32" s="1"/>
  <c r="C56" i="27"/>
  <c r="H57" i="27" s="1"/>
  <c r="C56" i="44"/>
  <c r="H57" i="44" s="1"/>
  <c r="C93" i="67"/>
  <c r="H93" i="67" s="1"/>
  <c r="C56" i="78"/>
  <c r="H57" i="78" s="1"/>
  <c r="C93" i="66"/>
  <c r="H93" i="66" s="1"/>
  <c r="C93" i="31"/>
  <c r="H93" i="31" s="1"/>
  <c r="C94" i="77"/>
  <c r="H94" i="77" s="1"/>
  <c r="H30" i="51"/>
  <c r="I30" i="51"/>
  <c r="C92" i="51"/>
  <c r="C92" i="16"/>
  <c r="H30" i="16"/>
  <c r="I30" i="28"/>
  <c r="C92" i="28"/>
  <c r="H30" i="28"/>
  <c r="E30" i="60"/>
  <c r="C56" i="39"/>
  <c r="H57" i="39" s="1"/>
  <c r="I30" i="24"/>
  <c r="C92" i="24"/>
  <c r="H30" i="24"/>
  <c r="C94" i="67"/>
  <c r="H94" i="67" s="1"/>
  <c r="H30" i="26"/>
  <c r="C92" i="26"/>
  <c r="I30" i="44"/>
  <c r="C93" i="44"/>
  <c r="H93" i="44" s="1"/>
  <c r="H30" i="44"/>
  <c r="H30" i="77"/>
  <c r="I30" i="77"/>
  <c r="C92" i="77"/>
  <c r="C56" i="16"/>
  <c r="H57" i="16" s="1"/>
  <c r="C56" i="47"/>
  <c r="H57" i="47" s="1"/>
  <c r="I30" i="21"/>
  <c r="C94" i="21"/>
  <c r="H94" i="21" s="1"/>
  <c r="H92" i="40"/>
  <c r="C94" i="20"/>
  <c r="H94" i="20" s="1"/>
  <c r="C56" i="37"/>
  <c r="H57" i="37" s="1"/>
  <c r="C56" i="26"/>
  <c r="H57" i="26" s="1"/>
  <c r="C56" i="43"/>
  <c r="H57" i="43" s="1"/>
  <c r="H30" i="38"/>
  <c r="I30" i="38"/>
  <c r="C92" i="38"/>
  <c r="C93" i="21"/>
  <c r="H93" i="21" s="1"/>
  <c r="C93" i="78"/>
  <c r="H93" i="78" s="1"/>
  <c r="C93" i="7"/>
  <c r="C93" i="30"/>
  <c r="H93" i="30" s="1"/>
  <c r="C56" i="77"/>
  <c r="H57" i="77" s="1"/>
  <c r="H30" i="40"/>
  <c r="I30" i="47"/>
  <c r="H30" i="47"/>
  <c r="C92" i="47"/>
  <c r="C93" i="37"/>
  <c r="H93" i="37" s="1"/>
  <c r="C56" i="67"/>
  <c r="H57" i="67" s="1"/>
  <c r="H30" i="37"/>
  <c r="I30" i="37"/>
  <c r="C92" i="37"/>
  <c r="I22" i="60"/>
  <c r="C94" i="15"/>
  <c r="H94" i="15" s="1"/>
  <c r="C56" i="38"/>
  <c r="H57" i="38" s="1"/>
  <c r="H30" i="7"/>
  <c r="C94" i="17"/>
  <c r="H94" i="17" s="1"/>
  <c r="C94" i="66"/>
  <c r="H94" i="66" s="1"/>
  <c r="C93" i="40"/>
  <c r="H93" i="40" s="1"/>
  <c r="C92" i="67"/>
  <c r="H30" i="67"/>
  <c r="H30" i="32"/>
  <c r="C92" i="32"/>
  <c r="H92" i="7"/>
  <c r="C93" i="18"/>
  <c r="H93" i="18" s="1"/>
  <c r="I30" i="36"/>
  <c r="C92" i="36"/>
  <c r="H30" i="36"/>
  <c r="C56" i="48"/>
  <c r="H57" i="48" s="1"/>
  <c r="C92" i="20"/>
  <c r="H30" i="20"/>
  <c r="C56" i="76"/>
  <c r="H57" i="76" s="1"/>
  <c r="C56" i="71"/>
  <c r="H57" i="71" s="1"/>
  <c r="C94" i="18"/>
  <c r="H94" i="18" s="1"/>
  <c r="C92" i="57"/>
  <c r="H30" i="57"/>
  <c r="I30" i="57"/>
  <c r="I30" i="69"/>
  <c r="C93" i="69"/>
  <c r="H30" i="69"/>
  <c r="C56" i="22"/>
  <c r="H57" i="22" s="1"/>
  <c r="I30" i="39"/>
  <c r="C92" i="39"/>
  <c r="H30" i="39"/>
  <c r="C94" i="58"/>
  <c r="H94" i="58" s="1"/>
  <c r="H30" i="18"/>
  <c r="C92" i="18"/>
  <c r="H30" i="55"/>
  <c r="C94" i="38"/>
  <c r="H94" i="38" s="1"/>
  <c r="C56" i="36"/>
  <c r="H57" i="36" s="1"/>
  <c r="I30" i="48"/>
  <c r="C94" i="48"/>
  <c r="H94" i="48" s="1"/>
  <c r="C93" i="26"/>
  <c r="H93" i="26" s="1"/>
  <c r="H30" i="48"/>
  <c r="I112" i="7"/>
  <c r="I200" i="60" s="1"/>
  <c r="H30" i="34"/>
  <c r="E44" i="60"/>
  <c r="C56" i="21"/>
  <c r="H57" i="21" s="1"/>
  <c r="C56" i="20"/>
  <c r="H57" i="20" s="1"/>
  <c r="C56" i="58"/>
  <c r="H57" i="58" s="1"/>
  <c r="C56" i="57"/>
  <c r="H57" i="57" s="1"/>
  <c r="H30" i="22"/>
  <c r="C92" i="22"/>
  <c r="I30" i="22"/>
  <c r="C56" i="68"/>
  <c r="H57" i="68" s="1"/>
  <c r="C94" i="40"/>
  <c r="H94" i="40" s="1"/>
  <c r="H30" i="15"/>
  <c r="C94" i="26"/>
  <c r="H94" i="26" s="1"/>
  <c r="C92" i="55"/>
  <c r="C179" i="60" l="1"/>
  <c r="P38" i="34"/>
  <c r="U38" i="34" s="1"/>
  <c r="P41" i="52"/>
  <c r="U41" i="52" s="1"/>
  <c r="P14" i="34"/>
  <c r="P29" i="52"/>
  <c r="T29" i="52" s="1"/>
  <c r="U29" i="52" s="1"/>
  <c r="R83" i="7"/>
  <c r="U83" i="7" s="1"/>
  <c r="P40" i="34"/>
  <c r="U40" i="34" s="1"/>
  <c r="P101" i="34"/>
  <c r="U101" i="34" s="1"/>
  <c r="P43" i="34"/>
  <c r="U43" i="34" s="1"/>
  <c r="P23" i="34"/>
  <c r="T23" i="34" s="1"/>
  <c r="U23" i="34" s="1"/>
  <c r="P43" i="52"/>
  <c r="U43" i="52" s="1"/>
  <c r="P39" i="34"/>
  <c r="U39" i="34" s="1"/>
  <c r="P20" i="52"/>
  <c r="T20" i="52" s="1"/>
  <c r="U20" i="52" s="1"/>
  <c r="P21" i="34"/>
  <c r="T21" i="34" s="1"/>
  <c r="U21" i="34" s="1"/>
  <c r="P25" i="52"/>
  <c r="T25" i="52" s="1"/>
  <c r="U25" i="52" s="1"/>
  <c r="H92" i="56"/>
  <c r="I95" i="56" s="1"/>
  <c r="C178" i="60"/>
  <c r="P111" i="34"/>
  <c r="U111" i="34" s="1"/>
  <c r="P17" i="52"/>
  <c r="T17" i="52" s="1"/>
  <c r="U17" i="52" s="1"/>
  <c r="P26" i="34"/>
  <c r="T26" i="34" s="1"/>
  <c r="U26" i="34" s="1"/>
  <c r="P109" i="52"/>
  <c r="U109" i="52" s="1"/>
  <c r="C177" i="60"/>
  <c r="R82" i="42"/>
  <c r="R81" i="42"/>
  <c r="R83" i="42" s="1"/>
  <c r="U83" i="42" s="1"/>
  <c r="R82" i="75"/>
  <c r="R81" i="75"/>
  <c r="R83" i="75" s="1"/>
  <c r="U83" i="75" s="1"/>
  <c r="R81" i="76"/>
  <c r="R82" i="76"/>
  <c r="R81" i="48"/>
  <c r="R82" i="48"/>
  <c r="R81" i="32"/>
  <c r="R82" i="32"/>
  <c r="R81" i="28"/>
  <c r="R82" i="28"/>
  <c r="R81" i="44"/>
  <c r="R82" i="44"/>
  <c r="R82" i="15"/>
  <c r="R81" i="15"/>
  <c r="R82" i="66"/>
  <c r="R81" i="66"/>
  <c r="R83" i="66" s="1"/>
  <c r="U83" i="66" s="1"/>
  <c r="R81" i="68"/>
  <c r="R82" i="68"/>
  <c r="R81" i="50"/>
  <c r="R82" i="50"/>
  <c r="R82" i="58"/>
  <c r="R81" i="58"/>
  <c r="R83" i="58" s="1"/>
  <c r="U83" i="58" s="1"/>
  <c r="R81" i="39"/>
  <c r="R82" i="39"/>
  <c r="R81" i="78"/>
  <c r="R82" i="78"/>
  <c r="R81" i="70"/>
  <c r="R82" i="70"/>
  <c r="R81" i="33"/>
  <c r="R82" i="33"/>
  <c r="R82" i="35"/>
  <c r="R81" i="35"/>
  <c r="R83" i="35" s="1"/>
  <c r="U83" i="35" s="1"/>
  <c r="R82" i="22"/>
  <c r="R81" i="22"/>
  <c r="R83" i="22" s="1"/>
  <c r="U83" i="22" s="1"/>
  <c r="R81" i="43"/>
  <c r="R82" i="43"/>
  <c r="R81" i="77"/>
  <c r="R82" i="77"/>
  <c r="R81" i="37"/>
  <c r="R82" i="37"/>
  <c r="R82" i="26"/>
  <c r="R81" i="26"/>
  <c r="R83" i="26" s="1"/>
  <c r="U83" i="26" s="1"/>
  <c r="P101" i="52"/>
  <c r="U101" i="52" s="1"/>
  <c r="R81" i="52"/>
  <c r="R82" i="52"/>
  <c r="R82" i="38"/>
  <c r="R81" i="38"/>
  <c r="R83" i="38" s="1"/>
  <c r="U83" i="38" s="1"/>
  <c r="R81" i="47"/>
  <c r="R82" i="47"/>
  <c r="R81" i="23"/>
  <c r="R82" i="23"/>
  <c r="R81" i="57"/>
  <c r="R82" i="57"/>
  <c r="R81" i="40"/>
  <c r="R82" i="40"/>
  <c r="R81" i="45"/>
  <c r="R82" i="45"/>
  <c r="R82" i="20"/>
  <c r="R81" i="20"/>
  <c r="R82" i="69"/>
  <c r="R81" i="69"/>
  <c r="R81" i="21"/>
  <c r="R82" i="21"/>
  <c r="H30" i="60"/>
  <c r="E46" i="60" s="1"/>
  <c r="C152" i="60" s="1"/>
  <c r="H153" i="60" s="1"/>
  <c r="R81" i="30"/>
  <c r="R82" i="30"/>
  <c r="R81" i="27"/>
  <c r="R82" i="27"/>
  <c r="P41" i="34"/>
  <c r="U41" i="34" s="1"/>
  <c r="R81" i="34"/>
  <c r="R82" i="34"/>
  <c r="R81" i="24"/>
  <c r="R82" i="24"/>
  <c r="R81" i="55"/>
  <c r="R82" i="55"/>
  <c r="R81" i="16"/>
  <c r="R82" i="16"/>
  <c r="R81" i="71"/>
  <c r="R82" i="71"/>
  <c r="R81" i="17"/>
  <c r="R82" i="17"/>
  <c r="R81" i="67"/>
  <c r="R82" i="67"/>
  <c r="R82" i="25"/>
  <c r="R81" i="25"/>
  <c r="R83" i="25" s="1"/>
  <c r="U83" i="25" s="1"/>
  <c r="P21" i="52"/>
  <c r="T21" i="52" s="1"/>
  <c r="U21" i="52" s="1"/>
  <c r="U114" i="52"/>
  <c r="P15" i="34"/>
  <c r="T15" i="34" s="1"/>
  <c r="U15" i="34" s="1"/>
  <c r="P19" i="52"/>
  <c r="T19" i="52" s="1"/>
  <c r="U19" i="52" s="1"/>
  <c r="R81" i="18"/>
  <c r="R82" i="18"/>
  <c r="R82" i="51"/>
  <c r="R81" i="51"/>
  <c r="R81" i="56"/>
  <c r="R82" i="56"/>
  <c r="H66" i="7"/>
  <c r="H71" i="7" s="1"/>
  <c r="I71" i="7" s="1"/>
  <c r="C66" i="60"/>
  <c r="H67" i="60" s="1"/>
  <c r="H72" i="60" s="1"/>
  <c r="I84" i="60"/>
  <c r="H63" i="7"/>
  <c r="H78" i="7" s="1"/>
  <c r="I78" i="7" s="1"/>
  <c r="C63" i="60"/>
  <c r="H64" i="60" s="1"/>
  <c r="H79" i="60" s="1"/>
  <c r="H57" i="7"/>
  <c r="H74" i="7" s="1"/>
  <c r="I74" i="7" s="1"/>
  <c r="C57" i="60"/>
  <c r="H58" i="60" s="1"/>
  <c r="H75" i="60" s="1"/>
  <c r="H93" i="7"/>
  <c r="I95" i="7" s="1"/>
  <c r="C94" i="60"/>
  <c r="H69" i="7"/>
  <c r="H76" i="7" s="1"/>
  <c r="I76" i="7" s="1"/>
  <c r="C69" i="60"/>
  <c r="H70" i="60" s="1"/>
  <c r="H77" i="60" s="1"/>
  <c r="C95" i="60"/>
  <c r="H95" i="60"/>
  <c r="C93" i="60"/>
  <c r="F84" i="60"/>
  <c r="I46" i="76"/>
  <c r="F52" i="76" s="1"/>
  <c r="I52" i="76" s="1"/>
  <c r="I46" i="39"/>
  <c r="F52" i="39" s="1"/>
  <c r="I52" i="39" s="1"/>
  <c r="P109" i="34"/>
  <c r="U109" i="34" s="1"/>
  <c r="P24" i="34"/>
  <c r="T24" i="34" s="1"/>
  <c r="U24" i="34" s="1"/>
  <c r="I46" i="47"/>
  <c r="F52" i="47" s="1"/>
  <c r="I52" i="47" s="1"/>
  <c r="C95" i="43"/>
  <c r="I46" i="51"/>
  <c r="F51" i="51" s="1"/>
  <c r="I51" i="51" s="1"/>
  <c r="P14" i="52"/>
  <c r="P23" i="52"/>
  <c r="T23" i="52" s="1"/>
  <c r="U23" i="52" s="1"/>
  <c r="K30" i="75"/>
  <c r="I46" i="56"/>
  <c r="F51" i="56" s="1"/>
  <c r="I51" i="56" s="1"/>
  <c r="I46" i="48"/>
  <c r="F52" i="48" s="1"/>
  <c r="I52" i="48" s="1"/>
  <c r="I46" i="37"/>
  <c r="F51" i="37" s="1"/>
  <c r="I51" i="37" s="1"/>
  <c r="P42" i="34"/>
  <c r="U42" i="34" s="1"/>
  <c r="P29" i="34"/>
  <c r="T29" i="34" s="1"/>
  <c r="U29" i="34" s="1"/>
  <c r="P22" i="52"/>
  <c r="T22" i="52" s="1"/>
  <c r="U22" i="52" s="1"/>
  <c r="P18" i="52"/>
  <c r="T18" i="52" s="1"/>
  <c r="U18" i="52" s="1"/>
  <c r="I46" i="50"/>
  <c r="I46" i="24"/>
  <c r="F51" i="24" s="1"/>
  <c r="I51" i="24" s="1"/>
  <c r="I46" i="27"/>
  <c r="F51" i="27" s="1"/>
  <c r="I51" i="27" s="1"/>
  <c r="P28" i="34"/>
  <c r="T28" i="34" s="1"/>
  <c r="U28" i="34" s="1"/>
  <c r="P22" i="34"/>
  <c r="T22" i="34" s="1"/>
  <c r="U22" i="34" s="1"/>
  <c r="P110" i="52"/>
  <c r="U110" i="52" s="1"/>
  <c r="P27" i="52"/>
  <c r="T27" i="52" s="1"/>
  <c r="U27" i="52" s="1"/>
  <c r="P39" i="52"/>
  <c r="U39" i="52" s="1"/>
  <c r="I46" i="35"/>
  <c r="F52" i="35" s="1"/>
  <c r="I52" i="35" s="1"/>
  <c r="U114" i="34"/>
  <c r="P17" i="34"/>
  <c r="T17" i="34" s="1"/>
  <c r="U17" i="34" s="1"/>
  <c r="I46" i="77"/>
  <c r="F52" i="77" s="1"/>
  <c r="I52" i="77" s="1"/>
  <c r="P26" i="52"/>
  <c r="T26" i="52" s="1"/>
  <c r="U26" i="52" s="1"/>
  <c r="P111" i="52"/>
  <c r="U111" i="52" s="1"/>
  <c r="P28" i="52"/>
  <c r="T28" i="52" s="1"/>
  <c r="U28" i="52" s="1"/>
  <c r="I46" i="45"/>
  <c r="I46" i="42"/>
  <c r="F51" i="42" s="1"/>
  <c r="I51" i="42" s="1"/>
  <c r="I46" i="25"/>
  <c r="F52" i="25" s="1"/>
  <c r="I52" i="25" s="1"/>
  <c r="I46" i="68"/>
  <c r="F51" i="68" s="1"/>
  <c r="I51" i="68" s="1"/>
  <c r="I46" i="69"/>
  <c r="F51" i="69" s="1"/>
  <c r="I51" i="69" s="1"/>
  <c r="I46" i="34"/>
  <c r="F51" i="34" s="1"/>
  <c r="I51" i="34" s="1"/>
  <c r="I46" i="57"/>
  <c r="F51" i="57" s="1"/>
  <c r="I51" i="57" s="1"/>
  <c r="P110" i="34"/>
  <c r="U110" i="34" s="1"/>
  <c r="P27" i="34"/>
  <c r="T27" i="34" s="1"/>
  <c r="U27" i="34" s="1"/>
  <c r="P16" i="52"/>
  <c r="T16" i="52" s="1"/>
  <c r="U16" i="52" s="1"/>
  <c r="P40" i="52"/>
  <c r="U40" i="52" s="1"/>
  <c r="I46" i="31"/>
  <c r="F52" i="31" s="1"/>
  <c r="I52" i="31" s="1"/>
  <c r="I46" i="52"/>
  <c r="F51" i="52" s="1"/>
  <c r="I51" i="52" s="1"/>
  <c r="I46" i="40"/>
  <c r="F51" i="40" s="1"/>
  <c r="I51" i="40" s="1"/>
  <c r="I46" i="36"/>
  <c r="F51" i="36" s="1"/>
  <c r="I51" i="36" s="1"/>
  <c r="I46" i="22"/>
  <c r="F52" i="22" s="1"/>
  <c r="I52" i="22" s="1"/>
  <c r="I46" i="44"/>
  <c r="F52" i="44" s="1"/>
  <c r="I52" i="44" s="1"/>
  <c r="I46" i="28"/>
  <c r="F52" i="28" s="1"/>
  <c r="I52" i="28" s="1"/>
  <c r="P19" i="34"/>
  <c r="T19" i="34" s="1"/>
  <c r="U19" i="34" s="1"/>
  <c r="P15" i="52"/>
  <c r="T15" i="52" s="1"/>
  <c r="U15" i="52" s="1"/>
  <c r="I46" i="55"/>
  <c r="F51" i="55" s="1"/>
  <c r="I51" i="55" s="1"/>
  <c r="P25" i="34"/>
  <c r="T25" i="34" s="1"/>
  <c r="U25" i="34" s="1"/>
  <c r="P20" i="34"/>
  <c r="T20" i="34" s="1"/>
  <c r="U20" i="34" s="1"/>
  <c r="I46" i="21"/>
  <c r="F52" i="21" s="1"/>
  <c r="I52" i="21" s="1"/>
  <c r="P38" i="52"/>
  <c r="U38" i="52" s="1"/>
  <c r="I46" i="58"/>
  <c r="F52" i="58" s="1"/>
  <c r="I52" i="58" s="1"/>
  <c r="P18" i="34"/>
  <c r="T18" i="34" s="1"/>
  <c r="U18" i="34" s="1"/>
  <c r="I46" i="38"/>
  <c r="F52" i="38" s="1"/>
  <c r="I52" i="38" s="1"/>
  <c r="P24" i="52"/>
  <c r="T24" i="52" s="1"/>
  <c r="U24" i="52" s="1"/>
  <c r="I46" i="78"/>
  <c r="F52" i="78" s="1"/>
  <c r="I52" i="78" s="1"/>
  <c r="I46" i="71"/>
  <c r="F51" i="71" s="1"/>
  <c r="I51" i="71" s="1"/>
  <c r="H85" i="56"/>
  <c r="I85" i="56" s="1"/>
  <c r="H87" i="56"/>
  <c r="I87" i="56" s="1"/>
  <c r="H93" i="15"/>
  <c r="I95" i="15" s="1"/>
  <c r="C187" i="60"/>
  <c r="E187" i="60" s="1"/>
  <c r="E46" i="7"/>
  <c r="C59" i="7"/>
  <c r="E46" i="34"/>
  <c r="C59" i="34"/>
  <c r="E46" i="24"/>
  <c r="C59" i="24"/>
  <c r="E46" i="42"/>
  <c r="C59" i="42"/>
  <c r="E46" i="71"/>
  <c r="C59" i="71"/>
  <c r="E46" i="76"/>
  <c r="C59" i="76"/>
  <c r="E46" i="22"/>
  <c r="C59" i="22"/>
  <c r="E46" i="48"/>
  <c r="C59" i="48"/>
  <c r="E46" i="39"/>
  <c r="C59" i="39"/>
  <c r="E46" i="40"/>
  <c r="C59" i="40"/>
  <c r="E46" i="51"/>
  <c r="C59" i="51"/>
  <c r="E46" i="45"/>
  <c r="C59" i="45"/>
  <c r="E46" i="17"/>
  <c r="C59" i="17"/>
  <c r="E46" i="25"/>
  <c r="C59" i="25"/>
  <c r="E46" i="38"/>
  <c r="C59" i="38"/>
  <c r="E46" i="31"/>
  <c r="C59" i="31"/>
  <c r="E46" i="23"/>
  <c r="C59" i="23"/>
  <c r="E46" i="70"/>
  <c r="C59" i="70"/>
  <c r="E46" i="21"/>
  <c r="C59" i="21"/>
  <c r="E46" i="20"/>
  <c r="C59" i="20"/>
  <c r="E46" i="77"/>
  <c r="C59" i="77"/>
  <c r="E46" i="30"/>
  <c r="C59" i="30"/>
  <c r="E46" i="69"/>
  <c r="C59" i="69"/>
  <c r="E46" i="44"/>
  <c r="C59" i="44"/>
  <c r="E46" i="28"/>
  <c r="C59" i="28"/>
  <c r="E46" i="68"/>
  <c r="C59" i="68"/>
  <c r="E46" i="15"/>
  <c r="C59" i="15"/>
  <c r="E46" i="58"/>
  <c r="C59" i="58"/>
  <c r="E46" i="37"/>
  <c r="C59" i="37"/>
  <c r="E46" i="35"/>
  <c r="C59" i="35"/>
  <c r="E46" i="78"/>
  <c r="C59" i="78"/>
  <c r="E46" i="66"/>
  <c r="C59" i="66"/>
  <c r="H60" i="43"/>
  <c r="E46" i="47"/>
  <c r="C59" i="47"/>
  <c r="E46" i="50"/>
  <c r="C59" i="50"/>
  <c r="E46" i="36"/>
  <c r="C59" i="36"/>
  <c r="E46" i="32"/>
  <c r="C59" i="32"/>
  <c r="H60" i="32" s="1"/>
  <c r="E46" i="16"/>
  <c r="C59" i="16"/>
  <c r="E46" i="52"/>
  <c r="C59" i="52"/>
  <c r="E46" i="55"/>
  <c r="C59" i="55"/>
  <c r="E46" i="18"/>
  <c r="C59" i="18"/>
  <c r="E46" i="57"/>
  <c r="C59" i="57"/>
  <c r="E46" i="67"/>
  <c r="C59" i="67"/>
  <c r="E46" i="26"/>
  <c r="C59" i="26"/>
  <c r="E46" i="75"/>
  <c r="C59" i="75"/>
  <c r="E46" i="27"/>
  <c r="C59" i="27"/>
  <c r="H60" i="33"/>
  <c r="F51" i="76"/>
  <c r="I51" i="76" s="1"/>
  <c r="F51" i="50"/>
  <c r="I51" i="50" s="1"/>
  <c r="F52" i="50"/>
  <c r="I52" i="50" s="1"/>
  <c r="F51" i="39"/>
  <c r="I51" i="39" s="1"/>
  <c r="F52" i="45"/>
  <c r="I52" i="45" s="1"/>
  <c r="F51" i="45"/>
  <c r="I51" i="45" s="1"/>
  <c r="F51" i="25"/>
  <c r="I51" i="25" s="1"/>
  <c r="I30" i="16"/>
  <c r="F51" i="33"/>
  <c r="I51" i="33" s="1"/>
  <c r="F52" i="33"/>
  <c r="I52" i="33" s="1"/>
  <c r="F52" i="43"/>
  <c r="I52" i="43" s="1"/>
  <c r="F51" i="43"/>
  <c r="I51" i="43" s="1"/>
  <c r="I30" i="17"/>
  <c r="I23" i="60"/>
  <c r="I71" i="34"/>
  <c r="I78" i="34"/>
  <c r="I76" i="34"/>
  <c r="I76" i="52"/>
  <c r="I95" i="71"/>
  <c r="I30" i="32"/>
  <c r="C95" i="71"/>
  <c r="I95" i="52"/>
  <c r="C95" i="52"/>
  <c r="C95" i="76"/>
  <c r="I78" i="52"/>
  <c r="I71" i="52"/>
  <c r="H74" i="52"/>
  <c r="I74" i="52" s="1"/>
  <c r="I95" i="76"/>
  <c r="I44" i="60"/>
  <c r="I16" i="60"/>
  <c r="C95" i="7"/>
  <c r="I30" i="7"/>
  <c r="C95" i="34"/>
  <c r="I46" i="75"/>
  <c r="I30" i="67"/>
  <c r="C95" i="21"/>
  <c r="C95" i="15"/>
  <c r="I95" i="44"/>
  <c r="I19" i="60"/>
  <c r="I17" i="60"/>
  <c r="I30" i="15"/>
  <c r="I30" i="70"/>
  <c r="I30" i="20"/>
  <c r="I95" i="40"/>
  <c r="I95" i="48"/>
  <c r="C95" i="22"/>
  <c r="H92" i="22"/>
  <c r="I95" i="22" s="1"/>
  <c r="P14" i="76"/>
  <c r="P29" i="76"/>
  <c r="T29" i="76" s="1"/>
  <c r="U29" i="76" s="1"/>
  <c r="P24" i="76"/>
  <c r="T24" i="76" s="1"/>
  <c r="U24" i="76" s="1"/>
  <c r="P38" i="76"/>
  <c r="U38" i="76" s="1"/>
  <c r="P41" i="76"/>
  <c r="U41" i="76" s="1"/>
  <c r="P19" i="76"/>
  <c r="T19" i="76" s="1"/>
  <c r="U19" i="76" s="1"/>
  <c r="P110" i="76"/>
  <c r="U110"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09" i="76"/>
  <c r="U109" i="76" s="1"/>
  <c r="P15" i="76"/>
  <c r="T15" i="76" s="1"/>
  <c r="U15" i="76" s="1"/>
  <c r="P25" i="76"/>
  <c r="T25" i="76" s="1"/>
  <c r="U25" i="76" s="1"/>
  <c r="P27" i="76"/>
  <c r="T27" i="76" s="1"/>
  <c r="U27" i="76" s="1"/>
  <c r="P20" i="76"/>
  <c r="T20" i="76" s="1"/>
  <c r="U20" i="76" s="1"/>
  <c r="P40" i="76"/>
  <c r="U40" i="76" s="1"/>
  <c r="P17" i="76"/>
  <c r="T17" i="76" s="1"/>
  <c r="U17" i="76" s="1"/>
  <c r="P43" i="76"/>
  <c r="U43" i="76" s="1"/>
  <c r="P101" i="76"/>
  <c r="U101" i="76" s="1"/>
  <c r="P22" i="76"/>
  <c r="T22" i="76" s="1"/>
  <c r="U22" i="76" s="1"/>
  <c r="P111" i="76"/>
  <c r="U111" i="76" s="1"/>
  <c r="U114" i="76"/>
  <c r="C95" i="44"/>
  <c r="I71" i="24"/>
  <c r="I76" i="24"/>
  <c r="I78" i="24"/>
  <c r="H74" i="24"/>
  <c r="I74" i="24" s="1"/>
  <c r="P18" i="70"/>
  <c r="T18" i="70" s="1"/>
  <c r="U18" i="70" s="1"/>
  <c r="P23" i="70"/>
  <c r="T23" i="70" s="1"/>
  <c r="U23" i="70" s="1"/>
  <c r="P109" i="70"/>
  <c r="U109" i="70" s="1"/>
  <c r="P15" i="70"/>
  <c r="T15" i="70" s="1"/>
  <c r="U15" i="70" s="1"/>
  <c r="P25" i="70"/>
  <c r="T25" i="70" s="1"/>
  <c r="U25" i="70" s="1"/>
  <c r="P19" i="70"/>
  <c r="T19" i="70" s="1"/>
  <c r="U19" i="70" s="1"/>
  <c r="P110" i="70"/>
  <c r="U110" i="70" s="1"/>
  <c r="P22" i="70"/>
  <c r="T22" i="70" s="1"/>
  <c r="U22" i="70" s="1"/>
  <c r="P27" i="70"/>
  <c r="T27" i="70" s="1"/>
  <c r="U27" i="70" s="1"/>
  <c r="P40" i="70"/>
  <c r="U40" i="70" s="1"/>
  <c r="P20" i="70"/>
  <c r="T20" i="70" s="1"/>
  <c r="U20" i="70" s="1"/>
  <c r="U114" i="70"/>
  <c r="P16" i="70"/>
  <c r="T16" i="70" s="1"/>
  <c r="U16" i="70" s="1"/>
  <c r="P41" i="70"/>
  <c r="U41" i="70" s="1"/>
  <c r="P14" i="70"/>
  <c r="P21" i="70"/>
  <c r="T21" i="70" s="1"/>
  <c r="U21" i="70" s="1"/>
  <c r="P26" i="70"/>
  <c r="T26" i="70" s="1"/>
  <c r="U26" i="70" s="1"/>
  <c r="P28" i="70"/>
  <c r="T28" i="70" s="1"/>
  <c r="U28" i="70" s="1"/>
  <c r="P42" i="70"/>
  <c r="U42" i="70" s="1"/>
  <c r="P38" i="70"/>
  <c r="U38" i="70" s="1"/>
  <c r="P43" i="70"/>
  <c r="U43" i="70" s="1"/>
  <c r="P111" i="70"/>
  <c r="U111" i="70" s="1"/>
  <c r="P101" i="70"/>
  <c r="U101" i="70" s="1"/>
  <c r="P24" i="70"/>
  <c r="T24" i="70" s="1"/>
  <c r="U24" i="70" s="1"/>
  <c r="P29" i="70"/>
  <c r="T29" i="70" s="1"/>
  <c r="U29" i="70" s="1"/>
  <c r="P17" i="70"/>
  <c r="T17" i="70" s="1"/>
  <c r="U17" i="70" s="1"/>
  <c r="P39" i="70"/>
  <c r="U39" i="70" s="1"/>
  <c r="C95" i="50"/>
  <c r="H92" i="50"/>
  <c r="I95" i="50" s="1"/>
  <c r="H93" i="35"/>
  <c r="I95" i="35" s="1"/>
  <c r="C95" i="35"/>
  <c r="P18" i="35"/>
  <c r="T18" i="35" s="1"/>
  <c r="U18" i="35" s="1"/>
  <c r="P23" i="35"/>
  <c r="T23" i="35" s="1"/>
  <c r="U23" i="35" s="1"/>
  <c r="P109" i="35"/>
  <c r="U109" i="35" s="1"/>
  <c r="P101" i="35"/>
  <c r="U101" i="35" s="1"/>
  <c r="P15" i="35"/>
  <c r="T15" i="35" s="1"/>
  <c r="U15" i="35" s="1"/>
  <c r="P25" i="35"/>
  <c r="T25" i="35" s="1"/>
  <c r="U25" i="35" s="1"/>
  <c r="P20" i="35"/>
  <c r="T20" i="35" s="1"/>
  <c r="U20" i="35" s="1"/>
  <c r="P40" i="35"/>
  <c r="U40" i="35" s="1"/>
  <c r="P43" i="35"/>
  <c r="U43" i="35" s="1"/>
  <c r="P111" i="35"/>
  <c r="U111"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10" i="35"/>
  <c r="U110" i="35" s="1"/>
  <c r="P16" i="35"/>
  <c r="T16" i="35" s="1"/>
  <c r="U16" i="35" s="1"/>
  <c r="P26" i="35"/>
  <c r="T26" i="35" s="1"/>
  <c r="U26" i="35" s="1"/>
  <c r="U114" i="35"/>
  <c r="P21" i="35"/>
  <c r="T21" i="35" s="1"/>
  <c r="U21" i="35" s="1"/>
  <c r="P39" i="35"/>
  <c r="U39" i="35" s="1"/>
  <c r="P42" i="35"/>
  <c r="U42" i="35" s="1"/>
  <c r="P28" i="35"/>
  <c r="T28" i="35" s="1"/>
  <c r="U28" i="35" s="1"/>
  <c r="I71" i="76"/>
  <c r="I76" i="76"/>
  <c r="I78" i="76"/>
  <c r="H74" i="76"/>
  <c r="I74" i="76" s="1"/>
  <c r="H92" i="37"/>
  <c r="I95" i="37" s="1"/>
  <c r="C95" i="37"/>
  <c r="I71" i="37"/>
  <c r="I76" i="37"/>
  <c r="I78" i="37"/>
  <c r="H74" i="37"/>
  <c r="I74" i="37" s="1"/>
  <c r="I78" i="47"/>
  <c r="H74" i="47"/>
  <c r="I74" i="47" s="1"/>
  <c r="I76" i="47"/>
  <c r="I71" i="47"/>
  <c r="H92" i="51"/>
  <c r="I95" i="51" s="1"/>
  <c r="C95" i="51"/>
  <c r="I71" i="44"/>
  <c r="I76" i="44"/>
  <c r="I78" i="44"/>
  <c r="H74" i="44"/>
  <c r="I74" i="44" s="1"/>
  <c r="P16" i="75"/>
  <c r="T16" i="75" s="1"/>
  <c r="U16" i="75" s="1"/>
  <c r="P15" i="75"/>
  <c r="T15" i="75" s="1"/>
  <c r="U15" i="75" s="1"/>
  <c r="P38" i="75"/>
  <c r="U38" i="75" s="1"/>
  <c r="P41" i="75"/>
  <c r="U41" i="75" s="1"/>
  <c r="P18" i="75"/>
  <c r="T18" i="75" s="1"/>
  <c r="U18" i="75" s="1"/>
  <c r="P26" i="75"/>
  <c r="T26" i="75" s="1"/>
  <c r="U26" i="75" s="1"/>
  <c r="P110" i="75"/>
  <c r="U110" i="75" s="1"/>
  <c r="U114" i="75"/>
  <c r="P28" i="75"/>
  <c r="T28" i="75" s="1"/>
  <c r="U28" i="75" s="1"/>
  <c r="P23" i="75"/>
  <c r="T23" i="75" s="1"/>
  <c r="U23" i="75" s="1"/>
  <c r="P39" i="75"/>
  <c r="U39" i="75" s="1"/>
  <c r="P42" i="75"/>
  <c r="U42" i="75" s="1"/>
  <c r="P21" i="75"/>
  <c r="T21" i="75" s="1"/>
  <c r="U21" i="75" s="1"/>
  <c r="P109" i="75"/>
  <c r="U109" i="75" s="1"/>
  <c r="P25" i="75"/>
  <c r="T25" i="75" s="1"/>
  <c r="U25" i="75" s="1"/>
  <c r="P101" i="75"/>
  <c r="U101" i="75" s="1"/>
  <c r="P14" i="75"/>
  <c r="P19" i="75"/>
  <c r="T19" i="75" s="1"/>
  <c r="U19" i="75" s="1"/>
  <c r="P27" i="75"/>
  <c r="T27" i="75" s="1"/>
  <c r="U27" i="75" s="1"/>
  <c r="P40" i="75"/>
  <c r="U40" i="75" s="1"/>
  <c r="P43" i="75"/>
  <c r="U43" i="75" s="1"/>
  <c r="P111" i="75"/>
  <c r="U111" i="75" s="1"/>
  <c r="P17" i="75"/>
  <c r="T17" i="75" s="1"/>
  <c r="U17" i="75" s="1"/>
  <c r="P24" i="75"/>
  <c r="T24" i="75" s="1"/>
  <c r="U24" i="75" s="1"/>
  <c r="P20" i="75"/>
  <c r="T20" i="75" s="1"/>
  <c r="U20" i="75" s="1"/>
  <c r="P22" i="75"/>
  <c r="T22" i="75" s="1"/>
  <c r="U22" i="75" s="1"/>
  <c r="P29" i="75"/>
  <c r="T29" i="75" s="1"/>
  <c r="U29" i="75" s="1"/>
  <c r="P15" i="28"/>
  <c r="T15" i="28" s="1"/>
  <c r="U15" i="28" s="1"/>
  <c r="P25" i="28"/>
  <c r="T25" i="28" s="1"/>
  <c r="U25" i="28" s="1"/>
  <c r="P20" i="28"/>
  <c r="T20" i="28" s="1"/>
  <c r="U20" i="28" s="1"/>
  <c r="P40" i="28"/>
  <c r="U40" i="28" s="1"/>
  <c r="P43" i="28"/>
  <c r="U43" i="28" s="1"/>
  <c r="P111" i="28"/>
  <c r="U111"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10" i="28"/>
  <c r="U110" i="28" s="1"/>
  <c r="P16" i="28"/>
  <c r="T16" i="28" s="1"/>
  <c r="U16" i="28" s="1"/>
  <c r="P26" i="28"/>
  <c r="T26" i="28" s="1"/>
  <c r="U26" i="28" s="1"/>
  <c r="U114" i="28"/>
  <c r="P28" i="28"/>
  <c r="T28" i="28" s="1"/>
  <c r="U28" i="28" s="1"/>
  <c r="P39" i="28"/>
  <c r="U39" i="28" s="1"/>
  <c r="P42" i="28"/>
  <c r="U42" i="28" s="1"/>
  <c r="P18" i="28"/>
  <c r="T18" i="28" s="1"/>
  <c r="U18" i="28" s="1"/>
  <c r="P23" i="28"/>
  <c r="T23" i="28" s="1"/>
  <c r="U23" i="28" s="1"/>
  <c r="P109" i="28"/>
  <c r="U109" i="28" s="1"/>
  <c r="P21" i="28"/>
  <c r="T21" i="28" s="1"/>
  <c r="U21" i="28" s="1"/>
  <c r="P101" i="28"/>
  <c r="U101" i="28" s="1"/>
  <c r="H74" i="45"/>
  <c r="I74" i="45" s="1"/>
  <c r="I71" i="45"/>
  <c r="I76" i="45"/>
  <c r="I78" i="45"/>
  <c r="P28" i="50"/>
  <c r="T28" i="50" s="1"/>
  <c r="U28" i="50" s="1"/>
  <c r="P39" i="50"/>
  <c r="U39" i="50" s="1"/>
  <c r="P42" i="50"/>
  <c r="U42" i="50" s="1"/>
  <c r="P18" i="50"/>
  <c r="T18" i="50" s="1"/>
  <c r="U18" i="50" s="1"/>
  <c r="P23" i="50"/>
  <c r="T23" i="50" s="1"/>
  <c r="U23" i="50" s="1"/>
  <c r="P109" i="50"/>
  <c r="U109" i="50" s="1"/>
  <c r="P101" i="50"/>
  <c r="U101" i="50" s="1"/>
  <c r="P15" i="50"/>
  <c r="T15" i="50" s="1"/>
  <c r="U15" i="50" s="1"/>
  <c r="P25" i="50"/>
  <c r="T25" i="50" s="1"/>
  <c r="U25" i="50" s="1"/>
  <c r="P20" i="50"/>
  <c r="T20" i="50" s="1"/>
  <c r="U20" i="50" s="1"/>
  <c r="P40" i="50"/>
  <c r="U40" i="50" s="1"/>
  <c r="P43" i="50"/>
  <c r="U43" i="50" s="1"/>
  <c r="P111" i="50"/>
  <c r="U111"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10" i="50"/>
  <c r="U110" i="50" s="1"/>
  <c r="P21" i="50"/>
  <c r="T21" i="50" s="1"/>
  <c r="U21" i="50" s="1"/>
  <c r="P16" i="50"/>
  <c r="T16" i="50" s="1"/>
  <c r="U16" i="50" s="1"/>
  <c r="U114" i="50"/>
  <c r="P26" i="50"/>
  <c r="T26" i="50" s="1"/>
  <c r="U26" i="50" s="1"/>
  <c r="H74" i="57"/>
  <c r="I74" i="57" s="1"/>
  <c r="I71" i="57"/>
  <c r="I76" i="57"/>
  <c r="I78" i="57"/>
  <c r="I71" i="20"/>
  <c r="I76" i="20"/>
  <c r="I78" i="20"/>
  <c r="H74" i="20"/>
  <c r="I74" i="20" s="1"/>
  <c r="C95" i="39"/>
  <c r="H92" i="39"/>
  <c r="I95" i="39" s="1"/>
  <c r="C95" i="57"/>
  <c r="H92" i="57"/>
  <c r="I95" i="57" s="1"/>
  <c r="C95" i="36"/>
  <c r="H92" i="36"/>
  <c r="I95" i="36" s="1"/>
  <c r="H92" i="47"/>
  <c r="I95" i="47" s="1"/>
  <c r="C95" i="47"/>
  <c r="I71" i="28"/>
  <c r="I76" i="28"/>
  <c r="I78" i="28"/>
  <c r="H74" i="28"/>
  <c r="I74" i="28" s="1"/>
  <c r="I71" i="17"/>
  <c r="I78" i="17"/>
  <c r="H74" i="17"/>
  <c r="I74" i="17" s="1"/>
  <c r="I76" i="17"/>
  <c r="C95" i="17"/>
  <c r="H92" i="17"/>
  <c r="I95" i="17" s="1"/>
  <c r="H74" i="43"/>
  <c r="I74" i="43" s="1"/>
  <c r="I71" i="43"/>
  <c r="I76" i="43"/>
  <c r="I78" i="43"/>
  <c r="P18" i="37"/>
  <c r="T18" i="37" s="1"/>
  <c r="U18" i="37" s="1"/>
  <c r="P23" i="37"/>
  <c r="T23" i="37" s="1"/>
  <c r="U23" i="37" s="1"/>
  <c r="P109" i="37"/>
  <c r="U109" i="37" s="1"/>
  <c r="P15" i="37"/>
  <c r="T15" i="37" s="1"/>
  <c r="U15" i="37" s="1"/>
  <c r="P25" i="37"/>
  <c r="T25" i="37" s="1"/>
  <c r="U25" i="37" s="1"/>
  <c r="P20" i="37"/>
  <c r="T20" i="37" s="1"/>
  <c r="U20" i="37" s="1"/>
  <c r="P40" i="37"/>
  <c r="U40" i="37" s="1"/>
  <c r="P43" i="37"/>
  <c r="U43" i="37" s="1"/>
  <c r="P111" i="37"/>
  <c r="U111"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U114" i="37"/>
  <c r="P21" i="37"/>
  <c r="T21" i="37" s="1"/>
  <c r="U21" i="37" s="1"/>
  <c r="P39" i="37"/>
  <c r="U39" i="37" s="1"/>
  <c r="P110" i="37"/>
  <c r="U110" i="37" s="1"/>
  <c r="P101" i="37"/>
  <c r="U101" i="37" s="1"/>
  <c r="P42" i="37"/>
  <c r="U42" i="37" s="1"/>
  <c r="P28" i="37"/>
  <c r="T28" i="37" s="1"/>
  <c r="U28" i="37" s="1"/>
  <c r="P17" i="47"/>
  <c r="T17" i="47" s="1"/>
  <c r="U17" i="47" s="1"/>
  <c r="P22" i="47"/>
  <c r="T22" i="47" s="1"/>
  <c r="U22" i="47" s="1"/>
  <c r="P14" i="47"/>
  <c r="P29" i="47"/>
  <c r="T29" i="47" s="1"/>
  <c r="U29" i="47" s="1"/>
  <c r="P24" i="47"/>
  <c r="T24" i="47" s="1"/>
  <c r="U24" i="47" s="1"/>
  <c r="P19" i="47"/>
  <c r="T19" i="47" s="1"/>
  <c r="U19" i="47" s="1"/>
  <c r="P15" i="47"/>
  <c r="T15" i="47" s="1"/>
  <c r="U15" i="47" s="1"/>
  <c r="U114" i="47"/>
  <c r="P39" i="47"/>
  <c r="U39" i="47" s="1"/>
  <c r="P43" i="47"/>
  <c r="U43" i="47" s="1"/>
  <c r="P109" i="47"/>
  <c r="U109" i="47" s="1"/>
  <c r="P27" i="47"/>
  <c r="T27" i="47" s="1"/>
  <c r="U27" i="47" s="1"/>
  <c r="P101" i="47"/>
  <c r="U101" i="47" s="1"/>
  <c r="P25" i="47"/>
  <c r="T25" i="47" s="1"/>
  <c r="U25" i="47" s="1"/>
  <c r="P20" i="47"/>
  <c r="T20" i="47" s="1"/>
  <c r="U20" i="47" s="1"/>
  <c r="P40" i="47"/>
  <c r="U40" i="47" s="1"/>
  <c r="P111" i="47"/>
  <c r="U111"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10" i="47"/>
  <c r="U110" i="47" s="1"/>
  <c r="P38" i="47"/>
  <c r="U38" i="47" s="1"/>
  <c r="P14" i="39"/>
  <c r="P29" i="39"/>
  <c r="T29" i="39" s="1"/>
  <c r="U29" i="39" s="1"/>
  <c r="P24" i="39"/>
  <c r="T24" i="39" s="1"/>
  <c r="U24" i="39" s="1"/>
  <c r="P38" i="39"/>
  <c r="U38" i="39" s="1"/>
  <c r="P41" i="39"/>
  <c r="U41" i="39" s="1"/>
  <c r="P19" i="39"/>
  <c r="T19" i="39" s="1"/>
  <c r="U19" i="39" s="1"/>
  <c r="P110" i="39"/>
  <c r="U110" i="39" s="1"/>
  <c r="P16" i="39"/>
  <c r="T16" i="39" s="1"/>
  <c r="U16" i="39" s="1"/>
  <c r="P26" i="39"/>
  <c r="T26" i="39" s="1"/>
  <c r="U26" i="39" s="1"/>
  <c r="U114" i="39"/>
  <c r="P21" i="39"/>
  <c r="T21" i="39" s="1"/>
  <c r="U21" i="39" s="1"/>
  <c r="P28" i="39"/>
  <c r="T28" i="39" s="1"/>
  <c r="U28" i="39" s="1"/>
  <c r="P39" i="39"/>
  <c r="U39" i="39" s="1"/>
  <c r="P42" i="39"/>
  <c r="U42" i="39" s="1"/>
  <c r="P18" i="39"/>
  <c r="T18" i="39" s="1"/>
  <c r="U18" i="39" s="1"/>
  <c r="P23" i="39"/>
  <c r="T23" i="39" s="1"/>
  <c r="U23" i="39" s="1"/>
  <c r="P109" i="39"/>
  <c r="U109" i="39" s="1"/>
  <c r="P101" i="39"/>
  <c r="U101" i="39" s="1"/>
  <c r="P15" i="39"/>
  <c r="T15" i="39" s="1"/>
  <c r="U15" i="39" s="1"/>
  <c r="P25" i="39"/>
  <c r="T25" i="39" s="1"/>
  <c r="U25" i="39" s="1"/>
  <c r="P20" i="39"/>
  <c r="T20" i="39" s="1"/>
  <c r="U20" i="39" s="1"/>
  <c r="P40" i="39"/>
  <c r="U40" i="39" s="1"/>
  <c r="P43" i="39"/>
  <c r="U43" i="39" s="1"/>
  <c r="P111" i="39"/>
  <c r="U111" i="39" s="1"/>
  <c r="P27" i="39"/>
  <c r="T27" i="39" s="1"/>
  <c r="U27" i="39" s="1"/>
  <c r="P22" i="39"/>
  <c r="T22" i="39" s="1"/>
  <c r="U22" i="39" s="1"/>
  <c r="P17" i="39"/>
  <c r="T17" i="39" s="1"/>
  <c r="U17" i="39"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U114" i="44"/>
  <c r="P26" i="44"/>
  <c r="T26" i="44" s="1"/>
  <c r="U26" i="44" s="1"/>
  <c r="P23" i="44"/>
  <c r="T23" i="44" s="1"/>
  <c r="U23" i="44" s="1"/>
  <c r="P29" i="44"/>
  <c r="T29" i="44" s="1"/>
  <c r="U29" i="44" s="1"/>
  <c r="P109" i="44"/>
  <c r="U109" i="44" s="1"/>
  <c r="P101" i="44"/>
  <c r="U101" i="44" s="1"/>
  <c r="P18" i="44"/>
  <c r="T18" i="44" s="1"/>
  <c r="U18" i="44" s="1"/>
  <c r="P42" i="44"/>
  <c r="U42" i="44" s="1"/>
  <c r="P111" i="44"/>
  <c r="U111" i="44" s="1"/>
  <c r="P16" i="44"/>
  <c r="T16" i="44" s="1"/>
  <c r="U16" i="44" s="1"/>
  <c r="P39" i="44"/>
  <c r="U39" i="44" s="1"/>
  <c r="P28" i="44"/>
  <c r="T28" i="44" s="1"/>
  <c r="U28" i="44" s="1"/>
  <c r="P110" i="44"/>
  <c r="U110" i="44" s="1"/>
  <c r="P25" i="44"/>
  <c r="T25" i="44" s="1"/>
  <c r="U25" i="44" s="1"/>
  <c r="P15" i="44"/>
  <c r="T15" i="44" s="1"/>
  <c r="U15" i="44" s="1"/>
  <c r="P20" i="42"/>
  <c r="T20" i="42" s="1"/>
  <c r="U20" i="42" s="1"/>
  <c r="P40" i="42"/>
  <c r="U40" i="42" s="1"/>
  <c r="P43" i="42"/>
  <c r="U43" i="42" s="1"/>
  <c r="P111" i="42"/>
  <c r="U111" i="42" s="1"/>
  <c r="P27" i="42"/>
  <c r="T27" i="42" s="1"/>
  <c r="U27" i="42" s="1"/>
  <c r="P17" i="42"/>
  <c r="T17" i="42" s="1"/>
  <c r="U17" i="42" s="1"/>
  <c r="P22" i="42"/>
  <c r="T22" i="42" s="1"/>
  <c r="U22" i="42" s="1"/>
  <c r="P14" i="42"/>
  <c r="P29" i="42"/>
  <c r="T29" i="42" s="1"/>
  <c r="U29" i="42" s="1"/>
  <c r="P19" i="42"/>
  <c r="T19" i="42" s="1"/>
  <c r="U19" i="42" s="1"/>
  <c r="P110" i="42"/>
  <c r="U110" i="42" s="1"/>
  <c r="P16" i="42"/>
  <c r="T16" i="42" s="1"/>
  <c r="U16" i="42" s="1"/>
  <c r="P26" i="42"/>
  <c r="T26" i="42" s="1"/>
  <c r="U26" i="42" s="1"/>
  <c r="U114" i="42"/>
  <c r="P21" i="42"/>
  <c r="T21" i="42" s="1"/>
  <c r="U21" i="42" s="1"/>
  <c r="P101" i="42"/>
  <c r="U101" i="42" s="1"/>
  <c r="P15" i="42"/>
  <c r="T15" i="42" s="1"/>
  <c r="U15" i="42" s="1"/>
  <c r="P18" i="42"/>
  <c r="T18" i="42" s="1"/>
  <c r="U18" i="42" s="1"/>
  <c r="P41" i="42"/>
  <c r="U41" i="42" s="1"/>
  <c r="P109" i="42"/>
  <c r="U109" i="42" s="1"/>
  <c r="P42" i="42"/>
  <c r="U42" i="42" s="1"/>
  <c r="P23" i="42"/>
  <c r="T23" i="42" s="1"/>
  <c r="U23" i="42" s="1"/>
  <c r="P24" i="42"/>
  <c r="T24" i="42" s="1"/>
  <c r="U24" i="42" s="1"/>
  <c r="P38" i="42"/>
  <c r="U38" i="42" s="1"/>
  <c r="P28" i="42"/>
  <c r="T28" i="42" s="1"/>
  <c r="U28" i="42" s="1"/>
  <c r="P39" i="42"/>
  <c r="U39" i="42" s="1"/>
  <c r="P25" i="42"/>
  <c r="T25" i="42" s="1"/>
  <c r="U25" i="42" s="1"/>
  <c r="H74" i="69"/>
  <c r="I74" i="69" s="1"/>
  <c r="I78" i="69"/>
  <c r="I76" i="69"/>
  <c r="I71" i="69"/>
  <c r="H92" i="75"/>
  <c r="I95" i="75" s="1"/>
  <c r="C95"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11" i="17"/>
  <c r="U111" i="17" s="1"/>
  <c r="P17" i="17"/>
  <c r="T17" i="17" s="1"/>
  <c r="U17" i="17" s="1"/>
  <c r="P22" i="17"/>
  <c r="T22" i="17" s="1"/>
  <c r="U22" i="17" s="1"/>
  <c r="P19" i="17"/>
  <c r="T19" i="17" s="1"/>
  <c r="U19" i="17" s="1"/>
  <c r="P110" i="17"/>
  <c r="U110" i="17" s="1"/>
  <c r="P24" i="17"/>
  <c r="T24" i="17" s="1"/>
  <c r="U24" i="17" s="1"/>
  <c r="P14" i="17"/>
  <c r="P38" i="17"/>
  <c r="U38" i="17" s="1"/>
  <c r="P109" i="17"/>
  <c r="U109" i="17" s="1"/>
  <c r="U114" i="17"/>
  <c r="P29" i="17"/>
  <c r="T29" i="17" s="1"/>
  <c r="U29" i="17" s="1"/>
  <c r="P41" i="17"/>
  <c r="U41" i="17" s="1"/>
  <c r="P26" i="17"/>
  <c r="T26" i="17" s="1"/>
  <c r="U26" i="17" s="1"/>
  <c r="P101" i="17"/>
  <c r="U101" i="17" s="1"/>
  <c r="P16" i="17"/>
  <c r="T16" i="17" s="1"/>
  <c r="U16" i="17" s="1"/>
  <c r="P27" i="17"/>
  <c r="T27" i="17" s="1"/>
  <c r="U27" i="17" s="1"/>
  <c r="C95" i="27"/>
  <c r="H92" i="27"/>
  <c r="I95" i="27" s="1"/>
  <c r="P18" i="45"/>
  <c r="T18" i="45" s="1"/>
  <c r="U18" i="45" s="1"/>
  <c r="P23" i="45"/>
  <c r="T23" i="45" s="1"/>
  <c r="U23" i="45" s="1"/>
  <c r="P109" i="45"/>
  <c r="U109" i="45" s="1"/>
  <c r="P101" i="45"/>
  <c r="U101" i="45" s="1"/>
  <c r="P15" i="45"/>
  <c r="T15" i="45" s="1"/>
  <c r="U15" i="45" s="1"/>
  <c r="P25" i="45"/>
  <c r="T25" i="45" s="1"/>
  <c r="U25" i="45" s="1"/>
  <c r="P20" i="45"/>
  <c r="T20" i="45" s="1"/>
  <c r="U20" i="45" s="1"/>
  <c r="P40" i="45"/>
  <c r="U40" i="45" s="1"/>
  <c r="P43" i="45"/>
  <c r="U43" i="45" s="1"/>
  <c r="P111" i="45"/>
  <c r="U111"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U114" i="45"/>
  <c r="P39" i="45"/>
  <c r="U39" i="45" s="1"/>
  <c r="P110" i="45"/>
  <c r="U110" i="45" s="1"/>
  <c r="P19" i="45"/>
  <c r="T19" i="45" s="1"/>
  <c r="U19" i="45" s="1"/>
  <c r="P28" i="45"/>
  <c r="T28" i="45" s="1"/>
  <c r="U28" i="45" s="1"/>
  <c r="P42" i="45"/>
  <c r="U42" i="45" s="1"/>
  <c r="P21" i="45"/>
  <c r="T21" i="45" s="1"/>
  <c r="U21" i="45" s="1"/>
  <c r="H92" i="66"/>
  <c r="I95" i="66" s="1"/>
  <c r="C95" i="66"/>
  <c r="P14" i="40"/>
  <c r="P24" i="40"/>
  <c r="T24" i="40" s="1"/>
  <c r="U24" i="40" s="1"/>
  <c r="P18" i="40"/>
  <c r="T18" i="40" s="1"/>
  <c r="U18" i="40" s="1"/>
  <c r="P23" i="40"/>
  <c r="T23" i="40" s="1"/>
  <c r="U23" i="40" s="1"/>
  <c r="P17" i="40"/>
  <c r="T17" i="40" s="1"/>
  <c r="U17" i="40" s="1"/>
  <c r="P40" i="40"/>
  <c r="U40" i="40" s="1"/>
  <c r="P43" i="40"/>
  <c r="U43" i="40" s="1"/>
  <c r="P111" i="40"/>
  <c r="U111" i="40" s="1"/>
  <c r="P20" i="40"/>
  <c r="T20" i="40" s="1"/>
  <c r="U20" i="40" s="1"/>
  <c r="P27" i="40"/>
  <c r="T27" i="40" s="1"/>
  <c r="U27" i="40" s="1"/>
  <c r="P15" i="40"/>
  <c r="T15" i="40" s="1"/>
  <c r="U15" i="40" s="1"/>
  <c r="P29" i="40"/>
  <c r="T29" i="40" s="1"/>
  <c r="U29" i="40" s="1"/>
  <c r="P38" i="40"/>
  <c r="U38" i="40" s="1"/>
  <c r="P41" i="40"/>
  <c r="U41" i="40" s="1"/>
  <c r="P110" i="40"/>
  <c r="U110" i="40" s="1"/>
  <c r="P21" i="40"/>
  <c r="T21" i="40" s="1"/>
  <c r="U21" i="40" s="1"/>
  <c r="P26" i="40"/>
  <c r="T26" i="40" s="1"/>
  <c r="U26" i="40" s="1"/>
  <c r="U114" i="40"/>
  <c r="P16" i="40"/>
  <c r="T16" i="40" s="1"/>
  <c r="U16" i="40" s="1"/>
  <c r="P19" i="40"/>
  <c r="T19" i="40" s="1"/>
  <c r="U19" i="40" s="1"/>
  <c r="P28" i="40"/>
  <c r="T28" i="40" s="1"/>
  <c r="U28" i="40" s="1"/>
  <c r="P39" i="40"/>
  <c r="U39" i="40" s="1"/>
  <c r="P42" i="40"/>
  <c r="U42" i="40" s="1"/>
  <c r="P22" i="40"/>
  <c r="T22" i="40" s="1"/>
  <c r="U22" i="40" s="1"/>
  <c r="P109" i="40"/>
  <c r="U109" i="40" s="1"/>
  <c r="P101" i="40"/>
  <c r="U101" i="40" s="1"/>
  <c r="P25" i="40"/>
  <c r="T25" i="40" s="1"/>
  <c r="U25" i="40" s="1"/>
  <c r="H92" i="26"/>
  <c r="I95" i="26" s="1"/>
  <c r="C95" i="26"/>
  <c r="I71" i="39"/>
  <c r="I76" i="39"/>
  <c r="I78" i="39"/>
  <c r="H74" i="39"/>
  <c r="I74" i="39" s="1"/>
  <c r="I78" i="42"/>
  <c r="H74" i="42"/>
  <c r="I74" i="42" s="1"/>
  <c r="I76" i="42"/>
  <c r="I71" i="42"/>
  <c r="H74" i="31"/>
  <c r="I74" i="31" s="1"/>
  <c r="I71" i="31"/>
  <c r="I76" i="31"/>
  <c r="I78" i="31"/>
  <c r="C95" i="25"/>
  <c r="H92" i="25"/>
  <c r="I95" i="25" s="1"/>
  <c r="I30" i="66"/>
  <c r="I71" i="40"/>
  <c r="I76" i="40"/>
  <c r="I78" i="40"/>
  <c r="H74" i="40"/>
  <c r="I74" i="40" s="1"/>
  <c r="P15" i="21"/>
  <c r="T15" i="21" s="1"/>
  <c r="U15" i="21" s="1"/>
  <c r="P25" i="21"/>
  <c r="T25" i="21" s="1"/>
  <c r="U25" i="21" s="1"/>
  <c r="P20" i="21"/>
  <c r="T20" i="21" s="1"/>
  <c r="U20" i="21" s="1"/>
  <c r="P40" i="21"/>
  <c r="U40" i="21" s="1"/>
  <c r="P43" i="21"/>
  <c r="U43" i="21" s="1"/>
  <c r="P111" i="21"/>
  <c r="U111"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U114" i="21"/>
  <c r="P21" i="21"/>
  <c r="T21" i="21" s="1"/>
  <c r="U21" i="21" s="1"/>
  <c r="P28" i="21"/>
  <c r="T28" i="21" s="1"/>
  <c r="U28" i="21" s="1"/>
  <c r="P39" i="21"/>
  <c r="U39" i="21" s="1"/>
  <c r="P42" i="21"/>
  <c r="U42" i="21" s="1"/>
  <c r="P18" i="21"/>
  <c r="T18" i="21" s="1"/>
  <c r="U18" i="21" s="1"/>
  <c r="P23" i="21"/>
  <c r="T23" i="21" s="1"/>
  <c r="U23" i="21" s="1"/>
  <c r="P109" i="21"/>
  <c r="U109" i="21" s="1"/>
  <c r="P110" i="21"/>
  <c r="U110" i="21" s="1"/>
  <c r="P101" i="21"/>
  <c r="U101" i="21" s="1"/>
  <c r="P19" i="21"/>
  <c r="T19" i="21" s="1"/>
  <c r="U19" i="21" s="1"/>
  <c r="C95" i="20"/>
  <c r="H92" i="20"/>
  <c r="I95"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10" i="68"/>
  <c r="U110" i="68" s="1"/>
  <c r="U114" i="68"/>
  <c r="P19" i="68"/>
  <c r="T19" i="68" s="1"/>
  <c r="U19" i="68" s="1"/>
  <c r="P109" i="68"/>
  <c r="U109" i="68" s="1"/>
  <c r="P43" i="68"/>
  <c r="U43" i="68" s="1"/>
  <c r="P26" i="68"/>
  <c r="T26" i="68" s="1"/>
  <c r="U26" i="68" s="1"/>
  <c r="P22" i="68"/>
  <c r="T22" i="68" s="1"/>
  <c r="U22" i="68" s="1"/>
  <c r="P101" i="68"/>
  <c r="U101" i="68" s="1"/>
  <c r="P39" i="68"/>
  <c r="U39" i="68" s="1"/>
  <c r="P111" i="68"/>
  <c r="U111" i="68" s="1"/>
  <c r="P28" i="68"/>
  <c r="T28" i="68" s="1"/>
  <c r="U28" i="68" s="1"/>
  <c r="P40" i="68"/>
  <c r="U40" i="68" s="1"/>
  <c r="P14" i="68"/>
  <c r="P42" i="68"/>
  <c r="U42" i="68" s="1"/>
  <c r="I71" i="21"/>
  <c r="I76" i="21"/>
  <c r="I78" i="21"/>
  <c r="H74" i="21"/>
  <c r="I74" i="21" s="1"/>
  <c r="H92" i="18"/>
  <c r="I95" i="18" s="1"/>
  <c r="C95" i="18"/>
  <c r="I78" i="38"/>
  <c r="H74" i="38"/>
  <c r="I74" i="38" s="1"/>
  <c r="I71" i="38"/>
  <c r="I76" i="38"/>
  <c r="T14" i="34"/>
  <c r="U14" i="34" s="1"/>
  <c r="P18" i="43"/>
  <c r="T18" i="43" s="1"/>
  <c r="U18" i="43" s="1"/>
  <c r="P23" i="43"/>
  <c r="T23" i="43" s="1"/>
  <c r="U23" i="43" s="1"/>
  <c r="P109" i="43"/>
  <c r="U109" i="43" s="1"/>
  <c r="P101" i="43"/>
  <c r="U101" i="43" s="1"/>
  <c r="P15" i="43"/>
  <c r="T15" i="43" s="1"/>
  <c r="U15" i="43" s="1"/>
  <c r="P25" i="43"/>
  <c r="T25" i="43" s="1"/>
  <c r="U25" i="43" s="1"/>
  <c r="P20" i="43"/>
  <c r="T20" i="43" s="1"/>
  <c r="U20" i="43" s="1"/>
  <c r="P40" i="43"/>
  <c r="U40" i="43" s="1"/>
  <c r="P43" i="43"/>
  <c r="U43" i="43" s="1"/>
  <c r="P111" i="43"/>
  <c r="U111"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U114" i="43"/>
  <c r="P26" i="43"/>
  <c r="T26" i="43" s="1"/>
  <c r="U26" i="43" s="1"/>
  <c r="P39" i="43"/>
  <c r="U39" i="43" s="1"/>
  <c r="P110" i="43"/>
  <c r="U110" i="43" s="1"/>
  <c r="P19" i="43"/>
  <c r="T19" i="43" s="1"/>
  <c r="U19" i="43" s="1"/>
  <c r="P28" i="43"/>
  <c r="T28" i="43" s="1"/>
  <c r="U28" i="43" s="1"/>
  <c r="I30" i="26"/>
  <c r="C149" i="60"/>
  <c r="H150" i="60" s="1"/>
  <c r="E32" i="60"/>
  <c r="P21" i="69"/>
  <c r="T21" i="69" s="1"/>
  <c r="U21" i="69" s="1"/>
  <c r="P28" i="69"/>
  <c r="T28" i="69" s="1"/>
  <c r="U28" i="69" s="1"/>
  <c r="P39" i="69"/>
  <c r="U39" i="69" s="1"/>
  <c r="P42" i="69"/>
  <c r="U42" i="69" s="1"/>
  <c r="P18" i="69"/>
  <c r="T18" i="69" s="1"/>
  <c r="U18" i="69" s="1"/>
  <c r="P23" i="69"/>
  <c r="T23" i="69" s="1"/>
  <c r="U23" i="69" s="1"/>
  <c r="P109" i="69"/>
  <c r="U109" i="69" s="1"/>
  <c r="P101" i="69"/>
  <c r="U101" i="69" s="1"/>
  <c r="P15" i="69"/>
  <c r="T15" i="69" s="1"/>
  <c r="U15" i="69" s="1"/>
  <c r="P25" i="69"/>
  <c r="T25" i="69" s="1"/>
  <c r="U25" i="69" s="1"/>
  <c r="P20" i="69"/>
  <c r="T20" i="69" s="1"/>
  <c r="U20" i="69" s="1"/>
  <c r="P40" i="69"/>
  <c r="U40" i="69" s="1"/>
  <c r="P43" i="69"/>
  <c r="U43" i="69" s="1"/>
  <c r="P111" i="69"/>
  <c r="U111" i="69" s="1"/>
  <c r="P17" i="69"/>
  <c r="T17" i="69" s="1"/>
  <c r="U17" i="69" s="1"/>
  <c r="P22" i="69"/>
  <c r="T22" i="69" s="1"/>
  <c r="U22" i="69" s="1"/>
  <c r="P14" i="69"/>
  <c r="P29" i="69"/>
  <c r="T29" i="69" s="1"/>
  <c r="U29" i="69" s="1"/>
  <c r="P24" i="69"/>
  <c r="T24" i="69" s="1"/>
  <c r="U24" i="69" s="1"/>
  <c r="P38" i="69"/>
  <c r="U38" i="69" s="1"/>
  <c r="P41" i="69"/>
  <c r="U41" i="69" s="1"/>
  <c r="U114" i="69"/>
  <c r="P19" i="69"/>
  <c r="T19" i="69" s="1"/>
  <c r="U19" i="69" s="1"/>
  <c r="P26" i="69"/>
  <c r="T26" i="69" s="1"/>
  <c r="U26" i="69" s="1"/>
  <c r="P110" i="69"/>
  <c r="U110" i="69" s="1"/>
  <c r="P27" i="69"/>
  <c r="T27" i="69" s="1"/>
  <c r="U27" i="69" s="1"/>
  <c r="P16" i="69"/>
  <c r="T16" i="69" s="1"/>
  <c r="U16" i="69" s="1"/>
  <c r="I78" i="66"/>
  <c r="H74" i="66"/>
  <c r="I74" i="66" s="1"/>
  <c r="I71" i="66"/>
  <c r="I76" i="66"/>
  <c r="P20" i="55"/>
  <c r="T20" i="55" s="1"/>
  <c r="U20" i="55" s="1"/>
  <c r="P40" i="55"/>
  <c r="U40" i="55" s="1"/>
  <c r="P43" i="55"/>
  <c r="U43" i="55" s="1"/>
  <c r="P111" i="55"/>
  <c r="U111"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10" i="55"/>
  <c r="U110" i="55" s="1"/>
  <c r="P16" i="55"/>
  <c r="T16" i="55" s="1"/>
  <c r="U16" i="55" s="1"/>
  <c r="P26" i="55"/>
  <c r="T26" i="55" s="1"/>
  <c r="U26" i="55" s="1"/>
  <c r="U114" i="55"/>
  <c r="P21" i="55"/>
  <c r="T21" i="55" s="1"/>
  <c r="U21" i="55" s="1"/>
  <c r="P28" i="55"/>
  <c r="T28" i="55" s="1"/>
  <c r="U28" i="55" s="1"/>
  <c r="P39" i="55"/>
  <c r="U39" i="55" s="1"/>
  <c r="P42" i="55"/>
  <c r="U42" i="55" s="1"/>
  <c r="P101" i="55"/>
  <c r="U101" i="55" s="1"/>
  <c r="P23" i="55"/>
  <c r="T23" i="55" s="1"/>
  <c r="U23" i="55" s="1"/>
  <c r="P109" i="55"/>
  <c r="U109" i="55" s="1"/>
  <c r="P18" i="55"/>
  <c r="T18" i="55" s="1"/>
  <c r="U18" i="55" s="1"/>
  <c r="P25" i="55"/>
  <c r="T25" i="55" s="1"/>
  <c r="U25" i="55" s="1"/>
  <c r="P15" i="55"/>
  <c r="T15" i="55" s="1"/>
  <c r="U15" i="55" s="1"/>
  <c r="I71" i="68"/>
  <c r="I76" i="68"/>
  <c r="I78" i="68"/>
  <c r="H74" i="68"/>
  <c r="I74" i="68" s="1"/>
  <c r="I78" i="22"/>
  <c r="I76" i="22"/>
  <c r="I71" i="22"/>
  <c r="H74" i="22"/>
  <c r="I74" i="22" s="1"/>
  <c r="P101" i="67"/>
  <c r="U101" i="67" s="1"/>
  <c r="P15" i="67"/>
  <c r="T15" i="67" s="1"/>
  <c r="U15" i="67" s="1"/>
  <c r="P20" i="67"/>
  <c r="T20" i="67" s="1"/>
  <c r="U20" i="67" s="1"/>
  <c r="P40" i="67"/>
  <c r="U40" i="67" s="1"/>
  <c r="P43" i="67"/>
  <c r="U43" i="67" s="1"/>
  <c r="P111" i="67"/>
  <c r="U111" i="67" s="1"/>
  <c r="P29" i="67"/>
  <c r="T29" i="67" s="1"/>
  <c r="U29" i="67" s="1"/>
  <c r="P17" i="67"/>
  <c r="T17" i="67" s="1"/>
  <c r="U17" i="67" s="1"/>
  <c r="P19" i="67"/>
  <c r="T19" i="67" s="1"/>
  <c r="U19" i="67" s="1"/>
  <c r="P39" i="67"/>
  <c r="U39" i="67" s="1"/>
  <c r="U114" i="67"/>
  <c r="P110" i="67"/>
  <c r="U110" i="67" s="1"/>
  <c r="P24" i="67"/>
  <c r="T24" i="67" s="1"/>
  <c r="U24" i="67" s="1"/>
  <c r="P26" i="67"/>
  <c r="T26" i="67" s="1"/>
  <c r="U26" i="67" s="1"/>
  <c r="P16" i="67"/>
  <c r="T16" i="67" s="1"/>
  <c r="U16" i="67" s="1"/>
  <c r="P18" i="67"/>
  <c r="T18" i="67" s="1"/>
  <c r="U18" i="67" s="1"/>
  <c r="P41" i="67"/>
  <c r="U41" i="67" s="1"/>
  <c r="P109" i="67"/>
  <c r="U109"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P17" i="27"/>
  <c r="T17" i="27" s="1"/>
  <c r="U17" i="27" s="1"/>
  <c r="P22" i="27"/>
  <c r="T22" i="27" s="1"/>
  <c r="U22" i="27" s="1"/>
  <c r="P14" i="27"/>
  <c r="P29" i="27"/>
  <c r="T29" i="27" s="1"/>
  <c r="U29" i="27" s="1"/>
  <c r="P24" i="27"/>
  <c r="T24" i="27" s="1"/>
  <c r="U24" i="27" s="1"/>
  <c r="P38" i="27"/>
  <c r="U38" i="27" s="1"/>
  <c r="P41" i="27"/>
  <c r="U41" i="27" s="1"/>
  <c r="P19" i="27"/>
  <c r="T19" i="27" s="1"/>
  <c r="U19" i="27" s="1"/>
  <c r="P110" i="27"/>
  <c r="U110" i="27" s="1"/>
  <c r="P16" i="27"/>
  <c r="T16" i="27" s="1"/>
  <c r="U16" i="27" s="1"/>
  <c r="P26" i="27"/>
  <c r="T26" i="27" s="1"/>
  <c r="U26" i="27" s="1"/>
  <c r="U114" i="27"/>
  <c r="P21" i="27"/>
  <c r="T21" i="27" s="1"/>
  <c r="U21" i="27" s="1"/>
  <c r="P28" i="27"/>
  <c r="T28" i="27" s="1"/>
  <c r="U28" i="27" s="1"/>
  <c r="P39" i="27"/>
  <c r="U39" i="27" s="1"/>
  <c r="P42" i="27"/>
  <c r="U42" i="27" s="1"/>
  <c r="P18" i="27"/>
  <c r="T18" i="27" s="1"/>
  <c r="U18" i="27" s="1"/>
  <c r="P23" i="27"/>
  <c r="T23" i="27" s="1"/>
  <c r="U23" i="27" s="1"/>
  <c r="P109" i="27"/>
  <c r="U109" i="27" s="1"/>
  <c r="P15" i="27"/>
  <c r="T15" i="27" s="1"/>
  <c r="U15" i="27" s="1"/>
  <c r="P25" i="27"/>
  <c r="T25" i="27" s="1"/>
  <c r="U25" i="27" s="1"/>
  <c r="P20" i="27"/>
  <c r="T20" i="27" s="1"/>
  <c r="U20" i="27" s="1"/>
  <c r="P40" i="27"/>
  <c r="U40" i="27" s="1"/>
  <c r="P43" i="27"/>
  <c r="U43" i="27" s="1"/>
  <c r="P111" i="27"/>
  <c r="U111" i="27" s="1"/>
  <c r="P101" i="27"/>
  <c r="U101" i="27" s="1"/>
  <c r="P27" i="27"/>
  <c r="T27" i="27" s="1"/>
  <c r="U27" i="27" s="1"/>
  <c r="C95" i="48"/>
  <c r="P15" i="51"/>
  <c r="T15" i="51" s="1"/>
  <c r="U15" i="51" s="1"/>
  <c r="P25" i="51"/>
  <c r="T25" i="51" s="1"/>
  <c r="U25" i="51" s="1"/>
  <c r="P27" i="51"/>
  <c r="T27" i="51" s="1"/>
  <c r="U27" i="51" s="1"/>
  <c r="P14" i="51"/>
  <c r="P29" i="51"/>
  <c r="T29" i="51" s="1"/>
  <c r="U29" i="51" s="1"/>
  <c r="P24" i="51"/>
  <c r="T24" i="51" s="1"/>
  <c r="U24" i="51" s="1"/>
  <c r="P38" i="51"/>
  <c r="U38" i="51" s="1"/>
  <c r="P41" i="51"/>
  <c r="U41" i="51" s="1"/>
  <c r="P110" i="51"/>
  <c r="U110" i="51" s="1"/>
  <c r="U114" i="51"/>
  <c r="P17" i="51"/>
  <c r="T17" i="51" s="1"/>
  <c r="U17" i="51" s="1"/>
  <c r="P22" i="51"/>
  <c r="T22" i="51" s="1"/>
  <c r="U22" i="51" s="1"/>
  <c r="P42" i="51"/>
  <c r="U42" i="51" s="1"/>
  <c r="P20" i="51"/>
  <c r="T20" i="51" s="1"/>
  <c r="U20" i="51" s="1"/>
  <c r="P109" i="51"/>
  <c r="U109" i="51" s="1"/>
  <c r="P43" i="51"/>
  <c r="U43" i="51" s="1"/>
  <c r="P101" i="51"/>
  <c r="U101" i="51" s="1"/>
  <c r="P28" i="51"/>
  <c r="T28" i="51" s="1"/>
  <c r="U28" i="51" s="1"/>
  <c r="P18" i="51"/>
  <c r="T18" i="51" s="1"/>
  <c r="U18" i="51" s="1"/>
  <c r="P23" i="51"/>
  <c r="T23" i="51" s="1"/>
  <c r="U23" i="51" s="1"/>
  <c r="P111" i="51"/>
  <c r="U111" i="51" s="1"/>
  <c r="P16" i="51"/>
  <c r="T16" i="51" s="1"/>
  <c r="U16" i="51" s="1"/>
  <c r="P26" i="51"/>
  <c r="T26" i="51" s="1"/>
  <c r="U26" i="51" s="1"/>
  <c r="P39" i="51"/>
  <c r="U39" i="51" s="1"/>
  <c r="P21" i="51"/>
  <c r="T21" i="51" s="1"/>
  <c r="U21" i="51" s="1"/>
  <c r="P19" i="51"/>
  <c r="T19" i="51" s="1"/>
  <c r="U19" i="51" s="1"/>
  <c r="P40" i="51"/>
  <c r="U40" i="51" s="1"/>
  <c r="I78" i="23"/>
  <c r="H74" i="23"/>
  <c r="I74" i="23" s="1"/>
  <c r="I71" i="23"/>
  <c r="I76" i="23"/>
  <c r="C95" i="42"/>
  <c r="H92" i="42"/>
  <c r="I95"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09" i="31"/>
  <c r="U109" i="31" s="1"/>
  <c r="P14" i="31"/>
  <c r="P101" i="31"/>
  <c r="U101" i="31" s="1"/>
  <c r="P40" i="31"/>
  <c r="U40" i="31" s="1"/>
  <c r="P43" i="31"/>
  <c r="U43" i="31" s="1"/>
  <c r="P111" i="31"/>
  <c r="U111" i="31" s="1"/>
  <c r="P15" i="31"/>
  <c r="T15" i="31" s="1"/>
  <c r="U15" i="31" s="1"/>
  <c r="P29" i="31"/>
  <c r="T29" i="31" s="1"/>
  <c r="U29" i="31" s="1"/>
  <c r="P38" i="31"/>
  <c r="U38" i="31" s="1"/>
  <c r="P41" i="31"/>
  <c r="U41" i="31" s="1"/>
  <c r="P21" i="31"/>
  <c r="T21" i="31" s="1"/>
  <c r="U21" i="31" s="1"/>
  <c r="P24" i="31"/>
  <c r="T24" i="31" s="1"/>
  <c r="U24" i="31" s="1"/>
  <c r="P110" i="31"/>
  <c r="U110" i="31" s="1"/>
  <c r="U114" i="31"/>
  <c r="P39" i="31"/>
  <c r="U39" i="31" s="1"/>
  <c r="P42" i="31"/>
  <c r="U42" i="31" s="1"/>
  <c r="H74" i="25"/>
  <c r="I74" i="25" s="1"/>
  <c r="I71" i="25"/>
  <c r="I76" i="25"/>
  <c r="I78" i="25"/>
  <c r="P16" i="66"/>
  <c r="T16" i="66" s="1"/>
  <c r="U16" i="66" s="1"/>
  <c r="P26" i="66"/>
  <c r="T26" i="66" s="1"/>
  <c r="U26" i="66" s="1"/>
  <c r="U114" i="66"/>
  <c r="P28" i="66"/>
  <c r="T28" i="66" s="1"/>
  <c r="U28" i="66" s="1"/>
  <c r="P39" i="66"/>
  <c r="U39" i="66" s="1"/>
  <c r="P42" i="66"/>
  <c r="U42" i="66" s="1"/>
  <c r="P18" i="66"/>
  <c r="T18" i="66" s="1"/>
  <c r="U18" i="66" s="1"/>
  <c r="P23" i="66"/>
  <c r="T23" i="66" s="1"/>
  <c r="U23" i="66" s="1"/>
  <c r="P109" i="66"/>
  <c r="U109" i="66" s="1"/>
  <c r="P101" i="66"/>
  <c r="U101"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10" i="66"/>
  <c r="U110" i="66" s="1"/>
  <c r="P43" i="66"/>
  <c r="U43" i="66" s="1"/>
  <c r="P111" i="66"/>
  <c r="U111" i="66" s="1"/>
  <c r="P38" i="66"/>
  <c r="U38" i="66" s="1"/>
  <c r="I71" i="55"/>
  <c r="I76" i="55"/>
  <c r="I78" i="55"/>
  <c r="H74" i="55"/>
  <c r="I74" i="55" s="1"/>
  <c r="H92" i="58"/>
  <c r="I95" i="58" s="1"/>
  <c r="C95" i="58"/>
  <c r="C95" i="55"/>
  <c r="H92" i="55"/>
  <c r="I95" i="55" s="1"/>
  <c r="I78" i="58"/>
  <c r="H74" i="58"/>
  <c r="I74" i="58" s="1"/>
  <c r="I76" i="58"/>
  <c r="I71" i="58"/>
  <c r="P18" i="58"/>
  <c r="T18" i="58" s="1"/>
  <c r="U18" i="58" s="1"/>
  <c r="P23" i="58"/>
  <c r="T23" i="58" s="1"/>
  <c r="U23" i="58" s="1"/>
  <c r="P109" i="58"/>
  <c r="U109" i="58" s="1"/>
  <c r="P15" i="58"/>
  <c r="T15" i="58" s="1"/>
  <c r="U15" i="58" s="1"/>
  <c r="P25" i="58"/>
  <c r="T25" i="58" s="1"/>
  <c r="U25" i="58" s="1"/>
  <c r="P20" i="58"/>
  <c r="T20" i="58" s="1"/>
  <c r="U20" i="58" s="1"/>
  <c r="P40" i="58"/>
  <c r="U40" i="58" s="1"/>
  <c r="P43" i="58"/>
  <c r="U43" i="58" s="1"/>
  <c r="P111" i="58"/>
  <c r="U111" i="58" s="1"/>
  <c r="P27" i="58"/>
  <c r="T27" i="58" s="1"/>
  <c r="U27" i="58" s="1"/>
  <c r="P17" i="58"/>
  <c r="T17" i="58" s="1"/>
  <c r="U17" i="58" s="1"/>
  <c r="P22" i="58"/>
  <c r="T22" i="58" s="1"/>
  <c r="U22" i="58" s="1"/>
  <c r="P19" i="58"/>
  <c r="T19" i="58" s="1"/>
  <c r="U19" i="58" s="1"/>
  <c r="P110" i="58"/>
  <c r="U110" i="58" s="1"/>
  <c r="P16" i="58"/>
  <c r="T16" i="58" s="1"/>
  <c r="U16" i="58" s="1"/>
  <c r="P26" i="58"/>
  <c r="T26" i="58" s="1"/>
  <c r="U26" i="58" s="1"/>
  <c r="P29" i="58"/>
  <c r="T29" i="58" s="1"/>
  <c r="U29" i="58" s="1"/>
  <c r="P41" i="58"/>
  <c r="U41" i="58" s="1"/>
  <c r="P101" i="58"/>
  <c r="U101" i="58" s="1"/>
  <c r="U114" i="58"/>
  <c r="P42" i="58"/>
  <c r="U42" i="58" s="1"/>
  <c r="P14" i="58"/>
  <c r="P38" i="58"/>
  <c r="U38" i="58" s="1"/>
  <c r="P21" i="58"/>
  <c r="T21" i="58" s="1"/>
  <c r="U21" i="58" s="1"/>
  <c r="P24" i="58"/>
  <c r="T24" i="58" s="1"/>
  <c r="U24" i="58" s="1"/>
  <c r="P28" i="58"/>
  <c r="T28" i="58" s="1"/>
  <c r="U28" i="58" s="1"/>
  <c r="P39" i="58"/>
  <c r="U39" i="58" s="1"/>
  <c r="I15" i="60"/>
  <c r="I30" i="18"/>
  <c r="H92" i="32"/>
  <c r="I95" i="32" s="1"/>
  <c r="C95" i="32"/>
  <c r="P16" i="38"/>
  <c r="T16" i="38" s="1"/>
  <c r="U16" i="38" s="1"/>
  <c r="P26" i="38"/>
  <c r="T26" i="38" s="1"/>
  <c r="U26" i="38" s="1"/>
  <c r="U114" i="38"/>
  <c r="P28" i="38"/>
  <c r="T28" i="38" s="1"/>
  <c r="U28" i="38" s="1"/>
  <c r="P39" i="38"/>
  <c r="U39" i="38" s="1"/>
  <c r="P42" i="38"/>
  <c r="U42" i="38" s="1"/>
  <c r="P18" i="38"/>
  <c r="T18" i="38" s="1"/>
  <c r="U18" i="38" s="1"/>
  <c r="P23" i="38"/>
  <c r="T23" i="38" s="1"/>
  <c r="U23" i="38" s="1"/>
  <c r="P109" i="38"/>
  <c r="U109" i="38" s="1"/>
  <c r="P101" i="38"/>
  <c r="U101" i="38" s="1"/>
  <c r="P15" i="38"/>
  <c r="T15" i="38" s="1"/>
  <c r="U15" i="38" s="1"/>
  <c r="P25" i="38"/>
  <c r="T25" i="38" s="1"/>
  <c r="U25" i="38" s="1"/>
  <c r="P20" i="38"/>
  <c r="T20" i="38" s="1"/>
  <c r="U20" i="38" s="1"/>
  <c r="P40" i="38"/>
  <c r="U40" i="38" s="1"/>
  <c r="P43" i="38"/>
  <c r="U43" i="38" s="1"/>
  <c r="P111" i="38"/>
  <c r="U111"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10" i="38"/>
  <c r="U110" i="38" s="1"/>
  <c r="H74" i="67"/>
  <c r="I74" i="67" s="1"/>
  <c r="I76" i="67"/>
  <c r="I78" i="67"/>
  <c r="I71" i="67"/>
  <c r="H74" i="77"/>
  <c r="I74" i="77" s="1"/>
  <c r="I71" i="77"/>
  <c r="I76" i="77"/>
  <c r="I78" i="77"/>
  <c r="I14" i="60"/>
  <c r="I78" i="26"/>
  <c r="H74" i="26"/>
  <c r="I74" i="26" s="1"/>
  <c r="I71" i="26"/>
  <c r="I76" i="26"/>
  <c r="C95" i="40"/>
  <c r="P15" i="16"/>
  <c r="T15" i="16" s="1"/>
  <c r="U15" i="16" s="1"/>
  <c r="P17" i="16"/>
  <c r="T17" i="16" s="1"/>
  <c r="U17" i="16" s="1"/>
  <c r="P19" i="16"/>
  <c r="T19" i="16" s="1"/>
  <c r="U19" i="16" s="1"/>
  <c r="P14" i="16"/>
  <c r="P29" i="16"/>
  <c r="T29" i="16" s="1"/>
  <c r="U29" i="16" s="1"/>
  <c r="P24" i="16"/>
  <c r="T24" i="16" s="1"/>
  <c r="U24" i="16" s="1"/>
  <c r="P38" i="16"/>
  <c r="U38" i="16" s="1"/>
  <c r="P41" i="16"/>
  <c r="U41" i="16" s="1"/>
  <c r="P110" i="16"/>
  <c r="U110" i="16" s="1"/>
  <c r="P26" i="16"/>
  <c r="T26" i="16" s="1"/>
  <c r="U26" i="16" s="1"/>
  <c r="U114" i="16"/>
  <c r="P21" i="16"/>
  <c r="T21" i="16" s="1"/>
  <c r="U21" i="16" s="1"/>
  <c r="P28" i="16"/>
  <c r="T28" i="16" s="1"/>
  <c r="U28" i="16" s="1"/>
  <c r="P39" i="16"/>
  <c r="U39" i="16" s="1"/>
  <c r="P42" i="16"/>
  <c r="U42" i="16" s="1"/>
  <c r="P23" i="16"/>
  <c r="T23" i="16" s="1"/>
  <c r="U23" i="16" s="1"/>
  <c r="P109" i="16"/>
  <c r="U109" i="16" s="1"/>
  <c r="P101" i="16"/>
  <c r="U101" i="16" s="1"/>
  <c r="P25" i="16"/>
  <c r="T25" i="16" s="1"/>
  <c r="U25" i="16" s="1"/>
  <c r="P16" i="16"/>
  <c r="T16" i="16" s="1"/>
  <c r="U16" i="16" s="1"/>
  <c r="P20" i="16"/>
  <c r="T20" i="16" s="1"/>
  <c r="U20" i="16" s="1"/>
  <c r="P27" i="16"/>
  <c r="T27" i="16" s="1"/>
  <c r="U27" i="16" s="1"/>
  <c r="P111" i="16"/>
  <c r="U111" i="16" s="1"/>
  <c r="P40" i="16"/>
  <c r="U40" i="16" s="1"/>
  <c r="P18" i="16"/>
  <c r="T18" i="16" s="1"/>
  <c r="U18" i="16" s="1"/>
  <c r="P22" i="16"/>
  <c r="T22" i="16" s="1"/>
  <c r="U22" i="16" s="1"/>
  <c r="P43" i="16"/>
  <c r="U43" i="16" s="1"/>
  <c r="C95" i="28"/>
  <c r="H92" i="28"/>
  <c r="I95" i="28" s="1"/>
  <c r="I78" i="78"/>
  <c r="H74" i="78"/>
  <c r="I74" i="78" s="1"/>
  <c r="I76" i="78"/>
  <c r="I71" i="78"/>
  <c r="I71" i="27"/>
  <c r="I76" i="27"/>
  <c r="I78" i="27"/>
  <c r="H74" i="27"/>
  <c r="I74" i="27" s="1"/>
  <c r="P17" i="30"/>
  <c r="T17" i="30" s="1"/>
  <c r="U17" i="30" s="1"/>
  <c r="P22" i="30"/>
  <c r="T22" i="30" s="1"/>
  <c r="U22" i="30" s="1"/>
  <c r="P14" i="30"/>
  <c r="P29" i="30"/>
  <c r="T29" i="30" s="1"/>
  <c r="U29" i="30" s="1"/>
  <c r="P24" i="30"/>
  <c r="T24" i="30" s="1"/>
  <c r="U24" i="30" s="1"/>
  <c r="P38" i="30"/>
  <c r="U38" i="30" s="1"/>
  <c r="P41" i="30"/>
  <c r="U41" i="30" s="1"/>
  <c r="P19" i="30"/>
  <c r="T19" i="30" s="1"/>
  <c r="U19" i="30" s="1"/>
  <c r="P110" i="30"/>
  <c r="U110" i="30" s="1"/>
  <c r="P16" i="30"/>
  <c r="T16" i="30" s="1"/>
  <c r="U16" i="30" s="1"/>
  <c r="P26" i="30"/>
  <c r="T26" i="30" s="1"/>
  <c r="U26" i="30" s="1"/>
  <c r="U114" i="30"/>
  <c r="P21" i="30"/>
  <c r="T21" i="30" s="1"/>
  <c r="U21" i="30" s="1"/>
  <c r="P28" i="30"/>
  <c r="T28" i="30" s="1"/>
  <c r="U28" i="30" s="1"/>
  <c r="P39" i="30"/>
  <c r="U39" i="30" s="1"/>
  <c r="P42" i="30"/>
  <c r="U42" i="30" s="1"/>
  <c r="P18" i="30"/>
  <c r="T18" i="30" s="1"/>
  <c r="U18" i="30" s="1"/>
  <c r="P23" i="30"/>
  <c r="T23" i="30" s="1"/>
  <c r="U23" i="30" s="1"/>
  <c r="P109" i="30"/>
  <c r="U109" i="30" s="1"/>
  <c r="P101" i="30"/>
  <c r="U101" i="30" s="1"/>
  <c r="P15" i="30"/>
  <c r="T15" i="30" s="1"/>
  <c r="U15" i="30" s="1"/>
  <c r="P25" i="30"/>
  <c r="T25" i="30" s="1"/>
  <c r="U25" i="30" s="1"/>
  <c r="P20" i="30"/>
  <c r="T20" i="30" s="1"/>
  <c r="U20" i="30" s="1"/>
  <c r="P40" i="30"/>
  <c r="U40" i="30" s="1"/>
  <c r="P43" i="30"/>
  <c r="U43" i="30" s="1"/>
  <c r="P27" i="30"/>
  <c r="T27" i="30" s="1"/>
  <c r="U27" i="30" s="1"/>
  <c r="P111" i="30"/>
  <c r="U111" i="30" s="1"/>
  <c r="H74" i="51"/>
  <c r="I74" i="51" s="1"/>
  <c r="I78" i="51"/>
  <c r="I71" i="51"/>
  <c r="I76" i="51"/>
  <c r="I78" i="18"/>
  <c r="H74" i="18"/>
  <c r="I74" i="18" s="1"/>
  <c r="I76" i="18"/>
  <c r="I71" i="18"/>
  <c r="C95" i="70"/>
  <c r="H92" i="70"/>
  <c r="I95" i="70" s="1"/>
  <c r="P17" i="20"/>
  <c r="T17" i="20" s="1"/>
  <c r="U17" i="20" s="1"/>
  <c r="P22" i="20"/>
  <c r="T22" i="20" s="1"/>
  <c r="U22" i="20" s="1"/>
  <c r="P14" i="20"/>
  <c r="P29" i="20"/>
  <c r="T29" i="20" s="1"/>
  <c r="U29" i="20" s="1"/>
  <c r="P24" i="20"/>
  <c r="T24" i="20" s="1"/>
  <c r="U24" i="20" s="1"/>
  <c r="P38" i="20"/>
  <c r="U38" i="20" s="1"/>
  <c r="P41" i="20"/>
  <c r="U41" i="20" s="1"/>
  <c r="P19" i="20"/>
  <c r="T19" i="20" s="1"/>
  <c r="U19" i="20" s="1"/>
  <c r="P110" i="20"/>
  <c r="U110" i="20" s="1"/>
  <c r="P16" i="20"/>
  <c r="T16" i="20" s="1"/>
  <c r="U16" i="20" s="1"/>
  <c r="P26" i="20"/>
  <c r="T26" i="20" s="1"/>
  <c r="U26" i="20" s="1"/>
  <c r="U114" i="20"/>
  <c r="P21" i="20"/>
  <c r="T21" i="20" s="1"/>
  <c r="U21" i="20" s="1"/>
  <c r="P18" i="20"/>
  <c r="T18" i="20" s="1"/>
  <c r="U18" i="20" s="1"/>
  <c r="P23" i="20"/>
  <c r="T23" i="20" s="1"/>
  <c r="U23" i="20" s="1"/>
  <c r="P109" i="20"/>
  <c r="U109" i="20" s="1"/>
  <c r="P101" i="20"/>
  <c r="U101" i="20" s="1"/>
  <c r="P15" i="20"/>
  <c r="T15" i="20" s="1"/>
  <c r="U15" i="20" s="1"/>
  <c r="P25" i="20"/>
  <c r="T25" i="20" s="1"/>
  <c r="U25" i="20" s="1"/>
  <c r="P20" i="20"/>
  <c r="T20" i="20" s="1"/>
  <c r="U20" i="20" s="1"/>
  <c r="P40" i="20"/>
  <c r="U40" i="20" s="1"/>
  <c r="P43" i="20"/>
  <c r="U43" i="20" s="1"/>
  <c r="P111" i="20"/>
  <c r="U111" i="20" s="1"/>
  <c r="P39" i="20"/>
  <c r="U39" i="20" s="1"/>
  <c r="P27" i="20"/>
  <c r="T27" i="20" s="1"/>
  <c r="U27" i="20" s="1"/>
  <c r="P28" i="20"/>
  <c r="T28" i="20" s="1"/>
  <c r="U28" i="20" s="1"/>
  <c r="P42" i="20"/>
  <c r="U42" i="20" s="1"/>
  <c r="P18" i="22"/>
  <c r="T18" i="22" s="1"/>
  <c r="U18" i="22" s="1"/>
  <c r="P23" i="22"/>
  <c r="T23" i="22" s="1"/>
  <c r="U23" i="22" s="1"/>
  <c r="P109" i="22"/>
  <c r="U109" i="22" s="1"/>
  <c r="P15" i="22"/>
  <c r="T15" i="22" s="1"/>
  <c r="U15" i="22" s="1"/>
  <c r="P25" i="22"/>
  <c r="T25" i="22" s="1"/>
  <c r="U25" i="22" s="1"/>
  <c r="P20" i="22"/>
  <c r="T20" i="22" s="1"/>
  <c r="U20" i="22" s="1"/>
  <c r="P40" i="22"/>
  <c r="U40" i="22" s="1"/>
  <c r="P43" i="22"/>
  <c r="U43" i="22" s="1"/>
  <c r="P111" i="22"/>
  <c r="U111" i="22" s="1"/>
  <c r="P27" i="22"/>
  <c r="T27" i="22" s="1"/>
  <c r="U27" i="22" s="1"/>
  <c r="P14" i="22"/>
  <c r="P29" i="22"/>
  <c r="T29" i="22" s="1"/>
  <c r="U29" i="22" s="1"/>
  <c r="P16" i="22"/>
  <c r="T16" i="22" s="1"/>
  <c r="U16" i="22" s="1"/>
  <c r="P26" i="22"/>
  <c r="T26" i="22" s="1"/>
  <c r="U26" i="22" s="1"/>
  <c r="U114" i="22"/>
  <c r="P24" i="22"/>
  <c r="T24" i="22" s="1"/>
  <c r="U24" i="22" s="1"/>
  <c r="P42" i="22"/>
  <c r="U42" i="22" s="1"/>
  <c r="P19" i="22"/>
  <c r="T19" i="22" s="1"/>
  <c r="U19" i="22" s="1"/>
  <c r="P22" i="22"/>
  <c r="T22" i="22" s="1"/>
  <c r="U22" i="22" s="1"/>
  <c r="P38" i="22"/>
  <c r="U38" i="22" s="1"/>
  <c r="P28" i="22"/>
  <c r="T28" i="22" s="1"/>
  <c r="U28" i="22" s="1"/>
  <c r="P17" i="22"/>
  <c r="T17" i="22" s="1"/>
  <c r="U17" i="22" s="1"/>
  <c r="P39" i="22"/>
  <c r="U39" i="22" s="1"/>
  <c r="P110" i="22"/>
  <c r="U110" i="22" s="1"/>
  <c r="P41" i="22"/>
  <c r="U41" i="22" s="1"/>
  <c r="P101" i="22"/>
  <c r="U101" i="22" s="1"/>
  <c r="P21" i="22"/>
  <c r="T21" i="22" s="1"/>
  <c r="U21" i="22" s="1"/>
  <c r="P16" i="71"/>
  <c r="T16" i="71" s="1"/>
  <c r="U16" i="71" s="1"/>
  <c r="P26" i="71"/>
  <c r="T26" i="71" s="1"/>
  <c r="U26" i="71" s="1"/>
  <c r="U114" i="71"/>
  <c r="P21" i="71"/>
  <c r="T21" i="71" s="1"/>
  <c r="U21" i="71" s="1"/>
  <c r="P28" i="71"/>
  <c r="T28" i="71" s="1"/>
  <c r="U28" i="71" s="1"/>
  <c r="P39" i="71"/>
  <c r="U39" i="71" s="1"/>
  <c r="P42" i="71"/>
  <c r="U42" i="71" s="1"/>
  <c r="P101" i="71"/>
  <c r="U101" i="71" s="1"/>
  <c r="P17" i="71"/>
  <c r="T17" i="71" s="1"/>
  <c r="U17" i="71" s="1"/>
  <c r="P22" i="71"/>
  <c r="T22" i="71" s="1"/>
  <c r="U22" i="71" s="1"/>
  <c r="P18" i="71"/>
  <c r="T18" i="71" s="1"/>
  <c r="U18" i="71" s="1"/>
  <c r="P38" i="71"/>
  <c r="U38" i="71" s="1"/>
  <c r="P109" i="71"/>
  <c r="U109" i="71" s="1"/>
  <c r="P111" i="71"/>
  <c r="U111"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10" i="71"/>
  <c r="U110" i="71" s="1"/>
  <c r="P23" i="71"/>
  <c r="T23" i="71" s="1"/>
  <c r="U23" i="71" s="1"/>
  <c r="P43" i="71"/>
  <c r="U43" i="71" s="1"/>
  <c r="P15" i="48"/>
  <c r="T15" i="48" s="1"/>
  <c r="U15" i="48" s="1"/>
  <c r="P25" i="48"/>
  <c r="T25" i="48" s="1"/>
  <c r="U25" i="48" s="1"/>
  <c r="P20" i="48"/>
  <c r="T20" i="48" s="1"/>
  <c r="U20" i="48" s="1"/>
  <c r="P40" i="48"/>
  <c r="U40" i="48" s="1"/>
  <c r="P43" i="48"/>
  <c r="U43" i="48" s="1"/>
  <c r="P111" i="48"/>
  <c r="U111"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U114" i="48"/>
  <c r="P21" i="48"/>
  <c r="T21" i="48" s="1"/>
  <c r="U21" i="48" s="1"/>
  <c r="P28" i="48"/>
  <c r="T28" i="48" s="1"/>
  <c r="U28" i="48" s="1"/>
  <c r="P39" i="48"/>
  <c r="U39" i="48" s="1"/>
  <c r="P42" i="48"/>
  <c r="U42" i="48" s="1"/>
  <c r="P18" i="48"/>
  <c r="T18" i="48" s="1"/>
  <c r="U18" i="48" s="1"/>
  <c r="P14" i="48"/>
  <c r="P23" i="48"/>
  <c r="T23" i="48" s="1"/>
  <c r="U23" i="48" s="1"/>
  <c r="P110" i="48"/>
  <c r="U110" i="48" s="1"/>
  <c r="P101" i="48"/>
  <c r="U101" i="48" s="1"/>
  <c r="P29" i="48"/>
  <c r="T29" i="48" s="1"/>
  <c r="U29" i="48" s="1"/>
  <c r="P109" i="48"/>
  <c r="U109" i="48" s="1"/>
  <c r="I95" i="21"/>
  <c r="I71" i="30"/>
  <c r="I76" i="30"/>
  <c r="I78" i="30"/>
  <c r="H74" i="30"/>
  <c r="I74" i="30" s="1"/>
  <c r="I71" i="56"/>
  <c r="I76" i="56"/>
  <c r="I78" i="56"/>
  <c r="H74" i="56"/>
  <c r="I74" i="56" s="1"/>
  <c r="P16" i="23"/>
  <c r="T16" i="23" s="1"/>
  <c r="U16" i="23" s="1"/>
  <c r="P26" i="23"/>
  <c r="T26" i="23" s="1"/>
  <c r="U26" i="23" s="1"/>
  <c r="U114" i="23"/>
  <c r="P21" i="23"/>
  <c r="T21" i="23" s="1"/>
  <c r="U21" i="23" s="1"/>
  <c r="P28" i="23"/>
  <c r="T28" i="23" s="1"/>
  <c r="U28" i="23" s="1"/>
  <c r="P39" i="23"/>
  <c r="U39" i="23" s="1"/>
  <c r="P42" i="23"/>
  <c r="U42" i="23" s="1"/>
  <c r="P18" i="23"/>
  <c r="T18" i="23" s="1"/>
  <c r="U18" i="23" s="1"/>
  <c r="P23" i="23"/>
  <c r="T23" i="23" s="1"/>
  <c r="U23" i="23" s="1"/>
  <c r="P109" i="23"/>
  <c r="U109" i="23" s="1"/>
  <c r="P101" i="23"/>
  <c r="U101" i="23" s="1"/>
  <c r="P15" i="23"/>
  <c r="T15" i="23" s="1"/>
  <c r="U15" i="23" s="1"/>
  <c r="P25" i="23"/>
  <c r="T25" i="23" s="1"/>
  <c r="U25" i="23" s="1"/>
  <c r="P20" i="23"/>
  <c r="T20" i="23" s="1"/>
  <c r="U20" i="23" s="1"/>
  <c r="P40" i="23"/>
  <c r="U40" i="23" s="1"/>
  <c r="P43" i="23"/>
  <c r="U43" i="23" s="1"/>
  <c r="P111" i="23"/>
  <c r="U111"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10" i="23"/>
  <c r="U110" i="23" s="1"/>
  <c r="C95" i="30"/>
  <c r="H92" i="30"/>
  <c r="I95" i="30" s="1"/>
  <c r="P19" i="18"/>
  <c r="T19" i="18" s="1"/>
  <c r="U19" i="18" s="1"/>
  <c r="P16" i="18"/>
  <c r="T16" i="18" s="1"/>
  <c r="U16" i="18" s="1"/>
  <c r="P26" i="18"/>
  <c r="T26" i="18" s="1"/>
  <c r="U26" i="18" s="1"/>
  <c r="P110" i="18"/>
  <c r="U110" i="18" s="1"/>
  <c r="P21" i="18"/>
  <c r="T21" i="18" s="1"/>
  <c r="U21" i="18" s="1"/>
  <c r="U114" i="18"/>
  <c r="P28" i="18"/>
  <c r="T28" i="18" s="1"/>
  <c r="U28" i="18" s="1"/>
  <c r="P39" i="18"/>
  <c r="U39" i="18" s="1"/>
  <c r="P42" i="18"/>
  <c r="U42" i="18" s="1"/>
  <c r="P18" i="18"/>
  <c r="T18" i="18" s="1"/>
  <c r="U18" i="18" s="1"/>
  <c r="P23" i="18"/>
  <c r="T23" i="18" s="1"/>
  <c r="U23" i="18" s="1"/>
  <c r="P109" i="18"/>
  <c r="U109" i="18" s="1"/>
  <c r="P20" i="18"/>
  <c r="T20" i="18" s="1"/>
  <c r="U20" i="18" s="1"/>
  <c r="P40" i="18"/>
  <c r="U40" i="18" s="1"/>
  <c r="P43" i="18"/>
  <c r="U43" i="18" s="1"/>
  <c r="P17" i="18"/>
  <c r="T17" i="18" s="1"/>
  <c r="U17" i="18" s="1"/>
  <c r="P22" i="18"/>
  <c r="T22" i="18" s="1"/>
  <c r="U22" i="18" s="1"/>
  <c r="P14" i="18"/>
  <c r="P29" i="18"/>
  <c r="T29" i="18" s="1"/>
  <c r="U29" i="18" s="1"/>
  <c r="P15" i="18"/>
  <c r="T15" i="18" s="1"/>
  <c r="U15" i="18" s="1"/>
  <c r="P101" i="18"/>
  <c r="U101" i="18" s="1"/>
  <c r="P24" i="18"/>
  <c r="T24" i="18" s="1"/>
  <c r="U24" i="18" s="1"/>
  <c r="P25" i="18"/>
  <c r="T25" i="18" s="1"/>
  <c r="U25" i="18" s="1"/>
  <c r="P41" i="18"/>
  <c r="U41" i="18" s="1"/>
  <c r="P111" i="18"/>
  <c r="U111" i="18" s="1"/>
  <c r="P27" i="18"/>
  <c r="T27" i="18" s="1"/>
  <c r="U27" i="18" s="1"/>
  <c r="P38" i="18"/>
  <c r="U38" i="18" s="1"/>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09" i="25"/>
  <c r="U109" i="25" s="1"/>
  <c r="P101" i="25"/>
  <c r="U101" i="25" s="1"/>
  <c r="P22" i="25"/>
  <c r="T22" i="25" s="1"/>
  <c r="U22" i="25" s="1"/>
  <c r="P24" i="25"/>
  <c r="T24" i="25" s="1"/>
  <c r="U24" i="25" s="1"/>
  <c r="P20" i="25"/>
  <c r="T20" i="25" s="1"/>
  <c r="U20" i="25" s="1"/>
  <c r="P40" i="25"/>
  <c r="U40" i="25" s="1"/>
  <c r="P43" i="25"/>
  <c r="U43" i="25" s="1"/>
  <c r="P111" i="25"/>
  <c r="U111" i="25" s="1"/>
  <c r="P14" i="25"/>
  <c r="P27" i="25"/>
  <c r="T27" i="25" s="1"/>
  <c r="U27" i="25" s="1"/>
  <c r="P25" i="25"/>
  <c r="T25" i="25" s="1"/>
  <c r="U25" i="25" s="1"/>
  <c r="P29" i="25"/>
  <c r="T29" i="25" s="1"/>
  <c r="U29" i="25" s="1"/>
  <c r="P38" i="25"/>
  <c r="U38" i="25" s="1"/>
  <c r="P41" i="25"/>
  <c r="U41" i="25" s="1"/>
  <c r="P21" i="25"/>
  <c r="T21" i="25" s="1"/>
  <c r="U21" i="25" s="1"/>
  <c r="P110" i="25"/>
  <c r="U110" i="25" s="1"/>
  <c r="P15" i="25"/>
  <c r="T15" i="25" s="1"/>
  <c r="U15" i="25" s="1"/>
  <c r="P17" i="25"/>
  <c r="T17" i="25" s="1"/>
  <c r="U17" i="25" s="1"/>
  <c r="U114" i="25"/>
  <c r="P17" i="33"/>
  <c r="T17" i="33" s="1"/>
  <c r="U17" i="33" s="1"/>
  <c r="P22" i="33"/>
  <c r="T22" i="33" s="1"/>
  <c r="U22" i="33" s="1"/>
  <c r="P14" i="33"/>
  <c r="P29" i="33"/>
  <c r="T29" i="33" s="1"/>
  <c r="U29" i="33" s="1"/>
  <c r="P24" i="33"/>
  <c r="T24" i="33" s="1"/>
  <c r="U24" i="33" s="1"/>
  <c r="P38" i="33"/>
  <c r="U38" i="33" s="1"/>
  <c r="P41" i="33"/>
  <c r="U41" i="33" s="1"/>
  <c r="P19" i="33"/>
  <c r="T19" i="33" s="1"/>
  <c r="U19" i="33" s="1"/>
  <c r="P110" i="33"/>
  <c r="U110" i="33" s="1"/>
  <c r="P16" i="33"/>
  <c r="T16" i="33" s="1"/>
  <c r="U16" i="33" s="1"/>
  <c r="P26" i="33"/>
  <c r="T26" i="33" s="1"/>
  <c r="U26" i="33" s="1"/>
  <c r="U114" i="33"/>
  <c r="P21" i="33"/>
  <c r="T21" i="33" s="1"/>
  <c r="U21" i="33" s="1"/>
  <c r="P28" i="33"/>
  <c r="T28" i="33" s="1"/>
  <c r="U28" i="33" s="1"/>
  <c r="P39" i="33"/>
  <c r="U39" i="33" s="1"/>
  <c r="P42" i="33"/>
  <c r="U42" i="33" s="1"/>
  <c r="P18" i="33"/>
  <c r="T18" i="33" s="1"/>
  <c r="U18" i="33" s="1"/>
  <c r="P23" i="33"/>
  <c r="T23" i="33" s="1"/>
  <c r="U23" i="33" s="1"/>
  <c r="P109" i="33"/>
  <c r="U109" i="33" s="1"/>
  <c r="P20" i="33"/>
  <c r="T20" i="33" s="1"/>
  <c r="U20" i="33" s="1"/>
  <c r="P40" i="33"/>
  <c r="U40" i="33" s="1"/>
  <c r="P43" i="33"/>
  <c r="U43" i="33" s="1"/>
  <c r="P111" i="33"/>
  <c r="U111" i="33" s="1"/>
  <c r="P15" i="33"/>
  <c r="T15" i="33" s="1"/>
  <c r="U15" i="33" s="1"/>
  <c r="P27" i="33"/>
  <c r="T27" i="33" s="1"/>
  <c r="U27" i="33" s="1"/>
  <c r="P25" i="33"/>
  <c r="T25" i="33" s="1"/>
  <c r="U25" i="33" s="1"/>
  <c r="P101" i="33"/>
  <c r="U101" i="33" s="1"/>
  <c r="P28" i="57"/>
  <c r="T28" i="57" s="1"/>
  <c r="U28" i="57" s="1"/>
  <c r="P39" i="57"/>
  <c r="U39" i="57" s="1"/>
  <c r="P42" i="57"/>
  <c r="U42" i="57" s="1"/>
  <c r="P101" i="57"/>
  <c r="U101"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10" i="57"/>
  <c r="U110" i="57" s="1"/>
  <c r="P111" i="57"/>
  <c r="U111" i="57" s="1"/>
  <c r="P22" i="57"/>
  <c r="T22" i="57" s="1"/>
  <c r="U22" i="57" s="1"/>
  <c r="P16" i="57"/>
  <c r="T16" i="57" s="1"/>
  <c r="U16" i="57" s="1"/>
  <c r="U114" i="57"/>
  <c r="P26" i="57"/>
  <c r="T26" i="57" s="1"/>
  <c r="U26" i="57" s="1"/>
  <c r="P109" i="57"/>
  <c r="U109" i="57" s="1"/>
  <c r="P23" i="57"/>
  <c r="T23" i="57" s="1"/>
  <c r="U23" i="57" s="1"/>
  <c r="P43" i="57"/>
  <c r="U43" i="57" s="1"/>
  <c r="P20" i="57"/>
  <c r="T20" i="57" s="1"/>
  <c r="U20" i="57" s="1"/>
  <c r="P17" i="57"/>
  <c r="T17" i="57" s="1"/>
  <c r="U17" i="57" s="1"/>
  <c r="P18" i="57"/>
  <c r="T18" i="57" s="1"/>
  <c r="U18" i="57" s="1"/>
  <c r="P40" i="57"/>
  <c r="U40" i="57" s="1"/>
  <c r="P21" i="57"/>
  <c r="T21" i="57" s="1"/>
  <c r="U21" i="57" s="1"/>
  <c r="I78" i="71"/>
  <c r="H74" i="71"/>
  <c r="I74" i="71" s="1"/>
  <c r="I71" i="71"/>
  <c r="I76" i="71"/>
  <c r="I71" i="48"/>
  <c r="I76" i="48"/>
  <c r="I78" i="48"/>
  <c r="H74" i="48"/>
  <c r="I74" i="48" s="1"/>
  <c r="P28" i="77"/>
  <c r="T28" i="77" s="1"/>
  <c r="U28" i="77" s="1"/>
  <c r="P39" i="77"/>
  <c r="U39" i="77" s="1"/>
  <c r="P42" i="77"/>
  <c r="U42" i="77" s="1"/>
  <c r="P18" i="77"/>
  <c r="T18" i="77" s="1"/>
  <c r="U18" i="77" s="1"/>
  <c r="P23" i="77"/>
  <c r="T23" i="77" s="1"/>
  <c r="U23" i="77" s="1"/>
  <c r="P109" i="77"/>
  <c r="U109" i="77" s="1"/>
  <c r="P101" i="77"/>
  <c r="U101" i="77" s="1"/>
  <c r="P15" i="77"/>
  <c r="T15" i="77" s="1"/>
  <c r="U15" i="77" s="1"/>
  <c r="P25" i="77"/>
  <c r="T25" i="77" s="1"/>
  <c r="U25" i="77" s="1"/>
  <c r="P20" i="77"/>
  <c r="T20" i="77" s="1"/>
  <c r="U20" i="77" s="1"/>
  <c r="P40" i="77"/>
  <c r="U40" i="77" s="1"/>
  <c r="P43" i="77"/>
  <c r="U43" i="77" s="1"/>
  <c r="P111" i="77"/>
  <c r="U111"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10" i="77"/>
  <c r="U110" i="77" s="1"/>
  <c r="P16" i="77"/>
  <c r="T16" i="77" s="1"/>
  <c r="U16" i="77" s="1"/>
  <c r="U114" i="77"/>
  <c r="P26" i="77"/>
  <c r="T26" i="77" s="1"/>
  <c r="U26" i="77" s="1"/>
  <c r="P21" i="77"/>
  <c r="T21" i="77" s="1"/>
  <c r="U21" i="77" s="1"/>
  <c r="P19" i="26"/>
  <c r="T19" i="26" s="1"/>
  <c r="U19" i="26" s="1"/>
  <c r="P110" i="26"/>
  <c r="U110" i="26" s="1"/>
  <c r="P16" i="26"/>
  <c r="T16" i="26" s="1"/>
  <c r="U16" i="26" s="1"/>
  <c r="P26" i="26"/>
  <c r="T26" i="26" s="1"/>
  <c r="U26" i="26" s="1"/>
  <c r="U114" i="26"/>
  <c r="P21" i="26"/>
  <c r="T21" i="26" s="1"/>
  <c r="U21" i="26" s="1"/>
  <c r="P28" i="26"/>
  <c r="T28" i="26" s="1"/>
  <c r="U28" i="26" s="1"/>
  <c r="P39" i="26"/>
  <c r="U39" i="26" s="1"/>
  <c r="P42" i="26"/>
  <c r="U42" i="26" s="1"/>
  <c r="P18" i="26"/>
  <c r="T18" i="26" s="1"/>
  <c r="U18" i="26" s="1"/>
  <c r="P23" i="26"/>
  <c r="T23" i="26" s="1"/>
  <c r="U23" i="26" s="1"/>
  <c r="P109" i="26"/>
  <c r="U109" i="26" s="1"/>
  <c r="P101" i="26"/>
  <c r="U101" i="26" s="1"/>
  <c r="P15" i="26"/>
  <c r="T15" i="26" s="1"/>
  <c r="U15" i="26" s="1"/>
  <c r="P25" i="26"/>
  <c r="T25" i="26" s="1"/>
  <c r="U25" i="26" s="1"/>
  <c r="P20" i="26"/>
  <c r="T20" i="26" s="1"/>
  <c r="U20" i="26" s="1"/>
  <c r="P40" i="26"/>
  <c r="U40" i="26" s="1"/>
  <c r="P43" i="26"/>
  <c r="U43" i="26" s="1"/>
  <c r="P111" i="26"/>
  <c r="U111" i="26" s="1"/>
  <c r="P17" i="26"/>
  <c r="T17" i="26" s="1"/>
  <c r="U17" i="26" s="1"/>
  <c r="P22" i="26"/>
  <c r="T22" i="26" s="1"/>
  <c r="U22" i="26" s="1"/>
  <c r="P14" i="26"/>
  <c r="P29" i="26"/>
  <c r="T29" i="26" s="1"/>
  <c r="U29" i="26" s="1"/>
  <c r="P38" i="26"/>
  <c r="U38" i="26" s="1"/>
  <c r="P27" i="26"/>
  <c r="T27" i="26" s="1"/>
  <c r="U27" i="26" s="1"/>
  <c r="P41" i="26"/>
  <c r="U41" i="26" s="1"/>
  <c r="P24" i="26"/>
  <c r="T24" i="26" s="1"/>
  <c r="U24" i="26" s="1"/>
  <c r="I71" i="16"/>
  <c r="I76" i="16"/>
  <c r="I78" i="16"/>
  <c r="H74" i="16"/>
  <c r="I74" i="16" s="1"/>
  <c r="P19" i="78"/>
  <c r="T19" i="78" s="1"/>
  <c r="U19" i="78" s="1"/>
  <c r="P110" i="78"/>
  <c r="U110" i="78" s="1"/>
  <c r="P16" i="78"/>
  <c r="T16" i="78" s="1"/>
  <c r="U16" i="78" s="1"/>
  <c r="P26" i="78"/>
  <c r="T26" i="78" s="1"/>
  <c r="U26" i="78" s="1"/>
  <c r="U114" i="78"/>
  <c r="P21" i="78"/>
  <c r="T21" i="78" s="1"/>
  <c r="U21" i="78" s="1"/>
  <c r="P28" i="78"/>
  <c r="T28" i="78" s="1"/>
  <c r="U28" i="78" s="1"/>
  <c r="P39" i="78"/>
  <c r="U39" i="78" s="1"/>
  <c r="P42" i="78"/>
  <c r="U42" i="78" s="1"/>
  <c r="P18" i="78"/>
  <c r="T18" i="78" s="1"/>
  <c r="U18" i="78" s="1"/>
  <c r="P23" i="78"/>
  <c r="T23" i="78" s="1"/>
  <c r="U23" i="78" s="1"/>
  <c r="P109" i="78"/>
  <c r="U109" i="78" s="1"/>
  <c r="P101" i="78"/>
  <c r="U101" i="78" s="1"/>
  <c r="P15" i="78"/>
  <c r="T15" i="78" s="1"/>
  <c r="U15" i="78" s="1"/>
  <c r="P25" i="78"/>
  <c r="T25" i="78" s="1"/>
  <c r="U25" i="78" s="1"/>
  <c r="P20" i="78"/>
  <c r="T20" i="78" s="1"/>
  <c r="U20" i="78" s="1"/>
  <c r="P40" i="78"/>
  <c r="U40" i="78" s="1"/>
  <c r="P43" i="78"/>
  <c r="U43" i="78" s="1"/>
  <c r="P111" i="78"/>
  <c r="U111" i="78" s="1"/>
  <c r="P27" i="78"/>
  <c r="T27" i="78" s="1"/>
  <c r="U27" i="78" s="1"/>
  <c r="P17" i="78"/>
  <c r="T17" i="78" s="1"/>
  <c r="U17" i="78" s="1"/>
  <c r="P22" i="78"/>
  <c r="T22" i="78" s="1"/>
  <c r="U22" i="78" s="1"/>
  <c r="P29" i="78"/>
  <c r="T29" i="78" s="1"/>
  <c r="U29" i="78" s="1"/>
  <c r="P14" i="78"/>
  <c r="P24" i="78"/>
  <c r="T24" i="78" s="1"/>
  <c r="U24" i="78" s="1"/>
  <c r="P38" i="78"/>
  <c r="U38" i="78" s="1"/>
  <c r="P41" i="78"/>
  <c r="U41" i="78" s="1"/>
  <c r="I30" i="30"/>
  <c r="C95" i="31"/>
  <c r="H92" i="31"/>
  <c r="I95" i="31" s="1"/>
  <c r="H92" i="23"/>
  <c r="I95" i="23" s="1"/>
  <c r="C95" i="23"/>
  <c r="I78" i="15"/>
  <c r="H74" i="15"/>
  <c r="I74" i="15" s="1"/>
  <c r="I71" i="15"/>
  <c r="I76" i="15"/>
  <c r="I71" i="33"/>
  <c r="I76" i="33"/>
  <c r="I78" i="33"/>
  <c r="H74" i="33"/>
  <c r="I74"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09" i="36"/>
  <c r="U109" i="36" s="1"/>
  <c r="P39" i="36"/>
  <c r="U39" i="36" s="1"/>
  <c r="P43" i="36"/>
  <c r="U43" i="36" s="1"/>
  <c r="P111" i="36"/>
  <c r="U111" i="36" s="1"/>
  <c r="P15" i="36"/>
  <c r="T15" i="36" s="1"/>
  <c r="U15" i="36" s="1"/>
  <c r="P27" i="36"/>
  <c r="T27" i="36" s="1"/>
  <c r="U27" i="36" s="1"/>
  <c r="P40" i="36"/>
  <c r="U40" i="36" s="1"/>
  <c r="P20" i="36"/>
  <c r="T20" i="36" s="1"/>
  <c r="U20" i="36" s="1"/>
  <c r="P25" i="36"/>
  <c r="T25" i="36" s="1"/>
  <c r="U25" i="36" s="1"/>
  <c r="P101" i="36"/>
  <c r="U101" i="36" s="1"/>
  <c r="U114" i="36"/>
  <c r="P16" i="36"/>
  <c r="T16" i="36" s="1"/>
  <c r="U16" i="36" s="1"/>
  <c r="P28" i="36"/>
  <c r="T28" i="36" s="1"/>
  <c r="U28" i="36" s="1"/>
  <c r="P110" i="36"/>
  <c r="U110" i="36" s="1"/>
  <c r="P19" i="36"/>
  <c r="T19" i="36" s="1"/>
  <c r="U19" i="36" s="1"/>
  <c r="P21" i="36"/>
  <c r="T21" i="36" s="1"/>
  <c r="U21" i="36" s="1"/>
  <c r="P26" i="36"/>
  <c r="T26" i="36" s="1"/>
  <c r="U26" i="36" s="1"/>
  <c r="P42" i="36"/>
  <c r="U42" i="36" s="1"/>
  <c r="I78" i="32"/>
  <c r="H74" i="32"/>
  <c r="I74" i="32" s="1"/>
  <c r="I76" i="32"/>
  <c r="I71" i="32"/>
  <c r="H93" i="69"/>
  <c r="I95" i="69" s="1"/>
  <c r="C95" i="69"/>
  <c r="H92" i="67"/>
  <c r="I95" i="67" s="1"/>
  <c r="C95" i="67"/>
  <c r="H92" i="38"/>
  <c r="I95" i="38" s="1"/>
  <c r="C95" i="38"/>
  <c r="C95" i="77"/>
  <c r="H92" i="77"/>
  <c r="I95" i="77" s="1"/>
  <c r="C95" i="24"/>
  <c r="H92" i="24"/>
  <c r="I95" i="24" s="1"/>
  <c r="C95" i="16"/>
  <c r="H92"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11" i="56"/>
  <c r="U111" i="56" s="1"/>
  <c r="P18" i="56"/>
  <c r="T18" i="56" s="1"/>
  <c r="U18" i="56" s="1"/>
  <c r="P40" i="56"/>
  <c r="U40" i="56" s="1"/>
  <c r="P109" i="56"/>
  <c r="U109" i="56" s="1"/>
  <c r="U114" i="56"/>
  <c r="P29" i="56"/>
  <c r="T29" i="56" s="1"/>
  <c r="U29" i="56" s="1"/>
  <c r="P19" i="56"/>
  <c r="T19" i="56" s="1"/>
  <c r="U19" i="56" s="1"/>
  <c r="P101" i="56"/>
  <c r="U101" i="56" s="1"/>
  <c r="P23" i="56"/>
  <c r="T23" i="56" s="1"/>
  <c r="U23" i="56" s="1"/>
  <c r="P110" i="56"/>
  <c r="U110" i="56" s="1"/>
  <c r="P14" i="56"/>
  <c r="P43" i="56"/>
  <c r="U43" i="56" s="1"/>
  <c r="P20" i="56"/>
  <c r="T20" i="56" s="1"/>
  <c r="U20" i="56" s="1"/>
  <c r="C95" i="45"/>
  <c r="H92" i="45"/>
  <c r="I95" i="45" s="1"/>
  <c r="I30" i="23"/>
  <c r="H74" i="70"/>
  <c r="I74" i="70" s="1"/>
  <c r="I78" i="70"/>
  <c r="I76" i="70"/>
  <c r="I71" i="70"/>
  <c r="C95" i="68"/>
  <c r="H92" i="68"/>
  <c r="I95" i="68" s="1"/>
  <c r="H74" i="35"/>
  <c r="I74" i="35" s="1"/>
  <c r="I71" i="35"/>
  <c r="I76" i="35"/>
  <c r="I78" i="35"/>
  <c r="I71" i="36"/>
  <c r="I76" i="36"/>
  <c r="H74" i="36"/>
  <c r="I74" i="36" s="1"/>
  <c r="I78" i="36"/>
  <c r="P19" i="32"/>
  <c r="T19" i="32" s="1"/>
  <c r="U19" i="32" s="1"/>
  <c r="P16" i="32"/>
  <c r="T16" i="32" s="1"/>
  <c r="U16" i="32" s="1"/>
  <c r="P26" i="32"/>
  <c r="T26" i="32" s="1"/>
  <c r="U26" i="32" s="1"/>
  <c r="U114" i="32"/>
  <c r="P21" i="32"/>
  <c r="T21" i="32" s="1"/>
  <c r="U21" i="32" s="1"/>
  <c r="P28" i="32"/>
  <c r="T28" i="32" s="1"/>
  <c r="U28" i="32" s="1"/>
  <c r="P39" i="32"/>
  <c r="U39" i="32" s="1"/>
  <c r="P42" i="32"/>
  <c r="U42" i="32" s="1"/>
  <c r="P18" i="32"/>
  <c r="T18" i="32" s="1"/>
  <c r="U18" i="32" s="1"/>
  <c r="P23" i="32"/>
  <c r="T23" i="32" s="1"/>
  <c r="U23" i="32" s="1"/>
  <c r="P109" i="32"/>
  <c r="U109" i="32" s="1"/>
  <c r="P101" i="32"/>
  <c r="U101"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10" i="32"/>
  <c r="U110" i="32" s="1"/>
  <c r="P27" i="32"/>
  <c r="T27" i="32" s="1"/>
  <c r="U27" i="32" s="1"/>
  <c r="P38" i="32"/>
  <c r="U38" i="32" s="1"/>
  <c r="P24" i="32"/>
  <c r="T24" i="32" s="1"/>
  <c r="U24" i="32" s="1"/>
  <c r="P111" i="32"/>
  <c r="U111" i="32" s="1"/>
  <c r="P20" i="24"/>
  <c r="T20" i="24" s="1"/>
  <c r="U20" i="24" s="1"/>
  <c r="P40" i="24"/>
  <c r="U40" i="24" s="1"/>
  <c r="P43" i="24"/>
  <c r="U43" i="24" s="1"/>
  <c r="P111" i="24"/>
  <c r="U111"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U114" i="24"/>
  <c r="P18" i="24"/>
  <c r="T18" i="24" s="1"/>
  <c r="U18" i="24" s="1"/>
  <c r="P23" i="24"/>
  <c r="T23" i="24" s="1"/>
  <c r="U23" i="24" s="1"/>
  <c r="P109" i="24"/>
  <c r="U109" i="24" s="1"/>
  <c r="P19" i="24"/>
  <c r="T19" i="24" s="1"/>
  <c r="U19" i="24" s="1"/>
  <c r="P28" i="24"/>
  <c r="T28" i="24" s="1"/>
  <c r="U28" i="24" s="1"/>
  <c r="P25" i="24"/>
  <c r="T25" i="24" s="1"/>
  <c r="U25" i="24" s="1"/>
  <c r="P39" i="24"/>
  <c r="U39" i="24" s="1"/>
  <c r="P15" i="24"/>
  <c r="T15" i="24" s="1"/>
  <c r="U15" i="24" s="1"/>
  <c r="P101" i="24"/>
  <c r="U101" i="24" s="1"/>
  <c r="P21" i="24"/>
  <c r="T21" i="24" s="1"/>
  <c r="U21" i="24" s="1"/>
  <c r="P27" i="24"/>
  <c r="T27" i="24" s="1"/>
  <c r="U27" i="24" s="1"/>
  <c r="P110" i="24"/>
  <c r="U110" i="24" s="1"/>
  <c r="P42" i="24"/>
  <c r="U42" i="24" s="1"/>
  <c r="I71" i="75"/>
  <c r="I76" i="75"/>
  <c r="I78" i="75"/>
  <c r="H74" i="75"/>
  <c r="I74" i="75" s="1"/>
  <c r="H92" i="78"/>
  <c r="I95" i="78" s="1"/>
  <c r="C95" i="78"/>
  <c r="H74" i="50"/>
  <c r="I74" i="50" s="1"/>
  <c r="I71" i="50"/>
  <c r="I76" i="50"/>
  <c r="I78" i="50"/>
  <c r="P14" i="7"/>
  <c r="P16" i="7"/>
  <c r="T16" i="7" s="1"/>
  <c r="U16" i="7" s="1"/>
  <c r="P109" i="7"/>
  <c r="U109" i="7" s="1"/>
  <c r="P18" i="7"/>
  <c r="T18" i="7" s="1"/>
  <c r="U18" i="7" s="1"/>
  <c r="P20" i="7"/>
  <c r="T20" i="7" s="1"/>
  <c r="U20" i="7" s="1"/>
  <c r="P22" i="7"/>
  <c r="T22" i="7" s="1"/>
  <c r="U22" i="7" s="1"/>
  <c r="P24" i="7"/>
  <c r="T24" i="7" s="1"/>
  <c r="U24" i="7" s="1"/>
  <c r="P26" i="7"/>
  <c r="T26" i="7" s="1"/>
  <c r="U26" i="7" s="1"/>
  <c r="P28" i="7"/>
  <c r="T28" i="7" s="1"/>
  <c r="U28" i="7" s="1"/>
  <c r="P39" i="7"/>
  <c r="U39" i="7" s="1"/>
  <c r="P42" i="7"/>
  <c r="U42" i="7" s="1"/>
  <c r="P101" i="7"/>
  <c r="U101" i="7" s="1"/>
  <c r="P111" i="7"/>
  <c r="U111" i="7" s="1"/>
  <c r="P15" i="7"/>
  <c r="T15" i="7" s="1"/>
  <c r="U15" i="7" s="1"/>
  <c r="P40" i="7"/>
  <c r="U40" i="7" s="1"/>
  <c r="P43" i="7"/>
  <c r="U43" i="7" s="1"/>
  <c r="P17" i="7"/>
  <c r="T17" i="7" s="1"/>
  <c r="U17" i="7" s="1"/>
  <c r="U114" i="7"/>
  <c r="P19" i="7"/>
  <c r="T19" i="7" s="1"/>
  <c r="U19" i="7" s="1"/>
  <c r="P23" i="7"/>
  <c r="T23" i="7" s="1"/>
  <c r="U23" i="7" s="1"/>
  <c r="P27" i="7"/>
  <c r="T27" i="7" s="1"/>
  <c r="U27" i="7" s="1"/>
  <c r="P38" i="7"/>
  <c r="U38" i="7" s="1"/>
  <c r="P110" i="7"/>
  <c r="U110" i="7" s="1"/>
  <c r="P41" i="7"/>
  <c r="U41" i="7" s="1"/>
  <c r="P21" i="7"/>
  <c r="T21" i="7" s="1"/>
  <c r="U21" i="7" s="1"/>
  <c r="P25" i="7"/>
  <c r="T25" i="7" s="1"/>
  <c r="U25" i="7" s="1"/>
  <c r="P29" i="7"/>
  <c r="T29" i="7" s="1"/>
  <c r="U29" i="7" s="1"/>
  <c r="P16" i="15"/>
  <c r="T16" i="15" s="1"/>
  <c r="U16" i="15" s="1"/>
  <c r="P26" i="15"/>
  <c r="T26" i="15" s="1"/>
  <c r="U26" i="15" s="1"/>
  <c r="U114" i="15"/>
  <c r="P21" i="15"/>
  <c r="T21" i="15" s="1"/>
  <c r="U21" i="15" s="1"/>
  <c r="P28" i="15"/>
  <c r="T28" i="15" s="1"/>
  <c r="U28" i="15" s="1"/>
  <c r="P39" i="15"/>
  <c r="U39" i="15" s="1"/>
  <c r="P42" i="15"/>
  <c r="U42" i="15" s="1"/>
  <c r="P18" i="15"/>
  <c r="T18" i="15" s="1"/>
  <c r="U18" i="15" s="1"/>
  <c r="P23" i="15"/>
  <c r="T23" i="15" s="1"/>
  <c r="U23" i="15" s="1"/>
  <c r="P109" i="15"/>
  <c r="U109" i="15" s="1"/>
  <c r="P101" i="15"/>
  <c r="U101" i="15" s="1"/>
  <c r="P15" i="15"/>
  <c r="T15" i="15" s="1"/>
  <c r="U15" i="15" s="1"/>
  <c r="P25" i="15"/>
  <c r="T25" i="15" s="1"/>
  <c r="U25" i="15" s="1"/>
  <c r="P20" i="15"/>
  <c r="T20" i="15" s="1"/>
  <c r="U20" i="15" s="1"/>
  <c r="P40" i="15"/>
  <c r="U40" i="15" s="1"/>
  <c r="P43" i="15"/>
  <c r="U43" i="15" s="1"/>
  <c r="P111" i="15"/>
  <c r="U111" i="15" s="1"/>
  <c r="P27" i="15"/>
  <c r="T27" i="15" s="1"/>
  <c r="U27" i="15" s="1"/>
  <c r="P17" i="15"/>
  <c r="T17" i="15" s="1"/>
  <c r="U17" i="15" s="1"/>
  <c r="P22" i="15"/>
  <c r="T22" i="15" s="1"/>
  <c r="U22" i="15" s="1"/>
  <c r="P24" i="15"/>
  <c r="T24" i="15" s="1"/>
  <c r="U24" i="15" s="1"/>
  <c r="P38" i="15"/>
  <c r="U38" i="15" s="1"/>
  <c r="P41" i="15"/>
  <c r="U41" i="15" s="1"/>
  <c r="P29" i="15"/>
  <c r="T29" i="15" s="1"/>
  <c r="U29" i="15" s="1"/>
  <c r="P19" i="15"/>
  <c r="T19" i="15" s="1"/>
  <c r="U19" i="15" s="1"/>
  <c r="P110" i="15"/>
  <c r="U110" i="15" s="1"/>
  <c r="P14" i="15"/>
  <c r="R83" i="20" l="1"/>
  <c r="U83" i="20" s="1"/>
  <c r="R83" i="56"/>
  <c r="U83" i="56" s="1"/>
  <c r="F52" i="40"/>
  <c r="I52" i="40" s="1"/>
  <c r="C180" i="60"/>
  <c r="R83" i="71"/>
  <c r="U83" i="71" s="1"/>
  <c r="F51" i="38"/>
  <c r="I51" i="38" s="1"/>
  <c r="F52" i="55"/>
  <c r="I52" i="55" s="1"/>
  <c r="I53" i="55" s="1"/>
  <c r="U112" i="34"/>
  <c r="F51" i="28"/>
  <c r="I51" i="28" s="1"/>
  <c r="I53" i="28" s="1"/>
  <c r="U112" i="52"/>
  <c r="U44" i="34"/>
  <c r="R83" i="16"/>
  <c r="U83" i="16" s="1"/>
  <c r="R83" i="15"/>
  <c r="U83" i="15" s="1"/>
  <c r="R83" i="44"/>
  <c r="U83" i="44" s="1"/>
  <c r="R83" i="45"/>
  <c r="U83" i="45" s="1"/>
  <c r="R83" i="27"/>
  <c r="U83" i="27" s="1"/>
  <c r="R83" i="67"/>
  <c r="U83" i="67" s="1"/>
  <c r="R83" i="23"/>
  <c r="U83" i="23" s="1"/>
  <c r="O93" i="52"/>
  <c r="T93" i="52" s="1"/>
  <c r="R83" i="55"/>
  <c r="U83" i="55" s="1"/>
  <c r="R83" i="24"/>
  <c r="U83" i="24" s="1"/>
  <c r="F52" i="37"/>
  <c r="I52" i="37" s="1"/>
  <c r="I53" i="37" s="1"/>
  <c r="R83" i="39"/>
  <c r="U83" i="39" s="1"/>
  <c r="R83" i="57"/>
  <c r="U83" i="57" s="1"/>
  <c r="H93" i="60"/>
  <c r="R83" i="30"/>
  <c r="U83" i="30" s="1"/>
  <c r="R83" i="43"/>
  <c r="U83" i="43" s="1"/>
  <c r="R83" i="50"/>
  <c r="U83" i="50" s="1"/>
  <c r="R83" i="76"/>
  <c r="U83" i="76" s="1"/>
  <c r="F51" i="77"/>
  <c r="I51" i="77" s="1"/>
  <c r="I53" i="77" s="1"/>
  <c r="R83" i="34"/>
  <c r="U83" i="34" s="1"/>
  <c r="R83" i="32"/>
  <c r="U83" i="32" s="1"/>
  <c r="R83" i="77"/>
  <c r="U83" i="77" s="1"/>
  <c r="F52" i="69"/>
  <c r="I52" i="69" s="1"/>
  <c r="I53" i="69" s="1"/>
  <c r="R83" i="17"/>
  <c r="U83" i="17" s="1"/>
  <c r="R83" i="47"/>
  <c r="U83" i="47" s="1"/>
  <c r="R83" i="33"/>
  <c r="U83" i="33" s="1"/>
  <c r="R83" i="70"/>
  <c r="U83" i="70" s="1"/>
  <c r="R83" i="28"/>
  <c r="U83" i="28" s="1"/>
  <c r="F51" i="31"/>
  <c r="I51" i="31" s="1"/>
  <c r="I53" i="31" s="1"/>
  <c r="R83" i="48"/>
  <c r="U83" i="48" s="1"/>
  <c r="F52" i="34"/>
  <c r="I52" i="34" s="1"/>
  <c r="I53" i="34" s="1"/>
  <c r="F51" i="58"/>
  <c r="I51" i="58" s="1"/>
  <c r="I53" i="58" s="1"/>
  <c r="R83" i="68"/>
  <c r="U83" i="68" s="1"/>
  <c r="R83" i="52"/>
  <c r="U83" i="52" s="1"/>
  <c r="R83" i="78"/>
  <c r="U83" i="78" s="1"/>
  <c r="R83" i="37"/>
  <c r="U83" i="37" s="1"/>
  <c r="F51" i="47"/>
  <c r="I51" i="47" s="1"/>
  <c r="I53" i="47" s="1"/>
  <c r="R83" i="21"/>
  <c r="U83" i="21" s="1"/>
  <c r="R83" i="18"/>
  <c r="U83" i="18" s="1"/>
  <c r="R83" i="40"/>
  <c r="U83" i="40" s="1"/>
  <c r="O93" i="34"/>
  <c r="T93" i="34" s="1"/>
  <c r="C96" i="60"/>
  <c r="R83" i="51"/>
  <c r="U83" i="51" s="1"/>
  <c r="R83" i="69"/>
  <c r="U83" i="69" s="1"/>
  <c r="F51" i="78"/>
  <c r="I51" i="78" s="1"/>
  <c r="I53" i="78" s="1"/>
  <c r="F52" i="24"/>
  <c r="I52" i="24" s="1"/>
  <c r="I53" i="24" s="1"/>
  <c r="H94" i="60"/>
  <c r="F52" i="51"/>
  <c r="I52" i="51" s="1"/>
  <c r="I53" i="51" s="1"/>
  <c r="F52" i="57"/>
  <c r="I52" i="57" s="1"/>
  <c r="I53" i="57" s="1"/>
  <c r="I77" i="60"/>
  <c r="I72" i="60"/>
  <c r="C60" i="60"/>
  <c r="H61" i="60" s="1"/>
  <c r="I79" i="60"/>
  <c r="I75" i="60"/>
  <c r="O94" i="34"/>
  <c r="T94" i="34" s="1"/>
  <c r="P30" i="34"/>
  <c r="P65" i="34" s="1"/>
  <c r="T66" i="34" s="1"/>
  <c r="T71" i="34" s="1"/>
  <c r="U71" i="34" s="1"/>
  <c r="P30" i="52"/>
  <c r="P56" i="52" s="1"/>
  <c r="T57" i="52" s="1"/>
  <c r="T74" i="52" s="1"/>
  <c r="U74" i="52" s="1"/>
  <c r="F52" i="36"/>
  <c r="I52" i="36" s="1"/>
  <c r="I53" i="36" s="1"/>
  <c r="F51" i="44"/>
  <c r="I51" i="44" s="1"/>
  <c r="R44" i="34"/>
  <c r="F52" i="68"/>
  <c r="I52" i="68" s="1"/>
  <c r="I53" i="68" s="1"/>
  <c r="F52" i="52"/>
  <c r="I52" i="52" s="1"/>
  <c r="I53" i="52" s="1"/>
  <c r="F52" i="56"/>
  <c r="I52" i="56" s="1"/>
  <c r="I53" i="56" s="1"/>
  <c r="I116" i="56" s="1"/>
  <c r="I118" i="56" s="1"/>
  <c r="H123" i="56" s="1"/>
  <c r="F52" i="27"/>
  <c r="I52" i="27" s="1"/>
  <c r="I53" i="27" s="1"/>
  <c r="U44" i="52"/>
  <c r="I46" i="17"/>
  <c r="F51" i="17" s="1"/>
  <c r="I51" i="17" s="1"/>
  <c r="O94" i="52"/>
  <c r="T94" i="52" s="1"/>
  <c r="I46" i="66"/>
  <c r="F51" i="66" s="1"/>
  <c r="I51" i="66" s="1"/>
  <c r="F52" i="71"/>
  <c r="I52" i="71" s="1"/>
  <c r="I53" i="71" s="1"/>
  <c r="T14" i="52"/>
  <c r="U14" i="52" s="1"/>
  <c r="U30" i="52" s="1"/>
  <c r="I46" i="67"/>
  <c r="F52" i="67" s="1"/>
  <c r="I52" i="67" s="1"/>
  <c r="F52" i="42"/>
  <c r="I52" i="42" s="1"/>
  <c r="I53" i="42" s="1"/>
  <c r="F51" i="21"/>
  <c r="I51" i="21" s="1"/>
  <c r="I53" i="21" s="1"/>
  <c r="I46" i="18"/>
  <c r="F51" i="18" s="1"/>
  <c r="I51" i="18" s="1"/>
  <c r="R44" i="52"/>
  <c r="I46" i="7"/>
  <c r="F52" i="7" s="1"/>
  <c r="I46" i="32"/>
  <c r="F52" i="32" s="1"/>
  <c r="I52" i="32" s="1"/>
  <c r="I46" i="26"/>
  <c r="F52" i="26" s="1"/>
  <c r="I52" i="26" s="1"/>
  <c r="I46" i="20"/>
  <c r="F51" i="20" s="1"/>
  <c r="I51" i="20" s="1"/>
  <c r="F51" i="35"/>
  <c r="I51" i="35" s="1"/>
  <c r="I53" i="35" s="1"/>
  <c r="I46" i="23"/>
  <c r="F52" i="23" s="1"/>
  <c r="I52" i="23" s="1"/>
  <c r="I46" i="70"/>
  <c r="F52" i="70" s="1"/>
  <c r="I52" i="70" s="1"/>
  <c r="F51" i="48"/>
  <c r="I51" i="48" s="1"/>
  <c r="I53" i="48" s="1"/>
  <c r="I46" i="15"/>
  <c r="F51" i="15" s="1"/>
  <c r="I51" i="15" s="1"/>
  <c r="F51" i="22"/>
  <c r="I51" i="22" s="1"/>
  <c r="I53" i="22" s="1"/>
  <c r="I46" i="16"/>
  <c r="F52" i="16" s="1"/>
  <c r="I52" i="16" s="1"/>
  <c r="I46" i="30"/>
  <c r="F51" i="30" s="1"/>
  <c r="I51" i="30" s="1"/>
  <c r="H85" i="33"/>
  <c r="I85" i="33" s="1"/>
  <c r="H87" i="33"/>
  <c r="I87" i="33" s="1"/>
  <c r="I53" i="43"/>
  <c r="H85" i="43"/>
  <c r="I85" i="43" s="1"/>
  <c r="H87" i="43"/>
  <c r="I87" i="43" s="1"/>
  <c r="H85" i="32"/>
  <c r="I85" i="32" s="1"/>
  <c r="H87" i="32"/>
  <c r="I87" i="32" s="1"/>
  <c r="I53" i="38"/>
  <c r="I53" i="50"/>
  <c r="H60" i="35"/>
  <c r="H60" i="44"/>
  <c r="H60" i="70"/>
  <c r="C186" i="60"/>
  <c r="E186" i="60" s="1"/>
  <c r="H60" i="58"/>
  <c r="H60" i="30"/>
  <c r="H60" i="31"/>
  <c r="H60" i="66"/>
  <c r="I53" i="33"/>
  <c r="H60" i="26"/>
  <c r="H60" i="16"/>
  <c r="H60" i="7"/>
  <c r="I53" i="25"/>
  <c r="H60" i="68"/>
  <c r="H60" i="20"/>
  <c r="I160" i="60"/>
  <c r="H60" i="78"/>
  <c r="H60" i="28"/>
  <c r="H60" i="21"/>
  <c r="H60" i="17"/>
  <c r="H60" i="22"/>
  <c r="H60" i="67"/>
  <c r="H60" i="45"/>
  <c r="H60" i="76"/>
  <c r="H60" i="57"/>
  <c r="H60" i="36"/>
  <c r="H60" i="37"/>
  <c r="H60" i="69"/>
  <c r="H60" i="23"/>
  <c r="H60" i="51"/>
  <c r="H60" i="71"/>
  <c r="H60" i="18"/>
  <c r="H60" i="50"/>
  <c r="H60" i="40"/>
  <c r="H60" i="42"/>
  <c r="H60" i="27"/>
  <c r="H60" i="55"/>
  <c r="H60" i="47"/>
  <c r="I161" i="60"/>
  <c r="H60" i="15"/>
  <c r="H60" i="77"/>
  <c r="H60" i="38"/>
  <c r="H60" i="39"/>
  <c r="H60" i="24"/>
  <c r="I53" i="44"/>
  <c r="H60" i="75"/>
  <c r="H60" i="52"/>
  <c r="H60" i="25"/>
  <c r="H60" i="48"/>
  <c r="H60" i="34"/>
  <c r="I53" i="39"/>
  <c r="I53" i="76"/>
  <c r="I53" i="45"/>
  <c r="I53" i="40"/>
  <c r="F51" i="67"/>
  <c r="I51" i="67" s="1"/>
  <c r="F51" i="75"/>
  <c r="I51" i="75" s="1"/>
  <c r="F52" i="75"/>
  <c r="I52" i="75" s="1"/>
  <c r="I167" i="60"/>
  <c r="I166" i="60"/>
  <c r="I165" i="60"/>
  <c r="U112" i="50"/>
  <c r="U112" i="35"/>
  <c r="U112" i="42"/>
  <c r="U112" i="68"/>
  <c r="U112" i="55"/>
  <c r="U112" i="20"/>
  <c r="U112" i="44"/>
  <c r="U112" i="75"/>
  <c r="U112" i="25"/>
  <c r="U112" i="15"/>
  <c r="U112" i="30"/>
  <c r="U112" i="16"/>
  <c r="I30" i="60"/>
  <c r="I32" i="60" s="1"/>
  <c r="I46" i="60" s="1"/>
  <c r="O93" i="15"/>
  <c r="T93" i="15" s="1"/>
  <c r="U112" i="24"/>
  <c r="T14" i="24"/>
  <c r="U14" i="24" s="1"/>
  <c r="P30" i="24"/>
  <c r="O93" i="26"/>
  <c r="T93" i="26" s="1"/>
  <c r="O94" i="57"/>
  <c r="T94" i="57" s="1"/>
  <c r="O94" i="33"/>
  <c r="T94" i="33" s="1"/>
  <c r="O94" i="25"/>
  <c r="T94" i="25" s="1"/>
  <c r="P30" i="23"/>
  <c r="T14" i="23"/>
  <c r="U14" i="23" s="1"/>
  <c r="U112" i="23"/>
  <c r="U112" i="48"/>
  <c r="U44" i="20"/>
  <c r="R44" i="20"/>
  <c r="P30" i="38"/>
  <c r="T14" i="38"/>
  <c r="U14" i="38" s="1"/>
  <c r="U112" i="38"/>
  <c r="P30" i="66"/>
  <c r="T14" i="66"/>
  <c r="U14" i="66" s="1"/>
  <c r="O93" i="51"/>
  <c r="T93" i="51" s="1"/>
  <c r="P30" i="69"/>
  <c r="T14" i="69"/>
  <c r="U14" i="69" s="1"/>
  <c r="O94" i="21"/>
  <c r="T94" i="21" s="1"/>
  <c r="P30" i="37"/>
  <c r="T14" i="37"/>
  <c r="U14" i="37" s="1"/>
  <c r="O93" i="28"/>
  <c r="T93" i="28" s="1"/>
  <c r="I157" i="60"/>
  <c r="O94" i="56"/>
  <c r="T94" i="56" s="1"/>
  <c r="O94" i="36"/>
  <c r="T94" i="36" s="1"/>
  <c r="O94" i="78"/>
  <c r="T94" i="78" s="1"/>
  <c r="U44" i="26"/>
  <c r="R44" i="26"/>
  <c r="U44" i="33"/>
  <c r="R44" i="33"/>
  <c r="O94" i="18"/>
  <c r="T94" i="18" s="1"/>
  <c r="R44" i="22"/>
  <c r="U44" i="22"/>
  <c r="T14" i="16"/>
  <c r="U14" i="16" s="1"/>
  <c r="P30" i="16"/>
  <c r="O93" i="31"/>
  <c r="T93" i="31" s="1"/>
  <c r="O94" i="27"/>
  <c r="T94" i="27" s="1"/>
  <c r="T14" i="55"/>
  <c r="U14" i="55" s="1"/>
  <c r="P30" i="55"/>
  <c r="O94" i="69"/>
  <c r="T94" i="69" s="1"/>
  <c r="U44" i="43"/>
  <c r="R44" i="43"/>
  <c r="O93" i="40"/>
  <c r="T93" i="40" s="1"/>
  <c r="O93" i="17"/>
  <c r="T93" i="17" s="1"/>
  <c r="T14" i="44"/>
  <c r="U14" i="44" s="1"/>
  <c r="P30" i="44"/>
  <c r="O94" i="37"/>
  <c r="T94" i="37" s="1"/>
  <c r="P30" i="35"/>
  <c r="T14" i="35"/>
  <c r="U14" i="35" s="1"/>
  <c r="I164" i="60"/>
  <c r="R44" i="15"/>
  <c r="U44" i="15"/>
  <c r="O94" i="24"/>
  <c r="T94" i="24" s="1"/>
  <c r="O93" i="32"/>
  <c r="T93" i="32" s="1"/>
  <c r="P30" i="56"/>
  <c r="T14" i="56"/>
  <c r="U14" i="56" s="1"/>
  <c r="U44" i="77"/>
  <c r="R44" i="77"/>
  <c r="O93" i="25"/>
  <c r="T93" i="25" s="1"/>
  <c r="O94" i="23"/>
  <c r="T94" i="23" s="1"/>
  <c r="U112" i="71"/>
  <c r="O93" i="71"/>
  <c r="T93" i="71" s="1"/>
  <c r="O94" i="20"/>
  <c r="T94" i="20" s="1"/>
  <c r="T14" i="30"/>
  <c r="U14" i="30" s="1"/>
  <c r="P30" i="30"/>
  <c r="O94" i="38"/>
  <c r="T94" i="38" s="1"/>
  <c r="U44" i="27"/>
  <c r="R44" i="27"/>
  <c r="P30" i="21"/>
  <c r="T14" i="21"/>
  <c r="U14" i="21" s="1"/>
  <c r="R44" i="45"/>
  <c r="U44" i="45"/>
  <c r="O94" i="17"/>
  <c r="T94" i="17" s="1"/>
  <c r="U112" i="39"/>
  <c r="U44" i="50"/>
  <c r="R44" i="50"/>
  <c r="U44" i="75"/>
  <c r="R44" i="75"/>
  <c r="I159" i="60"/>
  <c r="H170" i="60"/>
  <c r="H165" i="60"/>
  <c r="H172" i="60"/>
  <c r="H166" i="60"/>
  <c r="H167" i="60"/>
  <c r="H169" i="60"/>
  <c r="U112" i="26"/>
  <c r="O93" i="48"/>
  <c r="T93" i="48" s="1"/>
  <c r="R44" i="71"/>
  <c r="U44" i="71"/>
  <c r="O94" i="51"/>
  <c r="T94" i="51" s="1"/>
  <c r="P30" i="67"/>
  <c r="T14" i="67"/>
  <c r="U14" i="67" s="1"/>
  <c r="O93" i="55"/>
  <c r="T93" i="55" s="1"/>
  <c r="T30" i="34"/>
  <c r="U30" i="34"/>
  <c r="O92" i="34"/>
  <c r="U44" i="68"/>
  <c r="R44" i="68"/>
  <c r="T14" i="47"/>
  <c r="U14" i="47" s="1"/>
  <c r="P30" i="47"/>
  <c r="O93" i="35"/>
  <c r="T93" i="35" s="1"/>
  <c r="O94" i="35"/>
  <c r="T94" i="35" s="1"/>
  <c r="T14" i="76"/>
  <c r="U14" i="76" s="1"/>
  <c r="P30" i="76"/>
  <c r="R44" i="36"/>
  <c r="U44" i="36"/>
  <c r="U44" i="57"/>
  <c r="R44" i="57"/>
  <c r="P30" i="18"/>
  <c r="T14" i="18"/>
  <c r="U14" i="18" s="1"/>
  <c r="O94" i="71"/>
  <c r="T94" i="71" s="1"/>
  <c r="T14" i="20"/>
  <c r="U14" i="20" s="1"/>
  <c r="P30" i="20"/>
  <c r="O93" i="30"/>
  <c r="T93" i="30" s="1"/>
  <c r="O93" i="16"/>
  <c r="T93" i="16" s="1"/>
  <c r="O93" i="66"/>
  <c r="T93" i="66" s="1"/>
  <c r="U112" i="67"/>
  <c r="O94" i="55"/>
  <c r="T94" i="55" s="1"/>
  <c r="O94" i="68"/>
  <c r="T94" i="68" s="1"/>
  <c r="O94" i="42"/>
  <c r="T94" i="42" s="1"/>
  <c r="T14" i="42"/>
  <c r="U14" i="42" s="1"/>
  <c r="P30" i="42"/>
  <c r="O94" i="39"/>
  <c r="T94" i="39" s="1"/>
  <c r="O93" i="47"/>
  <c r="T93" i="47" s="1"/>
  <c r="U112" i="28"/>
  <c r="O93" i="75"/>
  <c r="T93" i="75" s="1"/>
  <c r="I95" i="16"/>
  <c r="I186" i="60" s="1"/>
  <c r="P30" i="26"/>
  <c r="T14" i="26"/>
  <c r="U14" i="26" s="1"/>
  <c r="O94" i="15"/>
  <c r="T94" i="15" s="1"/>
  <c r="O94" i="7"/>
  <c r="T94" i="7" s="1"/>
  <c r="O93" i="24"/>
  <c r="T93" i="24" s="1"/>
  <c r="U112" i="32"/>
  <c r="O94" i="26"/>
  <c r="T94" i="26" s="1"/>
  <c r="U112" i="57"/>
  <c r="T14" i="33"/>
  <c r="U14" i="33" s="1"/>
  <c r="P30" i="33"/>
  <c r="U44" i="25"/>
  <c r="R44" i="25"/>
  <c r="U44" i="18"/>
  <c r="R44" i="18"/>
  <c r="O93" i="58"/>
  <c r="T93" i="58" s="1"/>
  <c r="U44" i="51"/>
  <c r="R44" i="51"/>
  <c r="P30" i="43"/>
  <c r="T14" i="43"/>
  <c r="U14" i="43" s="1"/>
  <c r="U112" i="43"/>
  <c r="U44" i="39"/>
  <c r="R44" i="39"/>
  <c r="O93" i="37"/>
  <c r="T93" i="37" s="1"/>
  <c r="P30" i="70"/>
  <c r="T14" i="70"/>
  <c r="U14" i="70" s="1"/>
  <c r="O93" i="76"/>
  <c r="T93" i="76" s="1"/>
  <c r="U112" i="7"/>
  <c r="U44" i="78"/>
  <c r="R44" i="78"/>
  <c r="P30" i="77"/>
  <c r="T14" i="77"/>
  <c r="U14" i="77" s="1"/>
  <c r="U112" i="77"/>
  <c r="O93" i="20"/>
  <c r="T93" i="20" s="1"/>
  <c r="U44" i="58"/>
  <c r="R44" i="58"/>
  <c r="U112" i="58"/>
  <c r="T14" i="27"/>
  <c r="U14" i="27" s="1"/>
  <c r="P30" i="27"/>
  <c r="O94" i="67"/>
  <c r="T94" i="67" s="1"/>
  <c r="P30" i="45"/>
  <c r="T14" i="45"/>
  <c r="U14" i="45" s="1"/>
  <c r="U112" i="45"/>
  <c r="P30" i="50"/>
  <c r="T14" i="50"/>
  <c r="U14" i="50" s="1"/>
  <c r="O94" i="28"/>
  <c r="T94" i="28" s="1"/>
  <c r="U44" i="28"/>
  <c r="R44" i="28"/>
  <c r="O94" i="32"/>
  <c r="T94" i="32" s="1"/>
  <c r="O93" i="33"/>
  <c r="T93" i="33" s="1"/>
  <c r="P30" i="48"/>
  <c r="T14" i="48"/>
  <c r="U14" i="48" s="1"/>
  <c r="U44" i="48"/>
  <c r="R44" i="48"/>
  <c r="P30" i="58"/>
  <c r="T14" i="58"/>
  <c r="U14" i="58" s="1"/>
  <c r="P30" i="31"/>
  <c r="T14" i="31"/>
  <c r="U14" i="31" s="1"/>
  <c r="O94" i="31"/>
  <c r="T94" i="31" s="1"/>
  <c r="O93" i="67"/>
  <c r="T93" i="67" s="1"/>
  <c r="O94" i="43"/>
  <c r="T94" i="43" s="1"/>
  <c r="O93" i="21"/>
  <c r="T93" i="21" s="1"/>
  <c r="U112" i="40"/>
  <c r="U112" i="47"/>
  <c r="O93" i="50"/>
  <c r="T93" i="50" s="1"/>
  <c r="O93" i="70"/>
  <c r="T93" i="70" s="1"/>
  <c r="T14" i="7"/>
  <c r="U14" i="7" s="1"/>
  <c r="P30" i="7"/>
  <c r="R44" i="24"/>
  <c r="U44" i="24"/>
  <c r="O93" i="56"/>
  <c r="T93" i="56" s="1"/>
  <c r="T14" i="36"/>
  <c r="U14" i="36" s="1"/>
  <c r="P30" i="36"/>
  <c r="O93" i="78"/>
  <c r="T93" i="78" s="1"/>
  <c r="O93" i="77"/>
  <c r="T93" i="77" s="1"/>
  <c r="O94" i="77"/>
  <c r="T94" i="77" s="1"/>
  <c r="O93" i="57"/>
  <c r="T93" i="57" s="1"/>
  <c r="P30" i="57"/>
  <c r="T14" i="57"/>
  <c r="U14" i="57" s="1"/>
  <c r="R44" i="23"/>
  <c r="U44" i="23"/>
  <c r="O94" i="48"/>
  <c r="T94" i="48" s="1"/>
  <c r="O93" i="22"/>
  <c r="T93" i="22" s="1"/>
  <c r="U112" i="22"/>
  <c r="R44" i="38"/>
  <c r="U44" i="38"/>
  <c r="O93" i="38"/>
  <c r="T93" i="38" s="1"/>
  <c r="O94" i="58"/>
  <c r="T94" i="58" s="1"/>
  <c r="U112" i="66"/>
  <c r="U112" i="31"/>
  <c r="U112" i="51"/>
  <c r="P30" i="51"/>
  <c r="T14" i="51"/>
  <c r="U14" i="51" s="1"/>
  <c r="O93" i="27"/>
  <c r="T93" i="27" s="1"/>
  <c r="U44" i="67"/>
  <c r="R44" i="67"/>
  <c r="R44" i="69"/>
  <c r="U44" i="69"/>
  <c r="O94" i="40"/>
  <c r="T94" i="40" s="1"/>
  <c r="O94" i="45"/>
  <c r="T94" i="45" s="1"/>
  <c r="U44" i="42"/>
  <c r="R44" i="42"/>
  <c r="O93" i="44"/>
  <c r="T93" i="44" s="1"/>
  <c r="O94" i="47"/>
  <c r="T94" i="47" s="1"/>
  <c r="O94" i="50"/>
  <c r="T94" i="50" s="1"/>
  <c r="U112" i="70"/>
  <c r="U44" i="7"/>
  <c r="R44" i="7"/>
  <c r="P30" i="32"/>
  <c r="T14" i="32"/>
  <c r="U14" i="32" s="1"/>
  <c r="O93" i="23"/>
  <c r="T93" i="23" s="1"/>
  <c r="O94" i="30"/>
  <c r="T94" i="30" s="1"/>
  <c r="U44" i="16"/>
  <c r="R44" i="16"/>
  <c r="U44" i="55"/>
  <c r="R44" i="55"/>
  <c r="O93" i="43"/>
  <c r="T93" i="43" s="1"/>
  <c r="T14" i="68"/>
  <c r="U14" i="68" s="1"/>
  <c r="P30" i="68"/>
  <c r="U44" i="40"/>
  <c r="R44" i="40"/>
  <c r="U112" i="17"/>
  <c r="T14" i="39"/>
  <c r="U14" i="39" s="1"/>
  <c r="P30" i="39"/>
  <c r="U44" i="37"/>
  <c r="R44" i="37"/>
  <c r="U44" i="35"/>
  <c r="R44" i="35"/>
  <c r="I158" i="60"/>
  <c r="U112" i="76"/>
  <c r="P30" i="15"/>
  <c r="T14" i="15"/>
  <c r="U14" i="15" s="1"/>
  <c r="O93" i="7"/>
  <c r="T93" i="7" s="1"/>
  <c r="U112" i="56"/>
  <c r="P30" i="78"/>
  <c r="T14" i="78"/>
  <c r="U14" i="78" s="1"/>
  <c r="U112" i="33"/>
  <c r="P30" i="25"/>
  <c r="T14" i="25"/>
  <c r="U14" i="25" s="1"/>
  <c r="O93" i="18"/>
  <c r="T93" i="18" s="1"/>
  <c r="O94" i="22"/>
  <c r="T94" i="22" s="1"/>
  <c r="U44" i="30"/>
  <c r="R44" i="30"/>
  <c r="R44" i="66"/>
  <c r="U44" i="66"/>
  <c r="O94" i="66"/>
  <c r="T94" i="66" s="1"/>
  <c r="U44" i="31"/>
  <c r="R44" i="31"/>
  <c r="H164" i="60"/>
  <c r="H158" i="60"/>
  <c r="H159" i="60"/>
  <c r="H155" i="60"/>
  <c r="H157" i="60"/>
  <c r="H163" i="60"/>
  <c r="O93" i="68"/>
  <c r="T93" i="68" s="1"/>
  <c r="U112" i="21"/>
  <c r="R44" i="21"/>
  <c r="U44" i="21"/>
  <c r="T14" i="40"/>
  <c r="U14" i="40" s="1"/>
  <c r="P30" i="40"/>
  <c r="U44" i="17"/>
  <c r="R44" i="17"/>
  <c r="O93" i="42"/>
  <c r="T93" i="42" s="1"/>
  <c r="P30" i="28"/>
  <c r="T14" i="28"/>
  <c r="U14" i="28" s="1"/>
  <c r="T14" i="75"/>
  <c r="U14" i="75" s="1"/>
  <c r="P30" i="75"/>
  <c r="I155" i="60"/>
  <c r="O94" i="70"/>
  <c r="T94" i="70" s="1"/>
  <c r="R44" i="32"/>
  <c r="U44" i="32"/>
  <c r="U44" i="56"/>
  <c r="R44" i="56"/>
  <c r="O93" i="36"/>
  <c r="T93" i="36" s="1"/>
  <c r="U112" i="36"/>
  <c r="U112" i="78"/>
  <c r="U112" i="18"/>
  <c r="T14" i="71"/>
  <c r="U14" i="71" s="1"/>
  <c r="P30" i="71"/>
  <c r="P30" i="22"/>
  <c r="T14" i="22"/>
  <c r="U14" i="22" s="1"/>
  <c r="O94" i="16"/>
  <c r="T94" i="16" s="1"/>
  <c r="U112" i="27"/>
  <c r="O93" i="69"/>
  <c r="T93" i="69" s="1"/>
  <c r="U112" i="69"/>
  <c r="O93" i="45"/>
  <c r="T93" i="45" s="1"/>
  <c r="P30" i="17"/>
  <c r="T14" i="17"/>
  <c r="U14" i="17" s="1"/>
  <c r="O94" i="44"/>
  <c r="T94" i="44" s="1"/>
  <c r="U44" i="44"/>
  <c r="R44" i="44"/>
  <c r="O93" i="39"/>
  <c r="T93" i="39" s="1"/>
  <c r="U44" i="47"/>
  <c r="R44" i="47"/>
  <c r="U112" i="37"/>
  <c r="O94" i="75"/>
  <c r="T94" i="75" s="1"/>
  <c r="I163" i="60"/>
  <c r="U44" i="70"/>
  <c r="R44" i="70"/>
  <c r="O94" i="76"/>
  <c r="T94" i="76" s="1"/>
  <c r="U44" i="76"/>
  <c r="R44" i="76"/>
  <c r="F52" i="15" l="1"/>
  <c r="I52" i="15" s="1"/>
  <c r="F51" i="70"/>
  <c r="I51" i="70" s="1"/>
  <c r="F52" i="20"/>
  <c r="I52" i="20" s="1"/>
  <c r="P68" i="34"/>
  <c r="T69" i="34" s="1"/>
  <c r="T76" i="34" s="1"/>
  <c r="U76" i="34" s="1"/>
  <c r="P62" i="34"/>
  <c r="T63" i="34" s="1"/>
  <c r="T78" i="34" s="1"/>
  <c r="U78" i="34" s="1"/>
  <c r="P56" i="34"/>
  <c r="T57" i="34" s="1"/>
  <c r="T74" i="34" s="1"/>
  <c r="U74" i="34" s="1"/>
  <c r="T30" i="52"/>
  <c r="P59" i="52" s="1"/>
  <c r="O92" i="52"/>
  <c r="O95" i="52" s="1"/>
  <c r="F52" i="30"/>
  <c r="I52" i="30" s="1"/>
  <c r="I53" i="30" s="1"/>
  <c r="F51" i="7"/>
  <c r="P62" i="52"/>
  <c r="T63" i="52" s="1"/>
  <c r="T78" i="52" s="1"/>
  <c r="U78" i="52" s="1"/>
  <c r="P68" i="52"/>
  <c r="T69" i="52" s="1"/>
  <c r="T76" i="52" s="1"/>
  <c r="U76" i="52" s="1"/>
  <c r="P65" i="52"/>
  <c r="T66" i="52" s="1"/>
  <c r="T71" i="52" s="1"/>
  <c r="U71" i="52" s="1"/>
  <c r="I52" i="7"/>
  <c r="I51" i="7"/>
  <c r="H86" i="60"/>
  <c r="H88" i="60"/>
  <c r="F52" i="66"/>
  <c r="I52" i="66" s="1"/>
  <c r="I53" i="66" s="1"/>
  <c r="F51" i="26"/>
  <c r="I51" i="26" s="1"/>
  <c r="I53" i="26" s="1"/>
  <c r="I96" i="60"/>
  <c r="F51" i="32"/>
  <c r="I51" i="32" s="1"/>
  <c r="I53" i="32" s="1"/>
  <c r="I116" i="32" s="1"/>
  <c r="I118" i="32" s="1"/>
  <c r="H123" i="32" s="1"/>
  <c r="F51" i="16"/>
  <c r="I51" i="16" s="1"/>
  <c r="I53" i="16" s="1"/>
  <c r="F51" i="23"/>
  <c r="I51" i="23" s="1"/>
  <c r="I53" i="23" s="1"/>
  <c r="U46" i="52"/>
  <c r="R51" i="52"/>
  <c r="U51" i="52" s="1"/>
  <c r="R52" i="52"/>
  <c r="U52" i="52" s="1"/>
  <c r="U46" i="34"/>
  <c r="R51" i="34"/>
  <c r="U51" i="34" s="1"/>
  <c r="R52" i="34"/>
  <c r="U52" i="34" s="1"/>
  <c r="F52" i="18"/>
  <c r="I52" i="18" s="1"/>
  <c r="I53" i="18" s="1"/>
  <c r="I116" i="33"/>
  <c r="I118" i="33" s="1"/>
  <c r="H123" i="33" s="1"/>
  <c r="I123" i="33" s="1"/>
  <c r="F52" i="17"/>
  <c r="I52" i="17" s="1"/>
  <c r="I53" i="17" s="1"/>
  <c r="I116" i="43"/>
  <c r="I118" i="43" s="1"/>
  <c r="H123" i="43" s="1"/>
  <c r="I123" i="43" s="1"/>
  <c r="H85" i="36"/>
  <c r="I85" i="36" s="1"/>
  <c r="H87" i="36"/>
  <c r="I87" i="36" s="1"/>
  <c r="H85" i="68"/>
  <c r="I85" i="68" s="1"/>
  <c r="H87" i="68"/>
  <c r="I87" i="68" s="1"/>
  <c r="H85" i="24"/>
  <c r="I85" i="24" s="1"/>
  <c r="H87" i="24"/>
  <c r="I87" i="24" s="1"/>
  <c r="H85" i="42"/>
  <c r="I85" i="42" s="1"/>
  <c r="H87" i="42"/>
  <c r="I87" i="42" s="1"/>
  <c r="I116" i="42" s="1"/>
  <c r="H85" i="57"/>
  <c r="I85" i="57" s="1"/>
  <c r="H87" i="57"/>
  <c r="I87" i="57" s="1"/>
  <c r="H85" i="70"/>
  <c r="I85" i="70" s="1"/>
  <c r="H87" i="70"/>
  <c r="I87" i="70" s="1"/>
  <c r="H85" i="39"/>
  <c r="I85" i="39" s="1"/>
  <c r="H87" i="39"/>
  <c r="I87" i="39" s="1"/>
  <c r="I116" i="39" s="1"/>
  <c r="H85" i="40"/>
  <c r="I85" i="40" s="1"/>
  <c r="H87" i="40"/>
  <c r="I87" i="40" s="1"/>
  <c r="H85" i="76"/>
  <c r="I85" i="76" s="1"/>
  <c r="H87" i="76"/>
  <c r="I87" i="76" s="1"/>
  <c r="I116" i="76" s="1"/>
  <c r="H85" i="44"/>
  <c r="I85" i="44" s="1"/>
  <c r="H87" i="44"/>
  <c r="I87" i="44" s="1"/>
  <c r="H85" i="38"/>
  <c r="I85" i="38" s="1"/>
  <c r="H87" i="38"/>
  <c r="I87" i="38" s="1"/>
  <c r="H85" i="50"/>
  <c r="I85" i="50" s="1"/>
  <c r="H87" i="50"/>
  <c r="I87" i="50" s="1"/>
  <c r="H85" i="45"/>
  <c r="I85" i="45" s="1"/>
  <c r="H87" i="45"/>
  <c r="I87" i="45" s="1"/>
  <c r="H85" i="7"/>
  <c r="I85" i="7" s="1"/>
  <c r="H87" i="7"/>
  <c r="I87" i="7" s="1"/>
  <c r="H85" i="35"/>
  <c r="I85" i="35" s="1"/>
  <c r="H87" i="35"/>
  <c r="I87" i="35" s="1"/>
  <c r="I116" i="35" s="1"/>
  <c r="H85" i="77"/>
  <c r="I85" i="77" s="1"/>
  <c r="H87" i="77"/>
  <c r="I87" i="77" s="1"/>
  <c r="H85" i="18"/>
  <c r="I85" i="18" s="1"/>
  <c r="H87" i="18"/>
  <c r="I87" i="18" s="1"/>
  <c r="H85" i="67"/>
  <c r="I85" i="67" s="1"/>
  <c r="H87" i="67"/>
  <c r="H85" i="16"/>
  <c r="I85" i="16" s="1"/>
  <c r="H87" i="16"/>
  <c r="I87" i="16" s="1"/>
  <c r="H85" i="15"/>
  <c r="I85" i="15" s="1"/>
  <c r="H87" i="15"/>
  <c r="H85" i="22"/>
  <c r="I85" i="22" s="1"/>
  <c r="H87" i="22"/>
  <c r="I87" i="22" s="1"/>
  <c r="H85" i="26"/>
  <c r="I85" i="26" s="1"/>
  <c r="H87" i="26"/>
  <c r="I87" i="26" s="1"/>
  <c r="H85" i="17"/>
  <c r="I85" i="17" s="1"/>
  <c r="H87" i="17"/>
  <c r="I87" i="17" s="1"/>
  <c r="H85" i="34"/>
  <c r="I85" i="34" s="1"/>
  <c r="H87" i="34"/>
  <c r="I87" i="34" s="1"/>
  <c r="H85" i="71"/>
  <c r="I85" i="71" s="1"/>
  <c r="H87" i="71"/>
  <c r="I87" i="71" s="1"/>
  <c r="H85" i="21"/>
  <c r="I85" i="21" s="1"/>
  <c r="H87" i="21"/>
  <c r="I87" i="21" s="1"/>
  <c r="H85" i="66"/>
  <c r="I85" i="66" s="1"/>
  <c r="H87" i="66"/>
  <c r="I87" i="66" s="1"/>
  <c r="H85" i="48"/>
  <c r="I85" i="48" s="1"/>
  <c r="H87" i="48"/>
  <c r="I87" i="48" s="1"/>
  <c r="I116" i="48" s="1"/>
  <c r="H85" i="51"/>
  <c r="I85" i="51" s="1"/>
  <c r="H87" i="51"/>
  <c r="I87" i="51" s="1"/>
  <c r="H85" i="28"/>
  <c r="I85" i="28" s="1"/>
  <c r="H87" i="28"/>
  <c r="I87" i="28" s="1"/>
  <c r="I116" i="28" s="1"/>
  <c r="H85" i="31"/>
  <c r="I85" i="31" s="1"/>
  <c r="H87" i="31"/>
  <c r="I87" i="31" s="1"/>
  <c r="H85" i="25"/>
  <c r="I85" i="25" s="1"/>
  <c r="H87" i="25"/>
  <c r="I87" i="25" s="1"/>
  <c r="H85" i="47"/>
  <c r="I85" i="47" s="1"/>
  <c r="H87" i="47"/>
  <c r="I87" i="47" s="1"/>
  <c r="I116" i="47" s="1"/>
  <c r="H85" i="23"/>
  <c r="I85" i="23" s="1"/>
  <c r="H87" i="23"/>
  <c r="I87" i="23" s="1"/>
  <c r="H85" i="78"/>
  <c r="I85" i="78" s="1"/>
  <c r="H87" i="78"/>
  <c r="I87" i="78" s="1"/>
  <c r="H85" i="30"/>
  <c r="I85" i="30" s="1"/>
  <c r="H87" i="30"/>
  <c r="I87" i="30" s="1"/>
  <c r="H85" i="52"/>
  <c r="I85" i="52" s="1"/>
  <c r="H87" i="52"/>
  <c r="I87" i="52" s="1"/>
  <c r="H85" i="55"/>
  <c r="I85" i="55" s="1"/>
  <c r="H87" i="55"/>
  <c r="I87" i="55" s="1"/>
  <c r="H85" i="69"/>
  <c r="I85" i="69" s="1"/>
  <c r="H87" i="69"/>
  <c r="I87" i="69" s="1"/>
  <c r="H85" i="58"/>
  <c r="I85" i="58" s="1"/>
  <c r="H87" i="58"/>
  <c r="I87" i="58" s="1"/>
  <c r="H85" i="75"/>
  <c r="I85" i="75" s="1"/>
  <c r="H87" i="75"/>
  <c r="H85" i="27"/>
  <c r="I85" i="27" s="1"/>
  <c r="H87" i="27"/>
  <c r="I87" i="27" s="1"/>
  <c r="H85" i="37"/>
  <c r="I85" i="37" s="1"/>
  <c r="H87" i="37"/>
  <c r="I87" i="37" s="1"/>
  <c r="H85" i="20"/>
  <c r="I85" i="20" s="1"/>
  <c r="H87" i="20"/>
  <c r="I87" i="20" s="1"/>
  <c r="I53" i="70"/>
  <c r="P56" i="58"/>
  <c r="T57" i="58" s="1"/>
  <c r="T74" i="58" s="1"/>
  <c r="U74" i="58" s="1"/>
  <c r="P65" i="58"/>
  <c r="T66" i="58" s="1"/>
  <c r="T71" i="58" s="1"/>
  <c r="U71" i="58" s="1"/>
  <c r="P68" i="58"/>
  <c r="T69" i="58" s="1"/>
  <c r="T76" i="58" s="1"/>
  <c r="U76" i="58" s="1"/>
  <c r="P62" i="58"/>
  <c r="T63" i="58" s="1"/>
  <c r="T78" i="58" s="1"/>
  <c r="U78" i="58" s="1"/>
  <c r="P56" i="50"/>
  <c r="T57" i="50" s="1"/>
  <c r="T74" i="50" s="1"/>
  <c r="U74" i="50" s="1"/>
  <c r="P68" i="50"/>
  <c r="T69" i="50" s="1"/>
  <c r="T76" i="50" s="1"/>
  <c r="U76" i="50" s="1"/>
  <c r="P65" i="50"/>
  <c r="T66" i="50" s="1"/>
  <c r="T71" i="50" s="1"/>
  <c r="P62" i="50"/>
  <c r="T63" i="50" s="1"/>
  <c r="T78" i="50" s="1"/>
  <c r="U78" i="50" s="1"/>
  <c r="P56" i="33"/>
  <c r="T57" i="33" s="1"/>
  <c r="T74" i="33" s="1"/>
  <c r="U74" i="33" s="1"/>
  <c r="P62" i="33"/>
  <c r="T63" i="33" s="1"/>
  <c r="T78" i="33" s="1"/>
  <c r="P65" i="33"/>
  <c r="T66" i="33" s="1"/>
  <c r="T71" i="33" s="1"/>
  <c r="U71" i="33" s="1"/>
  <c r="P68" i="33"/>
  <c r="T69" i="33" s="1"/>
  <c r="T76" i="33" s="1"/>
  <c r="U76" i="33" s="1"/>
  <c r="P56" i="66"/>
  <c r="T57" i="66" s="1"/>
  <c r="T74" i="66" s="1"/>
  <c r="U74" i="66" s="1"/>
  <c r="P62" i="66"/>
  <c r="T63" i="66" s="1"/>
  <c r="T78" i="66" s="1"/>
  <c r="U78" i="66" s="1"/>
  <c r="P68" i="66"/>
  <c r="T69" i="66" s="1"/>
  <c r="T76" i="66" s="1"/>
  <c r="U76" i="66" s="1"/>
  <c r="P65" i="66"/>
  <c r="T66" i="66" s="1"/>
  <c r="T71" i="66" s="1"/>
  <c r="U71" i="66" s="1"/>
  <c r="P56" i="67"/>
  <c r="T57" i="67" s="1"/>
  <c r="T74" i="67" s="1"/>
  <c r="U74" i="67" s="1"/>
  <c r="P62" i="67"/>
  <c r="T63" i="67" s="1"/>
  <c r="T78" i="67" s="1"/>
  <c r="U78" i="67" s="1"/>
  <c r="P68" i="67"/>
  <c r="T69" i="67" s="1"/>
  <c r="T76" i="67" s="1"/>
  <c r="U76" i="67" s="1"/>
  <c r="P65" i="67"/>
  <c r="T66" i="67" s="1"/>
  <c r="T71" i="67" s="1"/>
  <c r="U71" i="67" s="1"/>
  <c r="P56" i="77"/>
  <c r="T57" i="77" s="1"/>
  <c r="T74" i="77" s="1"/>
  <c r="U74" i="77" s="1"/>
  <c r="P68" i="77"/>
  <c r="T69" i="77" s="1"/>
  <c r="T76" i="77" s="1"/>
  <c r="U76" i="77" s="1"/>
  <c r="P65" i="77"/>
  <c r="T66" i="77" s="1"/>
  <c r="T71" i="77" s="1"/>
  <c r="U71" i="77" s="1"/>
  <c r="P62" i="77"/>
  <c r="T63" i="77" s="1"/>
  <c r="T78" i="77" s="1"/>
  <c r="U78" i="77" s="1"/>
  <c r="P56" i="20"/>
  <c r="T57" i="20" s="1"/>
  <c r="T74" i="20" s="1"/>
  <c r="U74" i="20" s="1"/>
  <c r="P68" i="20"/>
  <c r="T69" i="20" s="1"/>
  <c r="T76" i="20" s="1"/>
  <c r="P65" i="20"/>
  <c r="T66" i="20" s="1"/>
  <c r="T71" i="20" s="1"/>
  <c r="P62" i="20"/>
  <c r="T63" i="20" s="1"/>
  <c r="T78" i="20" s="1"/>
  <c r="U78" i="20" s="1"/>
  <c r="P56" i="21"/>
  <c r="T57" i="21" s="1"/>
  <c r="T74" i="21" s="1"/>
  <c r="U74" i="21" s="1"/>
  <c r="P68" i="21"/>
  <c r="T69" i="21" s="1"/>
  <c r="T76" i="21" s="1"/>
  <c r="U76" i="21" s="1"/>
  <c r="P62" i="21"/>
  <c r="T63" i="21" s="1"/>
  <c r="T78" i="21" s="1"/>
  <c r="U78" i="21" s="1"/>
  <c r="P65" i="21"/>
  <c r="T66" i="21" s="1"/>
  <c r="T71" i="21" s="1"/>
  <c r="U71" i="21" s="1"/>
  <c r="P56" i="35"/>
  <c r="T57" i="35" s="1"/>
  <c r="T74" i="35" s="1"/>
  <c r="U74" i="35" s="1"/>
  <c r="P65" i="35"/>
  <c r="T66" i="35" s="1"/>
  <c r="T71" i="35" s="1"/>
  <c r="U71" i="35" s="1"/>
  <c r="P62" i="35"/>
  <c r="T63" i="35" s="1"/>
  <c r="T78" i="35" s="1"/>
  <c r="U78" i="35" s="1"/>
  <c r="P68" i="35"/>
  <c r="T69" i="35" s="1"/>
  <c r="T76" i="35" s="1"/>
  <c r="U76" i="35" s="1"/>
  <c r="P56" i="36"/>
  <c r="T57" i="36" s="1"/>
  <c r="T74" i="36" s="1"/>
  <c r="U74" i="36" s="1"/>
  <c r="P68" i="36"/>
  <c r="T69" i="36" s="1"/>
  <c r="T76" i="36" s="1"/>
  <c r="U76" i="36" s="1"/>
  <c r="P65" i="36"/>
  <c r="T66" i="36" s="1"/>
  <c r="T71" i="36" s="1"/>
  <c r="P62" i="36"/>
  <c r="T63" i="36" s="1"/>
  <c r="T78" i="36" s="1"/>
  <c r="U78" i="36" s="1"/>
  <c r="P56" i="43"/>
  <c r="T57" i="43" s="1"/>
  <c r="T74" i="43" s="1"/>
  <c r="U74" i="43" s="1"/>
  <c r="P68" i="43"/>
  <c r="T69" i="43" s="1"/>
  <c r="T76" i="43" s="1"/>
  <c r="U76" i="43" s="1"/>
  <c r="P65" i="43"/>
  <c r="T66" i="43" s="1"/>
  <c r="T71" i="43" s="1"/>
  <c r="U71" i="43" s="1"/>
  <c r="P62" i="43"/>
  <c r="T63" i="43" s="1"/>
  <c r="T78" i="43" s="1"/>
  <c r="U78" i="43" s="1"/>
  <c r="P56" i="16"/>
  <c r="T57" i="16" s="1"/>
  <c r="T74" i="16" s="1"/>
  <c r="U74" i="16" s="1"/>
  <c r="P65" i="16"/>
  <c r="T66" i="16" s="1"/>
  <c r="T71" i="16" s="1"/>
  <c r="U71" i="16" s="1"/>
  <c r="P68" i="16"/>
  <c r="T69" i="16" s="1"/>
  <c r="T76" i="16" s="1"/>
  <c r="U76" i="16" s="1"/>
  <c r="P62" i="16"/>
  <c r="T63" i="16" s="1"/>
  <c r="T78" i="16" s="1"/>
  <c r="U78" i="16" s="1"/>
  <c r="P56" i="38"/>
  <c r="T57" i="38" s="1"/>
  <c r="T74" i="38" s="1"/>
  <c r="U74" i="38" s="1"/>
  <c r="P65" i="38"/>
  <c r="T66" i="38" s="1"/>
  <c r="T71" i="38" s="1"/>
  <c r="U71" i="38" s="1"/>
  <c r="P68" i="38"/>
  <c r="T69" i="38" s="1"/>
  <c r="T76" i="38" s="1"/>
  <c r="U76" i="38" s="1"/>
  <c r="P62" i="38"/>
  <c r="T63" i="38" s="1"/>
  <c r="T78" i="38" s="1"/>
  <c r="U78" i="38" s="1"/>
  <c r="P56" i="24"/>
  <c r="T57" i="24" s="1"/>
  <c r="T74" i="24" s="1"/>
  <c r="U74" i="24" s="1"/>
  <c r="P65" i="24"/>
  <c r="T66" i="24" s="1"/>
  <c r="T71" i="24" s="1"/>
  <c r="U71" i="24" s="1"/>
  <c r="P68" i="24"/>
  <c r="T69" i="24" s="1"/>
  <c r="T76" i="24" s="1"/>
  <c r="U76" i="24" s="1"/>
  <c r="P62" i="24"/>
  <c r="T63" i="24" s="1"/>
  <c r="T78" i="24" s="1"/>
  <c r="U78" i="24" s="1"/>
  <c r="P56" i="25"/>
  <c r="T57" i="25" s="1"/>
  <c r="T74" i="25" s="1"/>
  <c r="U74" i="25" s="1"/>
  <c r="P68" i="25"/>
  <c r="T69" i="25" s="1"/>
  <c r="T76" i="25" s="1"/>
  <c r="U76" i="25" s="1"/>
  <c r="P62" i="25"/>
  <c r="T63" i="25" s="1"/>
  <c r="T78" i="25" s="1"/>
  <c r="U78" i="25" s="1"/>
  <c r="P65" i="25"/>
  <c r="T66" i="25" s="1"/>
  <c r="T71" i="25" s="1"/>
  <c r="U71" i="25" s="1"/>
  <c r="P56" i="48"/>
  <c r="T57" i="48" s="1"/>
  <c r="T74" i="48" s="1"/>
  <c r="U74" i="48" s="1"/>
  <c r="P65" i="48"/>
  <c r="T66" i="48" s="1"/>
  <c r="T71" i="48" s="1"/>
  <c r="U71" i="48" s="1"/>
  <c r="P68" i="48"/>
  <c r="T69" i="48" s="1"/>
  <c r="T76" i="48" s="1"/>
  <c r="U76" i="48" s="1"/>
  <c r="P62" i="48"/>
  <c r="T63" i="48" s="1"/>
  <c r="T78" i="48" s="1"/>
  <c r="U78" i="48" s="1"/>
  <c r="P56" i="42"/>
  <c r="T57" i="42" s="1"/>
  <c r="T74" i="42" s="1"/>
  <c r="U74" i="42" s="1"/>
  <c r="P62" i="42"/>
  <c r="T63" i="42" s="1"/>
  <c r="T78" i="42" s="1"/>
  <c r="U78" i="42" s="1"/>
  <c r="P65" i="42"/>
  <c r="T66" i="42" s="1"/>
  <c r="T71" i="42" s="1"/>
  <c r="U71" i="42" s="1"/>
  <c r="P68" i="42"/>
  <c r="T69" i="42" s="1"/>
  <c r="T76" i="42" s="1"/>
  <c r="U76" i="42" s="1"/>
  <c r="P56" i="47"/>
  <c r="T57" i="47" s="1"/>
  <c r="T74" i="47" s="1"/>
  <c r="U74" i="47" s="1"/>
  <c r="P62" i="47"/>
  <c r="T63" i="47" s="1"/>
  <c r="T78" i="47" s="1"/>
  <c r="U78" i="47" s="1"/>
  <c r="P68" i="47"/>
  <c r="T69" i="47" s="1"/>
  <c r="T76" i="47" s="1"/>
  <c r="U76" i="47" s="1"/>
  <c r="P65" i="47"/>
  <c r="T66" i="47" s="1"/>
  <c r="T71" i="47" s="1"/>
  <c r="U71" i="47" s="1"/>
  <c r="P56" i="44"/>
  <c r="T57" i="44" s="1"/>
  <c r="T74" i="44" s="1"/>
  <c r="U74" i="44" s="1"/>
  <c r="P65" i="44"/>
  <c r="T66" i="44" s="1"/>
  <c r="T71" i="44" s="1"/>
  <c r="U71" i="44" s="1"/>
  <c r="P68" i="44"/>
  <c r="T69" i="44" s="1"/>
  <c r="T76" i="44" s="1"/>
  <c r="U76" i="44" s="1"/>
  <c r="P62" i="44"/>
  <c r="T63" i="44" s="1"/>
  <c r="T78" i="44" s="1"/>
  <c r="U78" i="44" s="1"/>
  <c r="P56" i="45"/>
  <c r="T57" i="45" s="1"/>
  <c r="T74" i="45" s="1"/>
  <c r="U74" i="45" s="1"/>
  <c r="P62" i="45"/>
  <c r="T63" i="45" s="1"/>
  <c r="T78" i="45" s="1"/>
  <c r="U78" i="45" s="1"/>
  <c r="P68" i="45"/>
  <c r="T69" i="45" s="1"/>
  <c r="T76" i="45" s="1"/>
  <c r="U76" i="45" s="1"/>
  <c r="P65" i="45"/>
  <c r="T66" i="45" s="1"/>
  <c r="T71" i="45" s="1"/>
  <c r="U71" i="45" s="1"/>
  <c r="P56" i="40"/>
  <c r="T57" i="40" s="1"/>
  <c r="T74" i="40" s="1"/>
  <c r="U74" i="40" s="1"/>
  <c r="P65" i="40"/>
  <c r="T66" i="40" s="1"/>
  <c r="T71" i="40" s="1"/>
  <c r="U71" i="40" s="1"/>
  <c r="P68" i="40"/>
  <c r="T69" i="40" s="1"/>
  <c r="T76" i="40" s="1"/>
  <c r="U76" i="40" s="1"/>
  <c r="P62" i="40"/>
  <c r="T63" i="40" s="1"/>
  <c r="T78" i="40" s="1"/>
  <c r="U78" i="40" s="1"/>
  <c r="P56" i="39"/>
  <c r="T57" i="39" s="1"/>
  <c r="T74" i="39" s="1"/>
  <c r="U74" i="39" s="1"/>
  <c r="P62" i="39"/>
  <c r="T63" i="39" s="1"/>
  <c r="T78" i="39" s="1"/>
  <c r="U78" i="39" s="1"/>
  <c r="P65" i="39"/>
  <c r="T66" i="39" s="1"/>
  <c r="T71" i="39" s="1"/>
  <c r="U71" i="39" s="1"/>
  <c r="P68" i="39"/>
  <c r="T69" i="39" s="1"/>
  <c r="T76" i="39" s="1"/>
  <c r="U76" i="39" s="1"/>
  <c r="P56" i="27"/>
  <c r="T57" i="27" s="1"/>
  <c r="P65" i="27"/>
  <c r="T66" i="27" s="1"/>
  <c r="T71" i="27" s="1"/>
  <c r="P68" i="27"/>
  <c r="T69" i="27" s="1"/>
  <c r="T76" i="27" s="1"/>
  <c r="P62" i="27"/>
  <c r="T63" i="27" s="1"/>
  <c r="T78" i="27" s="1"/>
  <c r="U78" i="27" s="1"/>
  <c r="P56" i="51"/>
  <c r="T57" i="51" s="1"/>
  <c r="T74" i="51" s="1"/>
  <c r="U74" i="51" s="1"/>
  <c r="P68" i="51"/>
  <c r="T69" i="51" s="1"/>
  <c r="T76" i="51" s="1"/>
  <c r="U76" i="51" s="1"/>
  <c r="P65" i="51"/>
  <c r="T66" i="51" s="1"/>
  <c r="T71" i="51" s="1"/>
  <c r="U71" i="51" s="1"/>
  <c r="P62" i="51"/>
  <c r="T63" i="51" s="1"/>
  <c r="T78" i="51" s="1"/>
  <c r="U78" i="51" s="1"/>
  <c r="P56" i="18"/>
  <c r="T57" i="18" s="1"/>
  <c r="T74" i="18" s="1"/>
  <c r="U74" i="18" s="1"/>
  <c r="P62" i="18"/>
  <c r="T63" i="18" s="1"/>
  <c r="T78" i="18" s="1"/>
  <c r="U78" i="18" s="1"/>
  <c r="P68" i="18"/>
  <c r="T69" i="18" s="1"/>
  <c r="T76" i="18" s="1"/>
  <c r="U76" i="18" s="1"/>
  <c r="P65" i="18"/>
  <c r="T66" i="18" s="1"/>
  <c r="T71" i="18" s="1"/>
  <c r="U71" i="18" s="1"/>
  <c r="P56" i="37"/>
  <c r="T57" i="37" s="1"/>
  <c r="T74" i="37" s="1"/>
  <c r="U74" i="37" s="1"/>
  <c r="P65" i="37"/>
  <c r="T66" i="37" s="1"/>
  <c r="T71" i="37" s="1"/>
  <c r="U71" i="37" s="1"/>
  <c r="P68" i="37"/>
  <c r="T69" i="37" s="1"/>
  <c r="T76" i="37" s="1"/>
  <c r="U76" i="37" s="1"/>
  <c r="P62" i="37"/>
  <c r="T63" i="37" s="1"/>
  <c r="T78" i="37" s="1"/>
  <c r="U78" i="37" s="1"/>
  <c r="P56" i="56"/>
  <c r="T57" i="56" s="1"/>
  <c r="T74" i="56" s="1"/>
  <c r="U74" i="56" s="1"/>
  <c r="P62" i="56"/>
  <c r="T63" i="56" s="1"/>
  <c r="T78" i="56" s="1"/>
  <c r="U78" i="56" s="1"/>
  <c r="P68" i="56"/>
  <c r="T69" i="56" s="1"/>
  <c r="T76" i="56" s="1"/>
  <c r="U76" i="56" s="1"/>
  <c r="P65" i="56"/>
  <c r="T66" i="56" s="1"/>
  <c r="T71" i="56" s="1"/>
  <c r="U71" i="56" s="1"/>
  <c r="P56" i="78"/>
  <c r="T57" i="78" s="1"/>
  <c r="T74" i="78" s="1"/>
  <c r="U74" i="78" s="1"/>
  <c r="P62" i="78"/>
  <c r="T63" i="78" s="1"/>
  <c r="T78" i="78" s="1"/>
  <c r="U78" i="78" s="1"/>
  <c r="P65" i="78"/>
  <c r="T66" i="78" s="1"/>
  <c r="T71" i="78" s="1"/>
  <c r="U71" i="78" s="1"/>
  <c r="P68" i="78"/>
  <c r="T69" i="78" s="1"/>
  <c r="T76" i="78" s="1"/>
  <c r="U76" i="78" s="1"/>
  <c r="P56" i="22"/>
  <c r="T57" i="22" s="1"/>
  <c r="T74" i="22" s="1"/>
  <c r="U74" i="22" s="1"/>
  <c r="P65" i="22"/>
  <c r="T66" i="22" s="1"/>
  <c r="T71" i="22" s="1"/>
  <c r="U71" i="22" s="1"/>
  <c r="P68" i="22"/>
  <c r="T69" i="22" s="1"/>
  <c r="T76" i="22" s="1"/>
  <c r="U76" i="22" s="1"/>
  <c r="P62" i="22"/>
  <c r="T63" i="22" s="1"/>
  <c r="T78" i="22" s="1"/>
  <c r="U78" i="22" s="1"/>
  <c r="P65" i="7"/>
  <c r="T66" i="7" s="1"/>
  <c r="T71" i="7" s="1"/>
  <c r="U71" i="7" s="1"/>
  <c r="P68" i="7"/>
  <c r="T69" i="7" s="1"/>
  <c r="T76" i="7" s="1"/>
  <c r="U76" i="7" s="1"/>
  <c r="P56" i="75"/>
  <c r="T57" i="75" s="1"/>
  <c r="T74" i="75" s="1"/>
  <c r="U74" i="75" s="1"/>
  <c r="P68" i="75"/>
  <c r="T69" i="75" s="1"/>
  <c r="T76" i="75" s="1"/>
  <c r="U76" i="75" s="1"/>
  <c r="P62" i="75"/>
  <c r="T63" i="75" s="1"/>
  <c r="T78" i="75" s="1"/>
  <c r="U78" i="75" s="1"/>
  <c r="P65" i="75"/>
  <c r="T66" i="75" s="1"/>
  <c r="T71" i="75" s="1"/>
  <c r="U71" i="75" s="1"/>
  <c r="P56" i="32"/>
  <c r="T57" i="32" s="1"/>
  <c r="T74" i="32" s="1"/>
  <c r="U74" i="32" s="1"/>
  <c r="P65" i="32"/>
  <c r="T66" i="32" s="1"/>
  <c r="T71" i="32" s="1"/>
  <c r="U71" i="32" s="1"/>
  <c r="P68" i="32"/>
  <c r="T69" i="32" s="1"/>
  <c r="T76" i="32" s="1"/>
  <c r="U76" i="32" s="1"/>
  <c r="P62" i="32"/>
  <c r="T63" i="32" s="1"/>
  <c r="T78" i="32" s="1"/>
  <c r="U78" i="32" s="1"/>
  <c r="P56" i="70"/>
  <c r="T57" i="70" s="1"/>
  <c r="T74" i="70" s="1"/>
  <c r="U74" i="70" s="1"/>
  <c r="P68" i="70"/>
  <c r="T69" i="70" s="1"/>
  <c r="T76" i="70" s="1"/>
  <c r="U76" i="70" s="1"/>
  <c r="P65" i="70"/>
  <c r="T66" i="70" s="1"/>
  <c r="T71" i="70" s="1"/>
  <c r="U71" i="70" s="1"/>
  <c r="P62" i="70"/>
  <c r="T63" i="70" s="1"/>
  <c r="T78" i="70" s="1"/>
  <c r="U78" i="70" s="1"/>
  <c r="P56" i="30"/>
  <c r="T57" i="30" s="1"/>
  <c r="T74" i="30" s="1"/>
  <c r="U74" i="30" s="1"/>
  <c r="P65" i="30"/>
  <c r="T66" i="30" s="1"/>
  <c r="T71" i="30" s="1"/>
  <c r="U71" i="30" s="1"/>
  <c r="P68" i="30"/>
  <c r="T69" i="30" s="1"/>
  <c r="T76" i="30" s="1"/>
  <c r="U76" i="30" s="1"/>
  <c r="P62" i="30"/>
  <c r="T63" i="30" s="1"/>
  <c r="T78" i="30" s="1"/>
  <c r="U78" i="30" s="1"/>
  <c r="P56" i="69"/>
  <c r="T57" i="69" s="1"/>
  <c r="T74" i="69" s="1"/>
  <c r="U74" i="69" s="1"/>
  <c r="P68" i="69"/>
  <c r="T69" i="69" s="1"/>
  <c r="T76" i="69" s="1"/>
  <c r="U76" i="69" s="1"/>
  <c r="P62" i="69"/>
  <c r="T63" i="69" s="1"/>
  <c r="T78" i="69" s="1"/>
  <c r="U78" i="69" s="1"/>
  <c r="P65" i="69"/>
  <c r="T66" i="69" s="1"/>
  <c r="T71" i="69" s="1"/>
  <c r="U71" i="69" s="1"/>
  <c r="P56" i="23"/>
  <c r="T57" i="23" s="1"/>
  <c r="T74" i="23" s="1"/>
  <c r="U74" i="23" s="1"/>
  <c r="P68" i="23"/>
  <c r="T69" i="23" s="1"/>
  <c r="T76" i="23" s="1"/>
  <c r="U76" i="23" s="1"/>
  <c r="P65" i="23"/>
  <c r="T66" i="23" s="1"/>
  <c r="T71" i="23" s="1"/>
  <c r="U71" i="23" s="1"/>
  <c r="P62" i="23"/>
  <c r="T63" i="23" s="1"/>
  <c r="T78" i="23" s="1"/>
  <c r="U78" i="23" s="1"/>
  <c r="P56" i="17"/>
  <c r="T57" i="17" s="1"/>
  <c r="T74" i="17" s="1"/>
  <c r="U74" i="17" s="1"/>
  <c r="P62" i="17"/>
  <c r="T63" i="17" s="1"/>
  <c r="T78" i="17" s="1"/>
  <c r="U78" i="17" s="1"/>
  <c r="P65" i="17"/>
  <c r="T66" i="17" s="1"/>
  <c r="T71" i="17" s="1"/>
  <c r="U71" i="17" s="1"/>
  <c r="P68" i="17"/>
  <c r="T69" i="17" s="1"/>
  <c r="T76" i="17" s="1"/>
  <c r="U76" i="17" s="1"/>
  <c r="P56" i="71"/>
  <c r="T57" i="71" s="1"/>
  <c r="T74" i="71" s="1"/>
  <c r="U74" i="71" s="1"/>
  <c r="P68" i="71"/>
  <c r="T69" i="71" s="1"/>
  <c r="T76" i="71" s="1"/>
  <c r="U76" i="71" s="1"/>
  <c r="P65" i="71"/>
  <c r="T66" i="71" s="1"/>
  <c r="T71" i="71" s="1"/>
  <c r="U71" i="71" s="1"/>
  <c r="P62" i="71"/>
  <c r="T63" i="71" s="1"/>
  <c r="T78" i="71" s="1"/>
  <c r="U78" i="71" s="1"/>
  <c r="P56" i="15"/>
  <c r="T57" i="15" s="1"/>
  <c r="T74" i="15" s="1"/>
  <c r="U74" i="15" s="1"/>
  <c r="P68" i="15"/>
  <c r="T69" i="15" s="1"/>
  <c r="T76" i="15" s="1"/>
  <c r="U76" i="15" s="1"/>
  <c r="P62" i="15"/>
  <c r="T63" i="15" s="1"/>
  <c r="T78" i="15" s="1"/>
  <c r="U78" i="15" s="1"/>
  <c r="P65" i="15"/>
  <c r="T66" i="15" s="1"/>
  <c r="T71" i="15" s="1"/>
  <c r="U71" i="15" s="1"/>
  <c r="P56" i="57"/>
  <c r="T57" i="57" s="1"/>
  <c r="T74" i="57" s="1"/>
  <c r="U74" i="57" s="1"/>
  <c r="P68" i="57"/>
  <c r="T69" i="57" s="1"/>
  <c r="T76" i="57" s="1"/>
  <c r="U76" i="57" s="1"/>
  <c r="P62" i="57"/>
  <c r="T63" i="57" s="1"/>
  <c r="T78" i="57" s="1"/>
  <c r="U78" i="57" s="1"/>
  <c r="P65" i="57"/>
  <c r="T66" i="57" s="1"/>
  <c r="T71" i="57" s="1"/>
  <c r="U71" i="57" s="1"/>
  <c r="P56" i="31"/>
  <c r="T57" i="31" s="1"/>
  <c r="T74" i="31" s="1"/>
  <c r="U74" i="31" s="1"/>
  <c r="P68" i="31"/>
  <c r="T69" i="31" s="1"/>
  <c r="T76" i="31" s="1"/>
  <c r="U76" i="31" s="1"/>
  <c r="P62" i="31"/>
  <c r="T63" i="31" s="1"/>
  <c r="T78" i="31" s="1"/>
  <c r="U78" i="31" s="1"/>
  <c r="P65" i="31"/>
  <c r="T66" i="31" s="1"/>
  <c r="T71" i="31" s="1"/>
  <c r="U71" i="31" s="1"/>
  <c r="P56" i="26"/>
  <c r="T57" i="26" s="1"/>
  <c r="P62" i="26"/>
  <c r="T63" i="26" s="1"/>
  <c r="T78" i="26" s="1"/>
  <c r="U78" i="26" s="1"/>
  <c r="P65" i="26"/>
  <c r="T66" i="26" s="1"/>
  <c r="T71" i="26" s="1"/>
  <c r="U71" i="26" s="1"/>
  <c r="P68" i="26"/>
  <c r="T69" i="26" s="1"/>
  <c r="T76" i="26" s="1"/>
  <c r="U76" i="26" s="1"/>
  <c r="R46" i="34"/>
  <c r="P59" i="34"/>
  <c r="P56" i="28"/>
  <c r="T57" i="28" s="1"/>
  <c r="T74" i="28" s="1"/>
  <c r="U74" i="28" s="1"/>
  <c r="P62" i="28"/>
  <c r="T63" i="28" s="1"/>
  <c r="T78" i="28" s="1"/>
  <c r="U78" i="28" s="1"/>
  <c r="P68" i="28"/>
  <c r="T69" i="28" s="1"/>
  <c r="T76" i="28" s="1"/>
  <c r="U76" i="28" s="1"/>
  <c r="P65" i="28"/>
  <c r="T66" i="28" s="1"/>
  <c r="T71" i="28" s="1"/>
  <c r="U71" i="28" s="1"/>
  <c r="P56" i="68"/>
  <c r="T57" i="68" s="1"/>
  <c r="T74" i="68" s="1"/>
  <c r="U74" i="68" s="1"/>
  <c r="P65" i="68"/>
  <c r="T66" i="68" s="1"/>
  <c r="T71" i="68" s="1"/>
  <c r="U71" i="68" s="1"/>
  <c r="P68" i="68"/>
  <c r="T69" i="68" s="1"/>
  <c r="T76" i="68" s="1"/>
  <c r="U76" i="68" s="1"/>
  <c r="P62" i="68"/>
  <c r="T63" i="68" s="1"/>
  <c r="T78" i="68" s="1"/>
  <c r="U78" i="68" s="1"/>
  <c r="P56" i="76"/>
  <c r="T57" i="76" s="1"/>
  <c r="T74" i="76" s="1"/>
  <c r="U74" i="76" s="1"/>
  <c r="P62" i="76"/>
  <c r="T63" i="76" s="1"/>
  <c r="T78" i="76" s="1"/>
  <c r="U78" i="76" s="1"/>
  <c r="P65" i="76"/>
  <c r="T66" i="76" s="1"/>
  <c r="T71" i="76" s="1"/>
  <c r="U71" i="76" s="1"/>
  <c r="P68" i="76"/>
  <c r="T69" i="76" s="1"/>
  <c r="T76" i="76" s="1"/>
  <c r="U76" i="76" s="1"/>
  <c r="P56" i="55"/>
  <c r="T57" i="55" s="1"/>
  <c r="T74" i="55" s="1"/>
  <c r="U74" i="55" s="1"/>
  <c r="P65" i="55"/>
  <c r="T66" i="55" s="1"/>
  <c r="T71" i="55" s="1"/>
  <c r="U71" i="55" s="1"/>
  <c r="P68" i="55"/>
  <c r="T69" i="55" s="1"/>
  <c r="T76" i="55" s="1"/>
  <c r="U76" i="55" s="1"/>
  <c r="P62" i="55"/>
  <c r="T63" i="55" s="1"/>
  <c r="T78" i="55" s="1"/>
  <c r="U78" i="55" s="1"/>
  <c r="I53" i="15"/>
  <c r="P56" i="7"/>
  <c r="T57" i="7" s="1"/>
  <c r="T74" i="7" s="1"/>
  <c r="U74" i="7" s="1"/>
  <c r="P62" i="7"/>
  <c r="T63" i="7" s="1"/>
  <c r="T78" i="7" s="1"/>
  <c r="U78" i="7" s="1"/>
  <c r="I172" i="60"/>
  <c r="I87" i="75"/>
  <c r="I87" i="67"/>
  <c r="I53" i="20"/>
  <c r="I53" i="75"/>
  <c r="I53" i="67"/>
  <c r="U78" i="33"/>
  <c r="T30" i="28"/>
  <c r="P59" i="28" s="1"/>
  <c r="U30" i="28"/>
  <c r="O92" i="28"/>
  <c r="T30" i="43"/>
  <c r="O92" i="43"/>
  <c r="U30" i="43"/>
  <c r="O92" i="23"/>
  <c r="T30" i="23"/>
  <c r="U30" i="23"/>
  <c r="T30" i="22"/>
  <c r="O92" i="22"/>
  <c r="U30" i="22"/>
  <c r="U30" i="25"/>
  <c r="T30" i="25"/>
  <c r="O92" i="25"/>
  <c r="O92" i="15"/>
  <c r="T30" i="15"/>
  <c r="U30" i="15"/>
  <c r="U30" i="39"/>
  <c r="O92" i="39"/>
  <c r="T30" i="39"/>
  <c r="O92" i="51"/>
  <c r="T30" i="51"/>
  <c r="U30" i="51"/>
  <c r="T30" i="44"/>
  <c r="U30" i="44"/>
  <c r="O92" i="44"/>
  <c r="T30" i="37"/>
  <c r="U30" i="37"/>
  <c r="O92" i="37"/>
  <c r="O92" i="66"/>
  <c r="U30" i="66"/>
  <c r="T30" i="66"/>
  <c r="U30" i="32"/>
  <c r="O92" i="32"/>
  <c r="T30" i="32"/>
  <c r="U30" i="47"/>
  <c r="O92" i="47"/>
  <c r="T30" i="47"/>
  <c r="T30" i="48"/>
  <c r="U30" i="48"/>
  <c r="O92" i="48"/>
  <c r="U30" i="70"/>
  <c r="T30" i="70"/>
  <c r="O92" i="70"/>
  <c r="T30" i="21"/>
  <c r="O92" i="21"/>
  <c r="U30" i="21"/>
  <c r="U30" i="30"/>
  <c r="O92" i="30"/>
  <c r="T30" i="30"/>
  <c r="T30" i="24"/>
  <c r="U30" i="24"/>
  <c r="O92" i="24"/>
  <c r="T30" i="77"/>
  <c r="U30" i="77"/>
  <c r="O92" i="77"/>
  <c r="U30" i="33"/>
  <c r="O92" i="33"/>
  <c r="T30" i="33"/>
  <c r="U71" i="20"/>
  <c r="U76" i="20"/>
  <c r="T30" i="55"/>
  <c r="U30" i="55"/>
  <c r="O92" i="55"/>
  <c r="T30" i="38"/>
  <c r="O92" i="38"/>
  <c r="U30" i="38"/>
  <c r="T30" i="31"/>
  <c r="U30" i="31"/>
  <c r="O92" i="31"/>
  <c r="U71" i="27"/>
  <c r="U76" i="27"/>
  <c r="T74" i="27"/>
  <c r="U74" i="27" s="1"/>
  <c r="U30" i="26"/>
  <c r="O92" i="26"/>
  <c r="T30" i="26"/>
  <c r="U30" i="20"/>
  <c r="O92" i="20"/>
  <c r="T30" i="20"/>
  <c r="U30" i="76"/>
  <c r="O92" i="76"/>
  <c r="T30" i="76"/>
  <c r="T30" i="35"/>
  <c r="U30" i="35"/>
  <c r="O92" i="35"/>
  <c r="U30" i="78"/>
  <c r="O92" i="78"/>
  <c r="T30" i="78"/>
  <c r="U30" i="27"/>
  <c r="O92" i="27"/>
  <c r="T30" i="27"/>
  <c r="T30" i="67"/>
  <c r="U30" i="67"/>
  <c r="O92" i="67"/>
  <c r="O92" i="71"/>
  <c r="U30" i="71"/>
  <c r="T30" i="71"/>
  <c r="U30" i="68"/>
  <c r="O92" i="68"/>
  <c r="T30" i="68"/>
  <c r="U30" i="7"/>
  <c r="O92" i="7"/>
  <c r="T30" i="7"/>
  <c r="T30" i="58"/>
  <c r="U30" i="58"/>
  <c r="O92" i="58"/>
  <c r="T30" i="50"/>
  <c r="U30" i="50"/>
  <c r="O92" i="50"/>
  <c r="O92" i="17"/>
  <c r="T30" i="17"/>
  <c r="U30" i="17"/>
  <c r="U71" i="50"/>
  <c r="T30" i="42"/>
  <c r="U30" i="42"/>
  <c r="O92" i="42"/>
  <c r="U30" i="18"/>
  <c r="O92" i="18"/>
  <c r="T30" i="18"/>
  <c r="O92" i="56"/>
  <c r="T30" i="56"/>
  <c r="U30" i="56"/>
  <c r="O92" i="69"/>
  <c r="T30" i="69"/>
  <c r="U30" i="69"/>
  <c r="U71" i="36"/>
  <c r="O95" i="34"/>
  <c r="T92" i="34"/>
  <c r="U95" i="34" s="1"/>
  <c r="T30" i="40"/>
  <c r="O92" i="40"/>
  <c r="U30" i="40"/>
  <c r="U30" i="57"/>
  <c r="T30" i="57"/>
  <c r="O92" i="57"/>
  <c r="T30" i="36"/>
  <c r="O92" i="36"/>
  <c r="U30" i="36"/>
  <c r="O92" i="75"/>
  <c r="U30" i="75"/>
  <c r="T30" i="75"/>
  <c r="T30" i="45"/>
  <c r="O92" i="45"/>
  <c r="U30" i="45"/>
  <c r="U30" i="16"/>
  <c r="O92" i="16"/>
  <c r="T30" i="16"/>
  <c r="T92" i="52" l="1"/>
  <c r="U95" i="52" s="1"/>
  <c r="R46" i="28"/>
  <c r="T60" i="28" s="1"/>
  <c r="T85" i="28" s="1"/>
  <c r="U85" i="28" s="1"/>
  <c r="I116" i="51"/>
  <c r="R46" i="52"/>
  <c r="I116" i="58"/>
  <c r="I116" i="77"/>
  <c r="I118" i="77" s="1"/>
  <c r="H123" i="77" s="1"/>
  <c r="I123" i="77" s="1"/>
  <c r="I125" i="77" s="1"/>
  <c r="I129" i="77" s="1"/>
  <c r="I133" i="77" s="1"/>
  <c r="I116" i="55"/>
  <c r="I118" i="55" s="1"/>
  <c r="H123" i="55" s="1"/>
  <c r="I123" i="55" s="1"/>
  <c r="I116" i="24"/>
  <c r="I118" i="24" s="1"/>
  <c r="I116" i="44"/>
  <c r="I116" i="66"/>
  <c r="I118" i="66" s="1"/>
  <c r="H123" i="66" s="1"/>
  <c r="I123" i="66" s="1"/>
  <c r="I135" i="66" s="1"/>
  <c r="I116" i="34"/>
  <c r="I116" i="75"/>
  <c r="I118" i="75" s="1"/>
  <c r="H123" i="75" s="1"/>
  <c r="I123" i="75" s="1"/>
  <c r="I135" i="75" s="1"/>
  <c r="I52" i="60"/>
  <c r="I116" i="22"/>
  <c r="I118" i="22" s="1"/>
  <c r="I116" i="50"/>
  <c r="I118" i="50" s="1"/>
  <c r="H123" i="50" s="1"/>
  <c r="I123" i="50" s="1"/>
  <c r="I135" i="50" s="1"/>
  <c r="I116" i="27"/>
  <c r="I118" i="27" s="1"/>
  <c r="H123" i="27" s="1"/>
  <c r="I123" i="27" s="1"/>
  <c r="I135" i="27" s="1"/>
  <c r="I116" i="18"/>
  <c r="I116" i="78"/>
  <c r="I116" i="45"/>
  <c r="I118" i="45" s="1"/>
  <c r="H123" i="45" s="1"/>
  <c r="I123" i="45" s="1"/>
  <c r="I135" i="45" s="1"/>
  <c r="I116" i="38"/>
  <c r="I116" i="57"/>
  <c r="I118" i="57" s="1"/>
  <c r="H123" i="57" s="1"/>
  <c r="I123" i="57" s="1"/>
  <c r="I116" i="69"/>
  <c r="I53" i="7"/>
  <c r="I116" i="7" s="1"/>
  <c r="I86" i="60"/>
  <c r="F52" i="60"/>
  <c r="I116" i="37"/>
  <c r="I118" i="37" s="1"/>
  <c r="H123" i="37" s="1"/>
  <c r="I123" i="37" s="1"/>
  <c r="I116" i="52"/>
  <c r="I116" i="31"/>
  <c r="I118" i="31" s="1"/>
  <c r="I116" i="71"/>
  <c r="I118" i="71" s="1"/>
  <c r="I116" i="36"/>
  <c r="I118" i="36" s="1"/>
  <c r="F53" i="60"/>
  <c r="I53" i="60"/>
  <c r="I118" i="78"/>
  <c r="H123" i="78" s="1"/>
  <c r="I123" i="78" s="1"/>
  <c r="I118" i="51"/>
  <c r="H123" i="51" s="1"/>
  <c r="I123" i="51" s="1"/>
  <c r="I135" i="51" s="1"/>
  <c r="I118" i="58"/>
  <c r="H123" i="58" s="1"/>
  <c r="I123" i="58" s="1"/>
  <c r="I135" i="58" s="1"/>
  <c r="I118" i="48"/>
  <c r="H123" i="48" s="1"/>
  <c r="I123" i="48" s="1"/>
  <c r="I135" i="48" s="1"/>
  <c r="I118" i="44"/>
  <c r="H123" i="44" s="1"/>
  <c r="I123" i="44" s="1"/>
  <c r="I118" i="42"/>
  <c r="H123" i="42" s="1"/>
  <c r="I123" i="42" s="1"/>
  <c r="I135" i="42" s="1"/>
  <c r="I118" i="39"/>
  <c r="H123" i="39" s="1"/>
  <c r="I123" i="39" s="1"/>
  <c r="I135" i="39" s="1"/>
  <c r="I118" i="76"/>
  <c r="H123" i="76" s="1"/>
  <c r="I123" i="76" s="1"/>
  <c r="I135" i="76" s="1"/>
  <c r="I118" i="28"/>
  <c r="H123" i="28" s="1"/>
  <c r="I123" i="28" s="1"/>
  <c r="I118" i="47"/>
  <c r="H123" i="47" s="1"/>
  <c r="I116" i="25"/>
  <c r="I116" i="21"/>
  <c r="I116" i="40"/>
  <c r="I116" i="68"/>
  <c r="I118" i="35"/>
  <c r="H123" i="35" s="1"/>
  <c r="I123" i="35" s="1"/>
  <c r="I135" i="35" s="1"/>
  <c r="U46" i="39"/>
  <c r="R51" i="39"/>
  <c r="U51" i="39" s="1"/>
  <c r="R52" i="39"/>
  <c r="U52" i="39" s="1"/>
  <c r="U46" i="56"/>
  <c r="R52" i="56"/>
  <c r="U52" i="56" s="1"/>
  <c r="R51" i="56"/>
  <c r="U51" i="56" s="1"/>
  <c r="U46" i="67"/>
  <c r="R51" i="67"/>
  <c r="U51" i="67" s="1"/>
  <c r="R52" i="67"/>
  <c r="U52" i="67" s="1"/>
  <c r="U46" i="55"/>
  <c r="R51" i="55"/>
  <c r="U51" i="55" s="1"/>
  <c r="R52" i="55"/>
  <c r="U52" i="55" s="1"/>
  <c r="U46" i="15"/>
  <c r="R52" i="15"/>
  <c r="U52" i="15" s="1"/>
  <c r="R51" i="15"/>
  <c r="U51" i="15" s="1"/>
  <c r="I116" i="17"/>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I116" i="20"/>
  <c r="U46" i="78"/>
  <c r="R51" i="78"/>
  <c r="U51" i="78" s="1"/>
  <c r="R52" i="78"/>
  <c r="U52" i="78" s="1"/>
  <c r="U46" i="77"/>
  <c r="R51" i="77"/>
  <c r="U51" i="77" s="1"/>
  <c r="R52" i="77"/>
  <c r="U52" i="77" s="1"/>
  <c r="U46" i="28"/>
  <c r="R52" i="28"/>
  <c r="U52" i="28" s="1"/>
  <c r="R51" i="28"/>
  <c r="U51" i="28" s="1"/>
  <c r="I116" i="23"/>
  <c r="U46" i="32"/>
  <c r="R51" i="32"/>
  <c r="U51" i="32" s="1"/>
  <c r="R52" i="32"/>
  <c r="U52" i="32" s="1"/>
  <c r="U46" i="38"/>
  <c r="R51" i="38"/>
  <c r="U51" i="38" s="1"/>
  <c r="R52" i="38"/>
  <c r="U52" i="38" s="1"/>
  <c r="U46" i="22"/>
  <c r="R51" i="22"/>
  <c r="U51" i="22" s="1"/>
  <c r="R52" i="22"/>
  <c r="U52" i="22" s="1"/>
  <c r="I116" i="26"/>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I116" i="30"/>
  <c r="U46" i="16"/>
  <c r="R51" i="16"/>
  <c r="U51" i="16" s="1"/>
  <c r="R52" i="16"/>
  <c r="U52" i="16" s="1"/>
  <c r="U46" i="31"/>
  <c r="R52" i="31"/>
  <c r="U52" i="31" s="1"/>
  <c r="R51" i="31"/>
  <c r="U51" i="31" s="1"/>
  <c r="U46" i="36"/>
  <c r="R51" i="36"/>
  <c r="U51" i="36" s="1"/>
  <c r="R52" i="36"/>
  <c r="U52" i="36" s="1"/>
  <c r="U46" i="30"/>
  <c r="R51" i="30"/>
  <c r="U51" i="30" s="1"/>
  <c r="R52" i="30"/>
  <c r="U52" i="30" s="1"/>
  <c r="I116" i="67"/>
  <c r="I116" i="70"/>
  <c r="U53" i="34"/>
  <c r="U53" i="52"/>
  <c r="U46" i="7"/>
  <c r="R52" i="7"/>
  <c r="U52" i="7" s="1"/>
  <c r="R51" i="7"/>
  <c r="U51" i="7" s="1"/>
  <c r="T74" i="26"/>
  <c r="U74" i="26" s="1"/>
  <c r="R46" i="57"/>
  <c r="P59" i="57"/>
  <c r="R46" i="56"/>
  <c r="P59" i="56"/>
  <c r="R46" i="67"/>
  <c r="P59" i="67"/>
  <c r="R46" i="38"/>
  <c r="P59" i="38"/>
  <c r="R46" i="37"/>
  <c r="P59" i="37"/>
  <c r="R46" i="51"/>
  <c r="P59" i="51"/>
  <c r="R46" i="35"/>
  <c r="P59" i="35"/>
  <c r="R46" i="32"/>
  <c r="P59" i="32"/>
  <c r="R46" i="18"/>
  <c r="P59" i="18"/>
  <c r="R46" i="76"/>
  <c r="P59" i="76"/>
  <c r="R46" i="48"/>
  <c r="P59" i="48"/>
  <c r="R46" i="39"/>
  <c r="P59" i="39"/>
  <c r="R46" i="43"/>
  <c r="P59" i="43"/>
  <c r="R46" i="50"/>
  <c r="P59" i="50"/>
  <c r="R46" i="55"/>
  <c r="P59" i="55"/>
  <c r="R46" i="33"/>
  <c r="P59" i="33"/>
  <c r="R46" i="44"/>
  <c r="P59" i="44"/>
  <c r="R46" i="71"/>
  <c r="P59" i="71"/>
  <c r="R46" i="78"/>
  <c r="P59" i="78"/>
  <c r="R46" i="21"/>
  <c r="P59" i="21"/>
  <c r="R46" i="22"/>
  <c r="P59" i="22"/>
  <c r="R46" i="40"/>
  <c r="P59" i="40"/>
  <c r="R46" i="17"/>
  <c r="P59" i="17"/>
  <c r="R46" i="27"/>
  <c r="P59" i="27"/>
  <c r="R46" i="45"/>
  <c r="P59" i="45"/>
  <c r="R46" i="20"/>
  <c r="P59" i="20"/>
  <c r="R46" i="58"/>
  <c r="P59" i="58"/>
  <c r="R46" i="47"/>
  <c r="P59" i="47"/>
  <c r="R46" i="15"/>
  <c r="P59" i="15"/>
  <c r="R46" i="23"/>
  <c r="P59" i="23"/>
  <c r="R46" i="42"/>
  <c r="P59" i="42"/>
  <c r="R46" i="24"/>
  <c r="P59" i="24"/>
  <c r="R46" i="66"/>
  <c r="P59" i="66"/>
  <c r="T60" i="52"/>
  <c r="T85" i="52" s="1"/>
  <c r="U85" i="52" s="1"/>
  <c r="R46" i="26"/>
  <c r="P59" i="26"/>
  <c r="R46" i="31"/>
  <c r="P59" i="31"/>
  <c r="R46" i="69"/>
  <c r="P59" i="69"/>
  <c r="R46" i="70"/>
  <c r="P59" i="70"/>
  <c r="R46" i="25"/>
  <c r="P59" i="25"/>
  <c r="T60" i="34"/>
  <c r="T85" i="34" s="1"/>
  <c r="U85" i="34" s="1"/>
  <c r="R46" i="36"/>
  <c r="P59" i="36"/>
  <c r="R46" i="68"/>
  <c r="P59" i="68"/>
  <c r="R46" i="16"/>
  <c r="P59" i="16"/>
  <c r="R46" i="75"/>
  <c r="P59" i="75"/>
  <c r="R46" i="77"/>
  <c r="P59" i="77"/>
  <c r="R46" i="30"/>
  <c r="P59" i="30"/>
  <c r="I87" i="15"/>
  <c r="I116" i="15" s="1"/>
  <c r="R46" i="7"/>
  <c r="P59" i="7"/>
  <c r="I125" i="43"/>
  <c r="I129" i="43" s="1"/>
  <c r="I133" i="43" s="1"/>
  <c r="I135" i="43"/>
  <c r="T92" i="69"/>
  <c r="U95" i="69" s="1"/>
  <c r="O95" i="69"/>
  <c r="T92" i="7"/>
  <c r="U95" i="7" s="1"/>
  <c r="O95" i="7"/>
  <c r="T92" i="35"/>
  <c r="U95" i="35" s="1"/>
  <c r="O95" i="35"/>
  <c r="O95" i="26"/>
  <c r="T92" i="26"/>
  <c r="U95" i="26" s="1"/>
  <c r="T92" i="38"/>
  <c r="U95" i="38" s="1"/>
  <c r="O95" i="38"/>
  <c r="O95" i="24"/>
  <c r="T92" i="24"/>
  <c r="U95" i="24" s="1"/>
  <c r="O95" i="21"/>
  <c r="T92" i="21"/>
  <c r="U95" i="21" s="1"/>
  <c r="O95" i="28"/>
  <c r="T92" i="28"/>
  <c r="U95" i="28" s="1"/>
  <c r="I123" i="32"/>
  <c r="T92" i="31"/>
  <c r="U95" i="31" s="1"/>
  <c r="O95" i="31"/>
  <c r="T92" i="77"/>
  <c r="U95" i="77" s="1"/>
  <c r="O95" i="77"/>
  <c r="T87" i="28"/>
  <c r="U87" i="28" s="1"/>
  <c r="T92" i="43"/>
  <c r="U95" i="43" s="1"/>
  <c r="O95" i="43"/>
  <c r="O95" i="55"/>
  <c r="T92" i="55"/>
  <c r="U95" i="55" s="1"/>
  <c r="T92" i="48"/>
  <c r="U95" i="48" s="1"/>
  <c r="O95" i="48"/>
  <c r="T92" i="15"/>
  <c r="U95" i="15" s="1"/>
  <c r="O95" i="15"/>
  <c r="T92" i="22"/>
  <c r="U95" i="22" s="1"/>
  <c r="O95" i="22"/>
  <c r="T92" i="57"/>
  <c r="U95" i="57" s="1"/>
  <c r="O95" i="57"/>
  <c r="O95" i="39"/>
  <c r="T92" i="39"/>
  <c r="U95" i="39" s="1"/>
  <c r="I125" i="66"/>
  <c r="I129" i="66" s="1"/>
  <c r="I133" i="66" s="1"/>
  <c r="O95" i="56"/>
  <c r="T92" i="56"/>
  <c r="U95" i="56" s="1"/>
  <c r="O95" i="17"/>
  <c r="T92" i="17"/>
  <c r="U95" i="17" s="1"/>
  <c r="T92" i="50"/>
  <c r="U95" i="50" s="1"/>
  <c r="O95" i="50"/>
  <c r="T92" i="71"/>
  <c r="U95" i="71" s="1"/>
  <c r="O95" i="71"/>
  <c r="T92" i="32"/>
  <c r="U95" i="32" s="1"/>
  <c r="O95" i="32"/>
  <c r="T92" i="66"/>
  <c r="U95" i="66" s="1"/>
  <c r="O95" i="66"/>
  <c r="T92" i="25"/>
  <c r="U95" i="25" s="1"/>
  <c r="O95" i="25"/>
  <c r="T92" i="23"/>
  <c r="U95" i="23" s="1"/>
  <c r="O95" i="23"/>
  <c r="O95" i="42"/>
  <c r="T92" i="42"/>
  <c r="U95" i="42" s="1"/>
  <c r="O95" i="27"/>
  <c r="T92" i="27"/>
  <c r="U95" i="27" s="1"/>
  <c r="O95" i="76"/>
  <c r="T92" i="76"/>
  <c r="U95" i="76" s="1"/>
  <c r="O95" i="37"/>
  <c r="T92" i="37"/>
  <c r="U95" i="37" s="1"/>
  <c r="T92" i="67"/>
  <c r="U95" i="67" s="1"/>
  <c r="O95" i="67"/>
  <c r="I123" i="47"/>
  <c r="T92" i="47"/>
  <c r="U95" i="47" s="1"/>
  <c r="O95" i="47"/>
  <c r="O95" i="58"/>
  <c r="T92" i="58"/>
  <c r="U95" i="58" s="1"/>
  <c r="O95" i="68"/>
  <c r="T92" i="68"/>
  <c r="U95" i="68" s="1"/>
  <c r="O95" i="33"/>
  <c r="T92" i="33"/>
  <c r="U95" i="33" s="1"/>
  <c r="O95" i="16"/>
  <c r="T92" i="16"/>
  <c r="U95" i="16" s="1"/>
  <c r="T92" i="45"/>
  <c r="U95" i="45" s="1"/>
  <c r="O95" i="45"/>
  <c r="I125" i="33"/>
  <c r="I129" i="33" s="1"/>
  <c r="I133" i="33" s="1"/>
  <c r="I123" i="56"/>
  <c r="O95" i="20"/>
  <c r="T92" i="20"/>
  <c r="U95" i="20" s="1"/>
  <c r="O95" i="36"/>
  <c r="T92" i="36"/>
  <c r="U95" i="36" s="1"/>
  <c r="I135" i="33"/>
  <c r="O95" i="18"/>
  <c r="T92" i="18"/>
  <c r="U95" i="18" s="1"/>
  <c r="O95" i="78"/>
  <c r="T92" i="78"/>
  <c r="U95" i="78" s="1"/>
  <c r="O95" i="30"/>
  <c r="T92" i="30"/>
  <c r="U95" i="30" s="1"/>
  <c r="O95" i="51"/>
  <c r="T92" i="51"/>
  <c r="U95" i="51" s="1"/>
  <c r="O95" i="75"/>
  <c r="T92" i="75"/>
  <c r="U95" i="75" s="1"/>
  <c r="O95" i="40"/>
  <c r="T92" i="40"/>
  <c r="U95" i="40" s="1"/>
  <c r="O95" i="70"/>
  <c r="T92" i="70"/>
  <c r="U95" i="70" s="1"/>
  <c r="T92" i="44"/>
  <c r="U95" i="44" s="1"/>
  <c r="O95" i="44"/>
  <c r="I54" i="60" l="1"/>
  <c r="I125" i="48"/>
  <c r="I129" i="48" s="1"/>
  <c r="I133" i="48" s="1"/>
  <c r="I118" i="34"/>
  <c r="H123" i="34" s="1"/>
  <c r="I118" i="18"/>
  <c r="I125" i="28"/>
  <c r="I129" i="28" s="1"/>
  <c r="I133" i="28" s="1"/>
  <c r="E133" i="64" s="1"/>
  <c r="G133" i="64" s="1"/>
  <c r="I135" i="28"/>
  <c r="I125" i="78"/>
  <c r="I129" i="78" s="1"/>
  <c r="I133" i="78" s="1"/>
  <c r="I135" i="78"/>
  <c r="I118" i="38"/>
  <c r="H123" i="38" s="1"/>
  <c r="I123" i="38" s="1"/>
  <c r="I125" i="45"/>
  <c r="I129" i="45" s="1"/>
  <c r="I133" i="45" s="1"/>
  <c r="E270" i="64" s="1"/>
  <c r="G270" i="64" s="1"/>
  <c r="U53" i="76"/>
  <c r="U53" i="15"/>
  <c r="U53" i="17"/>
  <c r="I135" i="38"/>
  <c r="U53" i="66"/>
  <c r="U53" i="43"/>
  <c r="U115" i="28"/>
  <c r="I121" i="28" s="1"/>
  <c r="I118" i="69"/>
  <c r="H123" i="69" s="1"/>
  <c r="I123" i="69" s="1"/>
  <c r="U53" i="58"/>
  <c r="I118" i="7"/>
  <c r="I88" i="60"/>
  <c r="I118" i="52"/>
  <c r="H123" i="52" s="1"/>
  <c r="I123" i="52" s="1"/>
  <c r="U53" i="51"/>
  <c r="U53" i="27"/>
  <c r="U53" i="22"/>
  <c r="U53" i="37"/>
  <c r="U53" i="30"/>
  <c r="U53" i="38"/>
  <c r="U53" i="42"/>
  <c r="U53" i="40"/>
  <c r="U53" i="33"/>
  <c r="U53" i="75"/>
  <c r="U53" i="7"/>
  <c r="U53" i="23"/>
  <c r="U53" i="67"/>
  <c r="U53" i="20"/>
  <c r="U53" i="45"/>
  <c r="U53" i="56"/>
  <c r="U53" i="36"/>
  <c r="U53" i="31"/>
  <c r="I135" i="44"/>
  <c r="I125" i="44"/>
  <c r="I129" i="44" s="1"/>
  <c r="I133" i="44" s="1"/>
  <c r="E262" i="64" s="1"/>
  <c r="G262" i="64" s="1"/>
  <c r="I125" i="58"/>
  <c r="I129" i="58" s="1"/>
  <c r="I133" i="58" s="1"/>
  <c r="E370" i="64" s="1"/>
  <c r="G370" i="64" s="1"/>
  <c r="I125" i="76"/>
  <c r="I129" i="76" s="1"/>
  <c r="I133" i="76" s="1"/>
  <c r="E333" i="64" s="1"/>
  <c r="G333" i="64" s="1"/>
  <c r="I125" i="37"/>
  <c r="I129" i="37" s="1"/>
  <c r="I133" i="37" s="1"/>
  <c r="E204" i="64" s="1"/>
  <c r="G204" i="64" s="1"/>
  <c r="I135" i="37"/>
  <c r="I118" i="15"/>
  <c r="H123" i="15" s="1"/>
  <c r="I123" i="15" s="1"/>
  <c r="U53" i="44"/>
  <c r="U53" i="69"/>
  <c r="U53" i="28"/>
  <c r="I118" i="20"/>
  <c r="U53" i="55"/>
  <c r="I118" i="70"/>
  <c r="H123" i="70" s="1"/>
  <c r="I123" i="70" s="1"/>
  <c r="U53" i="39"/>
  <c r="I118" i="67"/>
  <c r="H123" i="67" s="1"/>
  <c r="I123" i="67" s="1"/>
  <c r="U53" i="70"/>
  <c r="U53" i="71"/>
  <c r="U53" i="18"/>
  <c r="U53" i="24"/>
  <c r="U53" i="50"/>
  <c r="U53" i="68"/>
  <c r="U53" i="48"/>
  <c r="I118" i="17"/>
  <c r="U53" i="57"/>
  <c r="U53" i="16"/>
  <c r="U53" i="77"/>
  <c r="U53" i="47"/>
  <c r="U53" i="35"/>
  <c r="I118" i="68"/>
  <c r="H123" i="68" s="1"/>
  <c r="I123" i="68" s="1"/>
  <c r="I118" i="23"/>
  <c r="I118" i="30"/>
  <c r="H123" i="30" s="1"/>
  <c r="I123" i="30" s="1"/>
  <c r="I125" i="30" s="1"/>
  <c r="I129" i="30" s="1"/>
  <c r="I133" i="30" s="1"/>
  <c r="U53" i="26"/>
  <c r="U53" i="21"/>
  <c r="U53" i="25"/>
  <c r="I118" i="40"/>
  <c r="H123" i="40" s="1"/>
  <c r="I123" i="40" s="1"/>
  <c r="U53" i="32"/>
  <c r="I118" i="21"/>
  <c r="H123" i="21" s="1"/>
  <c r="I118" i="26"/>
  <c r="U53" i="78"/>
  <c r="I118" i="25"/>
  <c r="H123" i="25" s="1"/>
  <c r="T60" i="30"/>
  <c r="T85" i="30" s="1"/>
  <c r="U85" i="30" s="1"/>
  <c r="T60" i="66"/>
  <c r="T85" i="66" s="1"/>
  <c r="U85" i="66" s="1"/>
  <c r="T60" i="58"/>
  <c r="T85" i="58" s="1"/>
  <c r="U85" i="58" s="1"/>
  <c r="T60" i="22"/>
  <c r="T85" i="22" s="1"/>
  <c r="U85" i="22" s="1"/>
  <c r="T60" i="55"/>
  <c r="T60" i="18"/>
  <c r="T60" i="69"/>
  <c r="T60" i="77"/>
  <c r="T60" i="24"/>
  <c r="T60" i="20"/>
  <c r="T60" i="21"/>
  <c r="T60" i="50"/>
  <c r="T60" i="75"/>
  <c r="T60" i="31"/>
  <c r="T60" i="16"/>
  <c r="T85" i="16" s="1"/>
  <c r="U85" i="16" s="1"/>
  <c r="T60" i="23"/>
  <c r="T85" i="23" s="1"/>
  <c r="U85" i="23" s="1"/>
  <c r="T60" i="27"/>
  <c r="T85" i="27" s="1"/>
  <c r="U85" i="27" s="1"/>
  <c r="T60" i="71"/>
  <c r="T85" i="71" s="1"/>
  <c r="U85" i="71" s="1"/>
  <c r="T60" i="39"/>
  <c r="T85" i="39" s="1"/>
  <c r="U85" i="39" s="1"/>
  <c r="T60" i="51"/>
  <c r="T85" i="51" s="1"/>
  <c r="U85" i="51" s="1"/>
  <c r="T60" i="68"/>
  <c r="T85" i="68" s="1"/>
  <c r="U85" i="68" s="1"/>
  <c r="T60" i="15"/>
  <c r="T85" i="15" s="1"/>
  <c r="U85" i="15" s="1"/>
  <c r="T60" i="17"/>
  <c r="T85" i="17" s="1"/>
  <c r="U85" i="17" s="1"/>
  <c r="T60" i="44"/>
  <c r="T85" i="44" s="1"/>
  <c r="U85" i="44" s="1"/>
  <c r="T60" i="48"/>
  <c r="T85" i="48" s="1"/>
  <c r="U85" i="48" s="1"/>
  <c r="T60" i="37"/>
  <c r="T85" i="37" s="1"/>
  <c r="U85" i="37" s="1"/>
  <c r="T60" i="26"/>
  <c r="T85" i="26" s="1"/>
  <c r="U85" i="26" s="1"/>
  <c r="T60" i="36"/>
  <c r="T85" i="36" s="1"/>
  <c r="U85" i="36" s="1"/>
  <c r="T87" i="52"/>
  <c r="U87" i="52" s="1"/>
  <c r="U115" i="52" s="1"/>
  <c r="I121" i="52" s="1"/>
  <c r="T60" i="47"/>
  <c r="T85" i="47" s="1"/>
  <c r="U85" i="47" s="1"/>
  <c r="T60" i="40"/>
  <c r="T85" i="40" s="1"/>
  <c r="U85" i="40" s="1"/>
  <c r="T60" i="33"/>
  <c r="T85" i="33" s="1"/>
  <c r="U85" i="33" s="1"/>
  <c r="T60" i="76"/>
  <c r="T85" i="76" s="1"/>
  <c r="U85" i="76" s="1"/>
  <c r="T60" i="38"/>
  <c r="T85" i="38" s="1"/>
  <c r="U85" i="38" s="1"/>
  <c r="T87" i="34"/>
  <c r="U87" i="34" s="1"/>
  <c r="U115" i="34" s="1"/>
  <c r="I121" i="34" s="1"/>
  <c r="T60" i="67"/>
  <c r="T85" i="67" s="1"/>
  <c r="U85" i="67" s="1"/>
  <c r="T60" i="25"/>
  <c r="T85" i="25" s="1"/>
  <c r="U85" i="25" s="1"/>
  <c r="T60" i="32"/>
  <c r="T85" i="32" s="1"/>
  <c r="U85" i="32" s="1"/>
  <c r="T60" i="56"/>
  <c r="T85" i="56" s="1"/>
  <c r="U85" i="56" s="1"/>
  <c r="T60" i="70"/>
  <c r="T85" i="70" s="1"/>
  <c r="U85" i="70" s="1"/>
  <c r="T60" i="42"/>
  <c r="T85" i="42" s="1"/>
  <c r="U85" i="42" s="1"/>
  <c r="T60" i="45"/>
  <c r="T85" i="45" s="1"/>
  <c r="U85" i="45" s="1"/>
  <c r="T60" i="78"/>
  <c r="T85" i="78" s="1"/>
  <c r="U85" i="78" s="1"/>
  <c r="T60" i="43"/>
  <c r="T85" i="43" s="1"/>
  <c r="U85" i="43" s="1"/>
  <c r="T60" i="35"/>
  <c r="T85" i="35" s="1"/>
  <c r="U85" i="35" s="1"/>
  <c r="T60" i="57"/>
  <c r="T85" i="57" s="1"/>
  <c r="U85" i="57" s="1"/>
  <c r="T60" i="7"/>
  <c r="T85" i="7" s="1"/>
  <c r="U85" i="7" s="1"/>
  <c r="I125" i="57"/>
  <c r="I129" i="57" s="1"/>
  <c r="I133" i="57" s="1"/>
  <c r="I135" i="57"/>
  <c r="E252" i="64"/>
  <c r="G252" i="64" s="1"/>
  <c r="I135" i="77"/>
  <c r="E442" i="64"/>
  <c r="G442" i="64" s="1"/>
  <c r="I125" i="75"/>
  <c r="I129" i="75" s="1"/>
  <c r="I133" i="75" s="1"/>
  <c r="E161" i="64"/>
  <c r="G161" i="64" s="1"/>
  <c r="I125" i="35"/>
  <c r="I129" i="35" s="1"/>
  <c r="I133" i="35" s="1"/>
  <c r="I125" i="50"/>
  <c r="I129" i="50" s="1"/>
  <c r="I133" i="50" s="1"/>
  <c r="I125" i="47"/>
  <c r="I129" i="47" s="1"/>
  <c r="I133" i="47" s="1"/>
  <c r="I135" i="47"/>
  <c r="E432" i="64"/>
  <c r="G432" i="64" s="1"/>
  <c r="I125" i="55"/>
  <c r="I129" i="55" s="1"/>
  <c r="I133" i="55" s="1"/>
  <c r="I125" i="56"/>
  <c r="I129" i="56" s="1"/>
  <c r="I133" i="56" s="1"/>
  <c r="I135" i="56"/>
  <c r="I125" i="39"/>
  <c r="I129" i="39" s="1"/>
  <c r="I133" i="39" s="1"/>
  <c r="I135" i="55"/>
  <c r="I125" i="32"/>
  <c r="I129" i="32" s="1"/>
  <c r="I133" i="32" s="1"/>
  <c r="I125" i="27"/>
  <c r="I129" i="27" s="1"/>
  <c r="I133" i="27" s="1"/>
  <c r="I125" i="51"/>
  <c r="I129" i="51" s="1"/>
  <c r="I133" i="51" s="1"/>
  <c r="I135" i="32"/>
  <c r="E379" i="64"/>
  <c r="G379" i="64" s="1"/>
  <c r="I125" i="42"/>
  <c r="I129" i="42" s="1"/>
  <c r="I133" i="42" s="1"/>
  <c r="E287" i="64" l="1"/>
  <c r="G287" i="64" s="1"/>
  <c r="I123" i="34"/>
  <c r="I135" i="34" s="1"/>
  <c r="I125" i="38"/>
  <c r="I129" i="38" s="1"/>
  <c r="I133" i="38" s="1"/>
  <c r="I125" i="69"/>
  <c r="I129" i="69" s="1"/>
  <c r="I133" i="69" s="1"/>
  <c r="I135" i="69"/>
  <c r="I135" i="52"/>
  <c r="I125" i="52"/>
  <c r="I129" i="52" s="1"/>
  <c r="I133" i="52" s="1"/>
  <c r="T87" i="30"/>
  <c r="U87" i="30" s="1"/>
  <c r="U115" i="30" s="1"/>
  <c r="I121" i="30" s="1"/>
  <c r="I125" i="68"/>
  <c r="I129" i="68" s="1"/>
  <c r="I133" i="68" s="1"/>
  <c r="E424" i="64" s="1"/>
  <c r="G424" i="64" s="1"/>
  <c r="T87" i="58"/>
  <c r="U87" i="58" s="1"/>
  <c r="U115" i="58" s="1"/>
  <c r="I121" i="58" s="1"/>
  <c r="T87" i="66"/>
  <c r="U87" i="66" s="1"/>
  <c r="U115" i="66" s="1"/>
  <c r="I121" i="66" s="1"/>
  <c r="I135" i="70"/>
  <c r="I125" i="15"/>
  <c r="I129" i="15" s="1"/>
  <c r="I133" i="15" s="1"/>
  <c r="E15" i="64" s="1"/>
  <c r="G15" i="64" s="1"/>
  <c r="I135" i="15"/>
  <c r="I125" i="70"/>
  <c r="I129" i="70" s="1"/>
  <c r="I133" i="70" s="1"/>
  <c r="I135" i="30"/>
  <c r="T87" i="22"/>
  <c r="U87" i="22" s="1"/>
  <c r="U115" i="22" s="1"/>
  <c r="I121" i="22" s="1"/>
  <c r="H123" i="22" s="1"/>
  <c r="I123" i="22" s="1"/>
  <c r="I123" i="21"/>
  <c r="I135" i="21" s="1"/>
  <c r="I135" i="67"/>
  <c r="I125" i="67"/>
  <c r="I129" i="67" s="1"/>
  <c r="I133" i="67" s="1"/>
  <c r="I135" i="40"/>
  <c r="I125" i="40"/>
  <c r="I129" i="40" s="1"/>
  <c r="I133" i="40" s="1"/>
  <c r="I135" i="68"/>
  <c r="I123" i="25"/>
  <c r="I135" i="25" s="1"/>
  <c r="T85" i="69"/>
  <c r="U85" i="69" s="1"/>
  <c r="T87" i="69"/>
  <c r="U87" i="69" s="1"/>
  <c r="T85" i="18"/>
  <c r="U85" i="18" s="1"/>
  <c r="T87" i="18"/>
  <c r="U87" i="18" s="1"/>
  <c r="T85" i="55"/>
  <c r="U85" i="55" s="1"/>
  <c r="T87" i="55"/>
  <c r="U87" i="55" s="1"/>
  <c r="T85" i="31"/>
  <c r="U85" i="31" s="1"/>
  <c r="T87" i="31"/>
  <c r="U87" i="31" s="1"/>
  <c r="T85" i="75"/>
  <c r="U85" i="75" s="1"/>
  <c r="T87" i="75"/>
  <c r="U87" i="75" s="1"/>
  <c r="T85" i="50"/>
  <c r="U85" i="50" s="1"/>
  <c r="T87" i="50"/>
  <c r="U87" i="50" s="1"/>
  <c r="T85" i="21"/>
  <c r="U85" i="21" s="1"/>
  <c r="T87" i="21"/>
  <c r="U87" i="21" s="1"/>
  <c r="T85" i="20"/>
  <c r="U85" i="20" s="1"/>
  <c r="T87" i="20"/>
  <c r="U87" i="20" s="1"/>
  <c r="T85" i="24"/>
  <c r="U85" i="24" s="1"/>
  <c r="T87" i="24"/>
  <c r="U87" i="24" s="1"/>
  <c r="T85" i="77"/>
  <c r="U85" i="77" s="1"/>
  <c r="T87" i="77"/>
  <c r="U87" i="77" s="1"/>
  <c r="T87" i="45"/>
  <c r="U87" i="45" s="1"/>
  <c r="U115" i="45" s="1"/>
  <c r="I121" i="45" s="1"/>
  <c r="T87" i="76"/>
  <c r="U87" i="76" s="1"/>
  <c r="U115" i="76" s="1"/>
  <c r="I121" i="76" s="1"/>
  <c r="T87" i="44"/>
  <c r="U87" i="44" s="1"/>
  <c r="U115" i="44" s="1"/>
  <c r="I121" i="44" s="1"/>
  <c r="T87" i="42"/>
  <c r="U87" i="42" s="1"/>
  <c r="U115" i="42" s="1"/>
  <c r="I121" i="42" s="1"/>
  <c r="T87" i="33"/>
  <c r="U87" i="33" s="1"/>
  <c r="U115" i="33" s="1"/>
  <c r="I121" i="33" s="1"/>
  <c r="T87" i="17"/>
  <c r="U87" i="17" s="1"/>
  <c r="U115" i="17" s="1"/>
  <c r="I121" i="17" s="1"/>
  <c r="H123" i="17" s="1"/>
  <c r="I123" i="17" s="1"/>
  <c r="T87" i="70"/>
  <c r="U87" i="70" s="1"/>
  <c r="U115" i="70" s="1"/>
  <c r="I121" i="70" s="1"/>
  <c r="T87" i="40"/>
  <c r="U87" i="40" s="1"/>
  <c r="U115" i="40" s="1"/>
  <c r="I121" i="40" s="1"/>
  <c r="T87" i="15"/>
  <c r="U87" i="15" s="1"/>
  <c r="U115" i="15" s="1"/>
  <c r="I121" i="15" s="1"/>
  <c r="T87" i="56"/>
  <c r="U87" i="56" s="1"/>
  <c r="U115" i="56" s="1"/>
  <c r="I121" i="56" s="1"/>
  <c r="T87" i="47"/>
  <c r="U87" i="47" s="1"/>
  <c r="U115" i="47" s="1"/>
  <c r="I121" i="47" s="1"/>
  <c r="T87" i="68"/>
  <c r="U87" i="68" s="1"/>
  <c r="U115" i="68" s="1"/>
  <c r="I121" i="68" s="1"/>
  <c r="T87" i="32"/>
  <c r="U87" i="32" s="1"/>
  <c r="U115" i="32" s="1"/>
  <c r="I121" i="32" s="1"/>
  <c r="T87" i="25"/>
  <c r="U87" i="25" s="1"/>
  <c r="U115" i="25" s="1"/>
  <c r="I121" i="25" s="1"/>
  <c r="T87" i="51"/>
  <c r="U87" i="51" s="1"/>
  <c r="U115" i="51" s="1"/>
  <c r="I121" i="51" s="1"/>
  <c r="T87" i="67"/>
  <c r="U87" i="67" s="1"/>
  <c r="U115" i="67" s="1"/>
  <c r="I121" i="67" s="1"/>
  <c r="T87" i="39"/>
  <c r="U87" i="39" s="1"/>
  <c r="U115" i="39" s="1"/>
  <c r="I121" i="39" s="1"/>
  <c r="T87" i="71"/>
  <c r="U87" i="71" s="1"/>
  <c r="U115" i="71" s="1"/>
  <c r="I121" i="71" s="1"/>
  <c r="H123" i="71" s="1"/>
  <c r="I123" i="71" s="1"/>
  <c r="T87" i="57"/>
  <c r="U87" i="57" s="1"/>
  <c r="U115" i="57" s="1"/>
  <c r="I121" i="57" s="1"/>
  <c r="T87" i="36"/>
  <c r="U87" i="36" s="1"/>
  <c r="U115" i="36" s="1"/>
  <c r="I121" i="36" s="1"/>
  <c r="H123" i="36" s="1"/>
  <c r="T87" i="27"/>
  <c r="U87" i="27" s="1"/>
  <c r="U115" i="27" s="1"/>
  <c r="I121" i="27" s="1"/>
  <c r="T87" i="35"/>
  <c r="U87" i="35" s="1"/>
  <c r="U115" i="35" s="1"/>
  <c r="I121" i="35" s="1"/>
  <c r="T87" i="26"/>
  <c r="U87" i="26" s="1"/>
  <c r="U115" i="26" s="1"/>
  <c r="I121" i="26" s="1"/>
  <c r="H123" i="26" s="1"/>
  <c r="I123" i="26" s="1"/>
  <c r="T87" i="23"/>
  <c r="U87" i="23" s="1"/>
  <c r="U115" i="23" s="1"/>
  <c r="I121" i="23" s="1"/>
  <c r="H123" i="23" s="1"/>
  <c r="I123" i="23" s="1"/>
  <c r="I135" i="23" s="1"/>
  <c r="T87" i="43"/>
  <c r="U87" i="43" s="1"/>
  <c r="U115" i="43" s="1"/>
  <c r="I121" i="43" s="1"/>
  <c r="T87" i="37"/>
  <c r="U87" i="37" s="1"/>
  <c r="U115" i="37" s="1"/>
  <c r="I121" i="37" s="1"/>
  <c r="T87" i="16"/>
  <c r="U87" i="16" s="1"/>
  <c r="U115" i="16" s="1"/>
  <c r="I121" i="16" s="1"/>
  <c r="T87" i="78"/>
  <c r="U87" i="78" s="1"/>
  <c r="U115" i="78" s="1"/>
  <c r="I121" i="78" s="1"/>
  <c r="T87" i="38"/>
  <c r="U87" i="38" s="1"/>
  <c r="U115" i="38" s="1"/>
  <c r="I121" i="38" s="1"/>
  <c r="T87" i="48"/>
  <c r="U87" i="48" s="1"/>
  <c r="U115" i="48" s="1"/>
  <c r="I121" i="48" s="1"/>
  <c r="T87" i="7"/>
  <c r="U87" i="7" s="1"/>
  <c r="U115" i="7" s="1"/>
  <c r="I121" i="7" s="1"/>
  <c r="E451" i="64"/>
  <c r="G451" i="64" s="1"/>
  <c r="E361" i="64"/>
  <c r="G361" i="64" s="1"/>
  <c r="E323" i="64"/>
  <c r="G323" i="64" s="1"/>
  <c r="E343" i="64"/>
  <c r="G343" i="64" s="1"/>
  <c r="E305" i="64"/>
  <c r="G305" i="64" s="1"/>
  <c r="E242" i="64"/>
  <c r="G242" i="64" s="1"/>
  <c r="E297" i="64"/>
  <c r="G297" i="64" s="1"/>
  <c r="E223" i="64"/>
  <c r="G223" i="64" s="1"/>
  <c r="E124" i="64"/>
  <c r="G124" i="64" s="1"/>
  <c r="E178" i="64"/>
  <c r="G178" i="64" s="1"/>
  <c r="E278" i="64"/>
  <c r="G278" i="64" s="1"/>
  <c r="E151" i="64"/>
  <c r="G151" i="64" s="1"/>
  <c r="E354" i="64"/>
  <c r="G354" i="64" s="1"/>
  <c r="I125" i="34" l="1"/>
  <c r="I129" i="34" s="1"/>
  <c r="I133" i="34" s="1"/>
  <c r="E212" i="64"/>
  <c r="G212" i="64" s="1"/>
  <c r="E395" i="64"/>
  <c r="G395" i="64" s="1"/>
  <c r="E314" i="64"/>
  <c r="G314" i="64" s="1"/>
  <c r="U115" i="24"/>
  <c r="I121" i="24" s="1"/>
  <c r="H123" i="24" s="1"/>
  <c r="I123" i="24" s="1"/>
  <c r="U115" i="20"/>
  <c r="I121" i="20" s="1"/>
  <c r="H123" i="20" s="1"/>
  <c r="I123" i="20" s="1"/>
  <c r="U115" i="18"/>
  <c r="I121" i="18" s="1"/>
  <c r="H123" i="18" s="1"/>
  <c r="I123" i="18" s="1"/>
  <c r="U115" i="69"/>
  <c r="I121" i="69" s="1"/>
  <c r="U115" i="21"/>
  <c r="I121" i="21" s="1"/>
  <c r="U115" i="75"/>
  <c r="I121" i="75" s="1"/>
  <c r="U115" i="77"/>
  <c r="I121" i="77" s="1"/>
  <c r="E405" i="64"/>
  <c r="G405" i="64" s="1"/>
  <c r="I123" i="36"/>
  <c r="I135" i="36" s="1"/>
  <c r="U115" i="31"/>
  <c r="I121" i="31" s="1"/>
  <c r="H123" i="31" s="1"/>
  <c r="I123" i="31" s="1"/>
  <c r="U115" i="55"/>
  <c r="I121" i="55" s="1"/>
  <c r="E233" i="64"/>
  <c r="G233" i="64" s="1"/>
  <c r="I125" i="21"/>
  <c r="I129" i="21" s="1"/>
  <c r="I133" i="21" s="1"/>
  <c r="E386" i="64"/>
  <c r="G386" i="64" s="1"/>
  <c r="U115" i="50"/>
  <c r="I121" i="50" s="1"/>
  <c r="I125" i="25"/>
  <c r="I129" i="25" s="1"/>
  <c r="I133" i="25" s="1"/>
  <c r="I135" i="17"/>
  <c r="I125" i="17"/>
  <c r="I129" i="17" s="1"/>
  <c r="I133" i="17" s="1"/>
  <c r="E53" i="64" s="1"/>
  <c r="G53" i="64" s="1"/>
  <c r="I125" i="22"/>
  <c r="I129" i="22" s="1"/>
  <c r="I133" i="22" s="1"/>
  <c r="E109" i="64" s="1"/>
  <c r="G109" i="64" s="1"/>
  <c r="I135" i="71"/>
  <c r="I125" i="71"/>
  <c r="I129" i="71" s="1"/>
  <c r="I133" i="71" s="1"/>
  <c r="E415" i="64" s="1"/>
  <c r="G415" i="64" s="1"/>
  <c r="I135" i="26"/>
  <c r="I125" i="26"/>
  <c r="I129" i="26" s="1"/>
  <c r="I133" i="26" s="1"/>
  <c r="I135" i="22"/>
  <c r="I125" i="23"/>
  <c r="I129" i="23" s="1"/>
  <c r="I133" i="23" s="1"/>
  <c r="E170" i="64" l="1"/>
  <c r="G170" i="64" s="1"/>
  <c r="I135" i="24"/>
  <c r="I125" i="24"/>
  <c r="I129" i="24" s="1"/>
  <c r="I133" i="24" s="1"/>
  <c r="E100" i="64" s="1"/>
  <c r="G100" i="64" s="1"/>
  <c r="I135" i="18"/>
  <c r="I125" i="18"/>
  <c r="I129" i="18" s="1"/>
  <c r="I133" i="18" s="1"/>
  <c r="E60" i="64" s="1"/>
  <c r="G60" i="64" s="1"/>
  <c r="I135" i="20"/>
  <c r="I125" i="20"/>
  <c r="I129" i="20" s="1"/>
  <c r="I133" i="20" s="1"/>
  <c r="E72" i="64" s="1"/>
  <c r="G72" i="64" s="1"/>
  <c r="I125" i="36"/>
  <c r="I129" i="36" s="1"/>
  <c r="I133" i="36" s="1"/>
  <c r="I135" i="31"/>
  <c r="I125" i="31"/>
  <c r="I129" i="31" s="1"/>
  <c r="I133" i="31" s="1"/>
  <c r="E142" i="64" s="1"/>
  <c r="G142" i="64" s="1"/>
  <c r="I122" i="60"/>
  <c r="E90" i="64"/>
  <c r="G90" i="64" s="1"/>
  <c r="E80" i="64"/>
  <c r="G80" i="64" s="1"/>
  <c r="E117" i="64"/>
  <c r="G117" i="64" s="1"/>
  <c r="E185" i="64"/>
  <c r="G185" i="64" s="1"/>
  <c r="E193" i="64" l="1"/>
  <c r="G193" i="64" s="1"/>
  <c r="I207" i="60" l="1"/>
  <c r="H123" i="7"/>
  <c r="I123" i="7" l="1"/>
  <c r="I125" i="7" l="1"/>
  <c r="I135" i="7"/>
  <c r="I129" i="7" l="1"/>
  <c r="I133" i="7" l="1"/>
  <c r="E5" i="64" l="1"/>
  <c r="G5" i="64"/>
  <c r="I109" i="16" l="1"/>
  <c r="E194" i="60"/>
  <c r="E195" i="60"/>
  <c r="I110" i="16"/>
  <c r="I195" i="60" s="1"/>
  <c r="E196" i="60"/>
  <c r="I111" i="16"/>
  <c r="I196" i="60" s="1"/>
  <c r="I112" i="16" l="1"/>
  <c r="I116" i="16" s="1"/>
  <c r="I194" i="60"/>
  <c r="I197" i="60" s="1"/>
  <c r="I118" i="16" l="1"/>
  <c r="I117" i="60"/>
  <c r="I202" i="60"/>
  <c r="I213" i="60" l="1"/>
  <c r="I119" i="60"/>
  <c r="H209" i="60"/>
  <c r="H123" i="16"/>
  <c r="I204" i="60"/>
  <c r="H124" i="60" l="1"/>
  <c r="I123" i="16"/>
  <c r="I135" i="16" l="1"/>
  <c r="I221" i="60" s="1"/>
  <c r="I124" i="60"/>
  <c r="I209" i="60"/>
  <c r="I125" i="16"/>
  <c r="I126" i="60" s="1"/>
  <c r="I129" i="16" l="1"/>
  <c r="I211" i="60"/>
  <c r="I215" i="60" s="1"/>
  <c r="I133" i="16" l="1"/>
  <c r="I134" i="60" s="1"/>
  <c r="I130" i="60"/>
  <c r="I219" i="60"/>
  <c r="E37" i="64"/>
  <c r="E468" i="64" l="1"/>
  <c r="G37" i="64"/>
  <c r="G461" i="64" s="1"/>
  <c r="E461" i="64"/>
  <c r="G468" i="64" l="1"/>
  <c r="G490" i="64" s="1"/>
  <c r="G491" i="64" s="1"/>
  <c r="E490" i="64"/>
  <c r="E491" i="64" s="1"/>
  <c r="G462" i="64"/>
</calcChain>
</file>

<file path=xl/sharedStrings.xml><?xml version="1.0" encoding="utf-8"?>
<sst xmlns="http://schemas.openxmlformats.org/spreadsheetml/2006/main" count="17454" uniqueCount="646">
  <si>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</si>
  <si>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</si>
  <si>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</si>
  <si>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</si>
  <si>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</si>
  <si>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</si>
  <si>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</si>
  <si>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</si>
  <si>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</si>
  <si>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</si>
  <si>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</si>
  <si>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</si>
  <si>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</si>
  <si>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</si>
  <si>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</si>
  <si>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</si>
  <si>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</si>
  <si>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</si>
  <si>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</si>
  <si>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</si>
  <si>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</si>
  <si>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</si>
  <si>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</si>
  <si>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</si>
  <si>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</si>
  <si>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</si>
  <si>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</si>
  <si>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</si>
  <si>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</si>
  <si>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</si>
  <si>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</si>
  <si>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</si>
  <si>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</si>
  <si>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</si>
  <si>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</si>
  <si>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</si>
  <si>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</si>
  <si>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</si>
  <si>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</si>
  <si>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</si>
  <si>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</si>
  <si>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</si>
  <si>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</si>
  <si>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</si>
  <si>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</si>
  <si>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</si>
  <si>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</si>
  <si>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</si>
  <si>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</si>
  <si>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</si>
  <si>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(b) District allocations multiplied by percentage from item 3A.</t>
  </si>
  <si>
    <t>(c) District allocations multiplied by percentage from item 3B.</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</si>
  <si>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</si>
  <si>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</si>
  <si>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</si>
  <si>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</si>
  <si>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</si>
  <si>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</si>
  <si>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</si>
  <si>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</si>
  <si>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</si>
  <si>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</si>
  <si>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</si>
  <si>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</si>
  <si>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</si>
  <si>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</si>
  <si>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</si>
  <si>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4.   Supplemental Academic Instruction (UFTE share)</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</si>
  <si>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</si>
  <si>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</si>
  <si>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</si>
  <si>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</si>
  <si>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</si>
  <si>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</si>
  <si>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</si>
  <si>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</si>
  <si>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Dual Enrollment Instructional Materials Allocation</t>
  </si>
  <si>
    <t>(g)</t>
  </si>
  <si>
    <t>Charter schools should contact their school district sponsor regarding eligibility and distribution of ESE Applications funds.</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</si>
  <si>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</si>
  <si>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</si>
  <si>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</si>
  <si>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</si>
  <si>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</si>
  <si>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</si>
  <si>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</si>
  <si>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</si>
  <si>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</si>
  <si>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</si>
  <si>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</si>
  <si>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</si>
  <si>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</si>
  <si>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</si>
  <si>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</si>
  <si>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</si>
  <si>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</si>
  <si>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</si>
  <si>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</si>
  <si>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</si>
  <si>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</si>
  <si>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</si>
  <si>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</si>
  <si>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</si>
  <si>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</si>
  <si>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</si>
  <si>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                    District's Total UFTE</t>
  </si>
  <si>
    <t>3A.   Divide school's Unweighted FTE (UFTE) total computed in Section 1, cell E28 above by the district's total UFTE to obtain school's</t>
  </si>
  <si>
    <t>3B.   Divide school's Weighted FTE (WFTE) total computed in Section 1, cell E41 above by the district's total WFTE to obtain school's</t>
  </si>
  <si>
    <t xml:space="preserve">          WFTE share.              Charter School WFTE: </t>
  </si>
  <si>
    <t xml:space="preserve">    ÷                    District's Total WFTE</t>
  </si>
  <si>
    <t xml:space="preserve">        .748 Mills (UFTE share)</t>
  </si>
  <si>
    <t>ESE Applications Allocation</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</si>
  <si>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</si>
  <si>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</si>
  <si>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</si>
  <si>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</si>
  <si>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</si>
  <si>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</si>
  <si>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</si>
  <si>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r>
      <rPr>
        <b/>
        <sz val="12"/>
        <rFont val="Calibri"/>
        <family val="2"/>
      </rPr>
      <t xml:space="preserve">  X   </t>
    </r>
    <r>
      <rPr>
        <b/>
        <u/>
        <sz val="12"/>
        <rFont val="Calibri"/>
        <family val="2"/>
      </rPr>
      <t>DCD</t>
    </r>
    <r>
      <rPr>
        <b/>
        <sz val="12"/>
        <rFont val="Calibri"/>
        <family val="2"/>
      </rPr>
      <t xml:space="preserve">   X</t>
    </r>
  </si>
  <si>
    <t>Average</t>
  </si>
  <si>
    <t>Impact Aide</t>
  </si>
  <si>
    <t>Exempt Property</t>
  </si>
  <si>
    <t>Revenue Estimate Worksheet: Academy for Positive Learning - 0664</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</si>
  <si>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</si>
  <si>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</si>
  <si>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</si>
  <si>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</si>
  <si>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</si>
  <si>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</si>
  <si>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</si>
  <si>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</si>
  <si>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</si>
  <si>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</si>
  <si>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</si>
  <si>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</si>
  <si>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</si>
  <si>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</si>
  <si>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</si>
  <si>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</si>
  <si>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</si>
  <si>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</si>
  <si>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</si>
  <si>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</si>
  <si>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</si>
  <si>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</si>
  <si>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</si>
  <si>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</si>
  <si>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</si>
  <si>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</si>
  <si>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</si>
  <si>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</si>
  <si>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</si>
  <si>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</si>
  <si>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</si>
  <si>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</si>
  <si>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</si>
  <si>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</si>
  <si>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</si>
  <si>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</si>
  <si>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</si>
  <si>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</si>
  <si>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</si>
  <si>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</si>
  <si>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</si>
  <si>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</si>
  <si>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</si>
  <si>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</si>
  <si>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</si>
  <si>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</si>
  <si>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</si>
  <si>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 xml:space="preserve">          UFTE share.          Charter School UFTE: </t>
  </si>
  <si>
    <t>School #</t>
  </si>
  <si>
    <t>Description</t>
  </si>
  <si>
    <t>0664</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</si>
  <si>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</si>
  <si>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</si>
  <si>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</si>
  <si>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</si>
  <si>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</si>
  <si>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</si>
  <si>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</si>
  <si>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</si>
  <si>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</si>
  <si>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</si>
  <si>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</si>
  <si>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</si>
  <si>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</si>
  <si>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</si>
  <si>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</si>
  <si>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</si>
  <si>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</si>
  <si>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</si>
  <si>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</si>
  <si>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</si>
  <si>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</si>
  <si>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</si>
  <si>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</si>
  <si>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</si>
  <si>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</si>
  <si>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</si>
  <si>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</si>
  <si>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</si>
  <si>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</si>
  <si>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</si>
  <si>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</si>
  <si>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Academy for Positive Learning</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</si>
  <si>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</si>
  <si>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</si>
  <si>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</si>
  <si>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</si>
  <si>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</si>
  <si>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</si>
  <si>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</si>
  <si>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</si>
  <si>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</si>
  <si>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</si>
  <si>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</si>
  <si>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</si>
  <si>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</si>
  <si>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</si>
  <si>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</si>
  <si>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</si>
  <si>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</si>
  <si>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</si>
  <si>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</si>
  <si>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</si>
  <si>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</si>
  <si>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</si>
  <si>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</si>
  <si>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</si>
  <si>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</si>
  <si>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</si>
  <si>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</si>
  <si>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</si>
  <si>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</si>
  <si>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</si>
  <si>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</si>
  <si>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</si>
  <si>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</si>
  <si>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</si>
  <si>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</si>
  <si>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</si>
  <si>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</si>
  <si>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</si>
  <si>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</si>
  <si>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</si>
  <si>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</si>
  <si>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</si>
  <si>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</si>
  <si>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</si>
  <si>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</si>
  <si>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</si>
  <si>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</si>
  <si>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WPB-xxxxxx</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</si>
  <si>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</si>
  <si>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</si>
  <si>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</si>
  <si>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</si>
  <si>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</si>
  <si>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</si>
  <si>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</si>
  <si>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</si>
  <si>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</si>
  <si>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</si>
  <si>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</si>
  <si>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</si>
  <si>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</si>
  <si>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</si>
  <si>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</si>
  <si>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</si>
  <si>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</si>
  <si>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</si>
  <si>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</si>
  <si>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</si>
  <si>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</si>
  <si>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</si>
  <si>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</si>
  <si>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</si>
  <si>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 xml:space="preserve">graduation under the dual enrollment program as provided in s. 1011.62(l)(i), F.S.  </t>
  </si>
  <si>
    <t>(g) Numbers entered here will be multiplied by the district level transportation funding per rider. "All Adjusted Fundable Riders" should include both basic and ESE Riders.</t>
  </si>
  <si>
    <t>"All Adjusted ESE Riders" should include only ESE Riders.</t>
  </si>
  <si>
    <t xml:space="preserve">(h) The Federally Connected Student Supplement provides additional funding for students on federal lands that receive Section 8003 impact aide pursuant to s. 1011.62(13), F.S. </t>
  </si>
  <si>
    <t xml:space="preserve">before September 1 of each year whose full-time or job-share responsibility is the classroom instruction of students in prekindergarten through grade 12, including </t>
  </si>
  <si>
    <t>full-time media specialists and certified school counselors serving students in prekindergarten through grade 12, who are funded through the FEFP.</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</si>
  <si>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</si>
  <si>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</si>
  <si>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</si>
  <si>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</si>
  <si>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</si>
  <si>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</si>
  <si>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</si>
  <si>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</si>
  <si>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</si>
  <si>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</si>
  <si>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</si>
  <si>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</si>
  <si>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</si>
  <si>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</si>
  <si>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</si>
  <si>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</si>
  <si>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</si>
  <si>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</si>
  <si>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</si>
  <si>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</si>
  <si>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</si>
  <si>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</si>
  <si>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</si>
  <si>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</si>
  <si>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</si>
  <si>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</si>
  <si>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(i) Teacher Classroom Supply Assistance Program allocation pursuant to s. 1012.71, F.S., for certified teachers employed by a public school district or public charter school</t>
  </si>
  <si>
    <t xml:space="preserve">(j) Funding based on student eligibility and meals provided, if participating in the National School Lunch Program. </t>
  </si>
  <si>
    <t>(k) Consistent with s. 1002.33(20)(a), F.S., for charter schools with a population of 75% or more ESE students, the administrative fee shall be calculated based on</t>
  </si>
  <si>
    <t>PY Class Size Cat.</t>
  </si>
  <si>
    <t>Revenue</t>
  </si>
  <si>
    <t>MS Course Recovery</t>
  </si>
  <si>
    <t>Feb 2018</t>
  </si>
  <si>
    <t>K-12 Initiative Grant</t>
  </si>
  <si>
    <t>(e)</t>
  </si>
  <si>
    <t>(i)</t>
  </si>
  <si>
    <t>(d) The Digital Classroom Allocation is provided pursuant to s. 1011.62(12), F.S.</t>
  </si>
  <si>
    <t xml:space="preserve">Education (CAPE), Early High School Graduation and the small district ESE Supplement, pursuant to s. 1011.62(1)(l-p), F.S. </t>
  </si>
  <si>
    <t>(e) School districts are required to pay for instructional materials used for the instruction of public high school students who are earning credit toward high school</t>
  </si>
  <si>
    <t>funding for which charter students may be eligible.  To calculate the administrative fee to be withheld for schools with more than 250 students, divide the school</t>
  </si>
  <si>
    <t xml:space="preserve">population into 250. Multiply that fraction times the funds available, then times 5%.  </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</si>
  <si>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</si>
  <si>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</si>
  <si>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</si>
  <si>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</si>
  <si>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</si>
  <si>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</si>
  <si>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</si>
  <si>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</si>
  <si>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</si>
  <si>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</si>
  <si>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</si>
  <si>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</si>
  <si>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</si>
  <si>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</si>
  <si>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</si>
  <si>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</si>
  <si>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</si>
  <si>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</si>
  <si>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</si>
  <si>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</si>
  <si>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</si>
  <si>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</si>
  <si>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</si>
  <si>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</si>
  <si>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</si>
  <si>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</si>
  <si>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</si>
  <si>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</si>
  <si>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</si>
  <si>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</si>
  <si>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</si>
  <si>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</si>
  <si>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14.  Proration to Funds Available (WFTE share)</t>
  </si>
  <si>
    <t>PY Safe Schl Alloc</t>
  </si>
  <si>
    <t>WPB-229862</t>
  </si>
  <si>
    <t>WPB-229839</t>
  </si>
  <si>
    <t>SWA Fees</t>
  </si>
  <si>
    <t>FL AG - FY20</t>
  </si>
  <si>
    <t>FY21 TSIA</t>
  </si>
  <si>
    <t>(f) This allocation will be frozen as of the 2021-22 FEFP Second Calculation and will not be recalculated throughout the year. Charter school allocations should be</t>
  </si>
  <si>
    <t xml:space="preserve">distributed on weighted FTE (or base funding as is done in the FEFP) and should not be recalculated with fluctuations in student enrollment later in the year. </t>
  </si>
  <si>
    <t>WPB-241201</t>
  </si>
  <si>
    <t>WPB-242548</t>
  </si>
  <si>
    <t>WPB-242343</t>
  </si>
  <si>
    <t>FY21 CSTAG Training</t>
  </si>
  <si>
    <t>TSIA deducted 07/21</t>
  </si>
  <si>
    <t>Unused FY21 TSIA Funds</t>
  </si>
  <si>
    <t>Unused FY21 TSIA add'l adj</t>
  </si>
  <si>
    <t>WPB-245543</t>
  </si>
  <si>
    <t>WPB-245095</t>
  </si>
  <si>
    <t>WPB-248085</t>
  </si>
  <si>
    <t>WPB-248086</t>
  </si>
  <si>
    <t>WPB-248087</t>
  </si>
  <si>
    <t>Ends June 2022</t>
  </si>
  <si>
    <t>Ends May 2022</t>
  </si>
  <si>
    <t>18.  Student Transportation</t>
  </si>
  <si>
    <t>21.  Food Service Allocation</t>
  </si>
  <si>
    <t>WPB-249234</t>
  </si>
  <si>
    <t>WPB-249895</t>
  </si>
  <si>
    <t>TSIA deducted 02/22</t>
  </si>
  <si>
    <t>6.   Safe Schools Allocation (UFTE share)</t>
  </si>
  <si>
    <t>7.   Instructional Materials Allocation (UFTE share)</t>
  </si>
  <si>
    <t>8.    Mental Health Assistance Allocation (UFTE share)</t>
  </si>
  <si>
    <t>9.  Total Funds Compression Allocation (UFTE share)</t>
  </si>
  <si>
    <t>10.  Sparsity Supplement (WFTE share)</t>
  </si>
  <si>
    <t>11.  Reading Allocation (WFTE share)</t>
  </si>
  <si>
    <t>12.  Discretionary Local Effort (WFTE share)</t>
  </si>
  <si>
    <t>13. Teacher Salary Increase Allocation Funds:</t>
  </si>
  <si>
    <t>Maintenance Portion (WFTE share)</t>
  </si>
  <si>
    <t>(c) (e)</t>
  </si>
  <si>
    <t>Growth Portion (WFTE share)</t>
  </si>
  <si>
    <t>Total TSIA Allocation (Maintenance + Growth)</t>
  </si>
  <si>
    <t>15.  Class Size Reduction Funds:</t>
  </si>
  <si>
    <t>16.  Student Transportation</t>
  </si>
  <si>
    <t>17.  Federally Connected Student Supplement</t>
  </si>
  <si>
    <t>18.  Florida Teachers Classroom Supply Assistance Program</t>
  </si>
  <si>
    <t>19.  Food Service Allocation</t>
  </si>
  <si>
    <t>Revenue Estimate Worksheet: Somerset Academy Wellington HS - 4131</t>
  </si>
  <si>
    <t>4131</t>
  </si>
  <si>
    <t>Somerset Academy Wellington HS</t>
  </si>
  <si>
    <t>WPB-254137</t>
  </si>
  <si>
    <t>WPB-255421</t>
  </si>
  <si>
    <t>Palm Beach Maritime Academy Secondary</t>
  </si>
  <si>
    <t>Palm Beach Maritime Academy Elementary</t>
  </si>
  <si>
    <t>WPB-255860</t>
  </si>
  <si>
    <t>WPB-256551</t>
  </si>
  <si>
    <t>Oct 2022</t>
  </si>
  <si>
    <t>Feb 2023</t>
  </si>
  <si>
    <t>20a.  Funding for the purpose of calculating the administrative fee for ESE charter schools.</t>
  </si>
  <si>
    <t>20.  Total Less TSIA (for administrative fee calculation)</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</si>
  <si>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</si>
  <si>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</si>
  <si>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</si>
  <si>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</si>
  <si>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WPB-260215</t>
  </si>
  <si>
    <t>WPB-262457</t>
  </si>
  <si>
    <t>WPB-263848</t>
  </si>
  <si>
    <t>WPB-264048</t>
  </si>
  <si>
    <t>WPB-264049</t>
  </si>
  <si>
    <t>WPB-265762</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</si>
  <si>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</si>
  <si>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</si>
  <si>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</si>
  <si>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</si>
  <si>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</si>
  <si>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</si>
  <si>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</si>
  <si>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</si>
  <si>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</si>
  <si>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</si>
  <si>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</si>
  <si>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</si>
  <si>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</si>
  <si>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</si>
  <si>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</si>
  <si>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</si>
  <si>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</si>
  <si>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</si>
  <si>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</si>
  <si>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Based on the FLDOE 2023-24 FEFP Conference Calculation</t>
  </si>
  <si>
    <t>July 2023</t>
  </si>
  <si>
    <t>2023-24</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</si>
  <si>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</si>
  <si>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</si>
  <si>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</si>
  <si>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</si>
  <si>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</si>
  <si>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</si>
  <si>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</si>
  <si>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</si>
  <si>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Maintenance Portion (4.52% of Base Funding)</t>
  </si>
  <si>
    <t>(g) (k)</t>
  </si>
  <si>
    <t>Growth Portion (1.41% of Base Funding)</t>
  </si>
  <si>
    <t>Total Salary Increase</t>
  </si>
  <si>
    <t>2A.   Divide school's Unweighted FTE (UFTE) total computed in Section 1, cell E30 above by the district's total UFTE to obtain school's</t>
  </si>
  <si>
    <t>2B.   Divide school's Weighted FTE (WFTE) total computed in Section 1, cell H30 above by the district's total WFTE to obtain school's</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</si>
  <si>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</si>
  <si>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</si>
  <si>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</si>
  <si>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</si>
  <si>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</si>
  <si>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</si>
  <si>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</si>
  <si>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</si>
  <si>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</si>
  <si>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</si>
  <si>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</si>
  <si>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2E.   Divide school's Unweighted FTE (UFTE) total computed in Section 1, cell E30 above by the district's total non-scholarship/virtual UFTE to obtain </t>
  </si>
  <si>
    <t>2C.   Divide school's Unweighted FTE (UFTE) total computed in Section 1, cell E30 above by the District's total non-scholarship UFTE to obtain school's</t>
  </si>
  <si>
    <t>2D.   Divide school's Unweighted FTE (UFTE) total computed in Section 1, cell E30 above by the District's total non-virtual UFTE to obtain school's</t>
  </si>
  <si>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</si>
  <si>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</si>
  <si>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</si>
  <si>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</si>
  <si>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</si>
  <si>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</si>
  <si>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2A.   Divide school's Unweighted FTE (UFTE) total computed in Section 1, cell E30 above by the District's total UFTE to obtain</t>
  </si>
  <si>
    <t>2B.   Divide school's Weighted FTE (WFTE) total computed in Section 1, cell H30 above by the District's total WFTE to obtain</t>
  </si>
  <si>
    <t>2C.   Divide school's Unweighted FTE (UFTE) total computed in Section 1, cell E30 above by the District's total non-scholarship UFTE to obtain</t>
  </si>
  <si>
    <t>2D.   Divide school's Unweighted FTE (UFTE) total computed in Section 1, cell E30 above by the District's total non-virtual UFTE to obtain</t>
  </si>
  <si>
    <t>2E.   Divide school's Unweighted FTE (UFTE) total computed in Section 1, cell E30 above by the District's total non-scholarship/virtual UFTE to</t>
  </si>
  <si>
    <t>/ Dist total non-scholarship/virtual UFTE:</t>
  </si>
  <si>
    <t>3.   Educational Enrichment Share (Non-virtual UFTE share)</t>
  </si>
  <si>
    <t>4.   Discretionary Millage Compression Allocation</t>
  </si>
  <si>
    <t>4.   Discretionary Millage Compression Allocation (UFTE share)</t>
  </si>
  <si>
    <t>5.   Safe Schools Allocation (Non-scholarship/virtual UFTE share)</t>
  </si>
  <si>
    <t>(f)</t>
  </si>
  <si>
    <r>
      <t xml:space="preserve">6.   </t>
    </r>
    <r>
      <rPr>
        <b/>
        <sz val="11"/>
        <rFont val="Calibri"/>
        <family val="2"/>
        <scheme val="minor"/>
      </rPr>
      <t>Mental Health Assistance Allocation (Non-scholarship UFTE share)</t>
    </r>
  </si>
  <si>
    <t>7.   ESE Guaranteed  Allocation</t>
  </si>
  <si>
    <t>(m)</t>
  </si>
  <si>
    <t>Program 111, 112 and 113 UFTE</t>
  </si>
  <si>
    <t>ESE Guaranteed FTE</t>
  </si>
  <si>
    <t>Less Program 113 Gifted UFTE</t>
  </si>
  <si>
    <t>Allocation Factor</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</si>
  <si>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</si>
  <si>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</si>
  <si>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</si>
  <si>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</si>
  <si>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</si>
  <si>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</si>
  <si>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</si>
  <si>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</si>
  <si>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</si>
  <si>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</si>
  <si>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</si>
  <si>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20. Total Less Total Salary Increase - Item 1B. (for administrative fee calculation)</t>
  </si>
  <si>
    <t>1A.   2023-24 FEFP State and Local Funding</t>
  </si>
  <si>
    <t>14. Total Less Total Salary Increase - Item 1B. (for administrative fee calculation)</t>
  </si>
  <si>
    <t>14A.  Funding for the purpose of calculating the administrative fee for ESE charter schools.</t>
  </si>
  <si>
    <r>
      <rPr>
        <b/>
        <sz val="10"/>
        <color indexed="12"/>
        <rFont val="Calibri"/>
        <family val="2"/>
      </rPr>
      <t xml:space="preserve">July 2023 - </t>
    </r>
    <r>
      <rPr>
        <b/>
        <sz val="10"/>
        <rFont val="Calibri"/>
        <family val="2"/>
      </rPr>
      <t xml:space="preserve">FY </t>
    </r>
    <r>
      <rPr>
        <b/>
        <sz val="10"/>
        <color indexed="12"/>
        <rFont val="Calibri"/>
        <family val="2"/>
      </rPr>
      <t xml:space="preserve">2024 </t>
    </r>
    <r>
      <rPr>
        <b/>
        <sz val="10"/>
        <rFont val="Calibri"/>
        <family val="2"/>
      </rPr>
      <t>Charter School FTE Payment</t>
    </r>
  </si>
  <si>
    <t>FTE JUL 23</t>
  </si>
  <si>
    <t>Avaya Maintenance</t>
  </si>
  <si>
    <t>WPB-268128</t>
  </si>
  <si>
    <t>WPB-268354</t>
  </si>
  <si>
    <t>WPB-268356</t>
  </si>
  <si>
    <t>WPB-267569</t>
  </si>
  <si>
    <t>1. The July 2023 FEFP payments are calculated based on the FLDOE's 2023-24 FEFP Conference Calculation.</t>
  </si>
  <si>
    <t>2. The FLDOE has released the Reallocation and Restoration Calculations for 2022-23 Class Size Operating</t>
  </si>
  <si>
    <t>information from the FLDOE has been uploaded to the District's Charter School Fiscal Oversight web page.</t>
  </si>
  <si>
    <t xml:space="preserve">Categorical. The amount due to/(from) each school is noted above as "PY Class Size Cat." Detailed </t>
  </si>
  <si>
    <t>and changes in the FLDOE revenue calculation worksheets. Therefore, instead of comparing the July 2023</t>
  </si>
  <si>
    <t>FEFP payment amount to June 2023 FEFP payment amount, a charter school should compare the total FY24</t>
  </si>
  <si>
    <t>total estimated revenue based on the 2023-24 FEFP Conference Calculation to the total FY23 actual annual</t>
  </si>
  <si>
    <t xml:space="preserve">revenue - or, if preferred, average FY24 estimated monthly payments to average FY23 actual monthly </t>
  </si>
  <si>
    <t>payments.</t>
  </si>
  <si>
    <t>Please see the next two tabs named "Chg in Pmts" and "FEFP - 23 vs 24".</t>
  </si>
  <si>
    <t>3. Throughout a fiscal year, a charter school's monthly FEFP payments fluctuate due to changes in FTE counts</t>
  </si>
  <si>
    <t>Somerset Wellington HS</t>
  </si>
  <si>
    <t>Sports Leadership Arts Mgmt (SLAM) - Boca</t>
  </si>
  <si>
    <t>Connections Education Center of the PB's</t>
  </si>
  <si>
    <t>Franklin Academy D</t>
  </si>
  <si>
    <t>Franklin Academy B</t>
  </si>
  <si>
    <t>Gulfstream Goodwill Transition to Life Academy</t>
  </si>
  <si>
    <t>The Learning Academy</t>
  </si>
  <si>
    <t>The Learning Center</t>
  </si>
  <si>
    <t>Inc/(Dec)</t>
  </si>
  <si>
    <t>Avg FY23 Pmt</t>
  </si>
  <si>
    <t>Avg FY24 Pmt</t>
  </si>
  <si>
    <t>Jun 2023 Pmt</t>
  </si>
  <si>
    <t>Jul 2023 Pmt</t>
  </si>
  <si>
    <t>Dept</t>
  </si>
  <si>
    <t>Comparison of Current Month and Prior Month FEFP Pmt Amts</t>
  </si>
  <si>
    <t>Charter School FEFP Revenue Calculations</t>
  </si>
  <si>
    <t>FY24 vs FY23</t>
  </si>
  <si>
    <t>0664 - Academy for Positive Learning</t>
  </si>
  <si>
    <t>1461 - Inlet Grove Community HS</t>
  </si>
  <si>
    <t>1571 - South Tech Charter Academy</t>
  </si>
  <si>
    <t>2521 - Ed Venture</t>
  </si>
  <si>
    <t>2531 - Potentials CS</t>
  </si>
  <si>
    <t>2791 - Learn Center at ELS Cntr of Excell</t>
  </si>
  <si>
    <t>2801 - Palm Beach Maritime Acdmy Elem</t>
  </si>
  <si>
    <t>2911 - Western Academy CS</t>
  </si>
  <si>
    <t>2941 - Palm Beach School for Autism</t>
  </si>
  <si>
    <t>3083 - Learning Acdmy at ELS Cntr of Excell</t>
  </si>
  <si>
    <t>3345 - Career Acdmy of the Palm Beaches</t>
  </si>
  <si>
    <t>3381 - Imagine Schools - Chancellor Campus</t>
  </si>
  <si>
    <t>3382 - Glades Academy</t>
  </si>
  <si>
    <t>3391 - Seagull Acdmy for Indepndnt Living</t>
  </si>
  <si>
    <t xml:space="preserve">3394 - Montessori Acdmy Early Enrichmnt </t>
  </si>
  <si>
    <t>3395 - Somerset Academy JFK CS</t>
  </si>
  <si>
    <t xml:space="preserve">3396 - G-Star School of the Arts </t>
  </si>
  <si>
    <t>3398 - Everglades Preparatory Academy</t>
  </si>
  <si>
    <t>3400 - Believers Academy</t>
  </si>
  <si>
    <t>3401 - Quantum High School</t>
  </si>
  <si>
    <t>3413 - Somerset Academy Boca</t>
  </si>
  <si>
    <t>3421 - Worthington High School</t>
  </si>
  <si>
    <t>3431 - Renaissance CS at WPB</t>
  </si>
  <si>
    <t>3441 - South Tech Prep Academy</t>
  </si>
  <si>
    <t>3924 - Palm Beach Maritime Acdmy Scndry</t>
  </si>
  <si>
    <t>3941 - Ben Gamla Charter School</t>
  </si>
  <si>
    <t>3961 - Gardens School of Technology Arts</t>
  </si>
  <si>
    <t>3971 - P B Preparatory Charter Academy</t>
  </si>
  <si>
    <t>4001 - Renaissance CS at Wellington</t>
  </si>
  <si>
    <t xml:space="preserve">4002 - Renaissance CS at Summit </t>
  </si>
  <si>
    <t>4012 - Somerset Acdmy Canyons MS</t>
  </si>
  <si>
    <t>4013 - Somerset Acdmy Canyons HS</t>
  </si>
  <si>
    <t>4020 - Franklin Academy - Boynton Beach</t>
  </si>
  <si>
    <t>4030 - Olympus International Academy</t>
  </si>
  <si>
    <t>4031 - Somerset Acdmy Wellington MS</t>
  </si>
  <si>
    <t>4041 - Somerset Acdmy Boca MS</t>
  </si>
  <si>
    <t>4050 - Renaissance CS at Cypress</t>
  </si>
  <si>
    <t>4051 - Renaissance CS at Central Palm</t>
  </si>
  <si>
    <t>4061 - Franklin Academy - PBG</t>
  </si>
  <si>
    <t>4080 - University Preparatory Acdmy</t>
  </si>
  <si>
    <t>4081 - Florida Futures Acdmy - N Campus</t>
  </si>
  <si>
    <t>4090 - Sports Leadership Academy (SLAM)</t>
  </si>
  <si>
    <t>4091 - Somerset Academy Lakes</t>
  </si>
  <si>
    <t>4100 - Connection Edu Center of the PBs</t>
  </si>
  <si>
    <t>4102 - BridgrPrep Acdmy of PB</t>
  </si>
  <si>
    <t>4103 - SLAM Boca</t>
  </si>
  <si>
    <t>4111 - SLAM Academy HS</t>
  </si>
  <si>
    <t>4131 - Somerset Acdmy Wellington HS</t>
  </si>
  <si>
    <t>FY23 Annual</t>
  </si>
  <si>
    <t>FY24 Annual</t>
  </si>
  <si>
    <t xml:space="preserve">  1A.</t>
  </si>
  <si>
    <t>FEFP State and Local Funding</t>
  </si>
  <si>
    <t xml:space="preserve">  1B.</t>
  </si>
  <si>
    <t>Classroom Teacher &amp; Other Instructional Personnel Salary Increase</t>
  </si>
  <si>
    <t xml:space="preserve">    3.</t>
  </si>
  <si>
    <t>Educational Enrichment Share (Non-virtual UFTE share)</t>
  </si>
  <si>
    <t xml:space="preserve">    4.</t>
  </si>
  <si>
    <t>Discretionary Millage Compression Allocation</t>
  </si>
  <si>
    <t xml:space="preserve">    5.</t>
  </si>
  <si>
    <t>Safe Schools Allocation (Non-scholarship/virtual UFTE share)</t>
  </si>
  <si>
    <t xml:space="preserve">    6.</t>
  </si>
  <si>
    <t>Mental Health Assistance Allocation (Non-scholarship UFTE share)</t>
  </si>
  <si>
    <t xml:space="preserve">    7.</t>
  </si>
  <si>
    <t>ESE Guaranteed  Allocation</t>
  </si>
  <si>
    <t xml:space="preserve">    8.</t>
  </si>
  <si>
    <t>Discretionary Local Effort (WFTE share)</t>
  </si>
  <si>
    <t xml:space="preserve">    9.</t>
  </si>
  <si>
    <t>Proration to Funds Available (WFTE share)</t>
  </si>
  <si>
    <t xml:space="preserve">  10.</t>
  </si>
  <si>
    <t>Class Size Reduction Funds:</t>
  </si>
  <si>
    <t xml:space="preserve">  11.</t>
  </si>
  <si>
    <t>Student Transportation</t>
  </si>
  <si>
    <t xml:space="preserve">Fundable Riders  </t>
  </si>
  <si>
    <t>ESE Riders</t>
  </si>
  <si>
    <t>Instructional Materials Allocation (UFTE share)</t>
  </si>
  <si>
    <t>Reading Allocation (WFTE share)</t>
  </si>
  <si>
    <t xml:space="preserve">  14.</t>
  </si>
  <si>
    <t>Total Less Total Salary Increase - Item 1B. (for admin fee calculation)</t>
  </si>
  <si>
    <t>14A.</t>
  </si>
  <si>
    <t>Funding for calculating the admin fee for ESE charter schools.</t>
  </si>
  <si>
    <t>Total annual net revenue</t>
  </si>
  <si>
    <t>254 ESE Level 4 (Grade Level PK-3)</t>
  </si>
  <si>
    <t>254 ESE Level 4 (Grade Level 4-8)</t>
  </si>
  <si>
    <t>254 ESE Level 4 (Grade Level 9-12)</t>
  </si>
  <si>
    <t>255 ESE Level 5 (Grade Level PK-3)</t>
  </si>
  <si>
    <t>255 ESE Level 5 (Grade Level 4-8)</t>
  </si>
  <si>
    <t>255 ESE Level 5 (Grade Level 9-12)</t>
  </si>
  <si>
    <t>130 ESOL (Grade Level PK-3)</t>
  </si>
  <si>
    <t>130 ESOL (Grade Level 4-8)</t>
  </si>
  <si>
    <t>130 ESOL (Grade Level 9-12)</t>
  </si>
  <si>
    <t>300 Career Education (Grades 9-12)</t>
  </si>
  <si>
    <t>ESE Guaranteed Alloc</t>
  </si>
  <si>
    <t>FY23</t>
  </si>
  <si>
    <t>FY24</t>
  </si>
  <si>
    <t>PK-3</t>
  </si>
  <si>
    <t xml:space="preserve">FY24 - Total x $1,951.26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</si>
</sst>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78" formatCode="mm/dd/yy;@"/>
    <numFmt numFmtId="181" formatCode="_(* #,##0.0000_);_(* \(#,##0.0000\);_(* &quot;-&quot;??_);_(@_)"/>
    <numFmt numFmtId="182" formatCode="0000"/>
  </numFmts>
  <fonts count="46" x14ac:knownFonts="1">
    <font>
      <sz val="10"/>
      <name val="Arial"/>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8"/>
      <color rgb="FFFF0000"/>
      <name val="Calibri"/>
      <family val="2"/>
    </font>
    <font>
      <b/>
      <sz val="10"/>
      <color theme="1"/>
      <name val="Calibri"/>
      <family val="2"/>
      <scheme val="minor"/>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46">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bottom style="thin">
        <color indexed="64"/>
      </bottom>
      <diagonal/>
    </border>
    <border>
      <left style="thin">
        <color indexed="64"/>
      </left>
      <right style="thin">
        <color indexed="64"/>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right style="thin">
        <color indexed="64"/>
      </right>
      <top/>
      <bottom/>
      <diagonal/>
    </border>
    <border>
      <left/>
      <right style="hair">
        <color indexed="64"/>
      </right>
      <top style="thin">
        <color indexed="64"/>
      </top>
      <bottom style="thin">
        <color indexed="64"/>
      </bottom>
      <diagonal/>
    </border>
    <border>
      <left style="thin">
        <color indexed="64"/>
      </left>
      <right/>
      <top/>
      <bottom style="thin">
        <color indexed="64"/>
      </bottom>
      <diagonal/>
    </border>
    <border>
      <left/>
      <right style="hair">
        <color indexed="64"/>
      </right>
      <top/>
      <bottom style="thin">
        <color indexed="64"/>
      </bottom>
      <diagonal/>
    </border>
  </borders>
  <cellStyleXfs count="12">
    <xf numFmtId="0" fontId="0" fillId="0" borderId="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165" fontId="1" fillId="0" borderId="0" applyFont="0" applyFill="0" applyBorder="0" applyAlignment="0" applyProtection="0"/>
    <xf numFmtId="44" fontId="10"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0" fillId="0" borderId="0"/>
    <xf numFmtId="9" fontId="1" fillId="0" borderId="0" applyFont="0" applyFill="0" applyBorder="0" applyAlignment="0" applyProtection="0"/>
    <xf numFmtId="9" fontId="10" fillId="0" borderId="0" applyFont="0" applyFill="0" applyBorder="0" applyAlignment="0" applyProtection="0"/>
  </cellStyleXfs>
  <cellXfs count="689">
    <xf numFmtId="0" fontId="0" fillId="0" borderId="0" xfId="0"/>
    <xf numFmtId="0" fontId="11" fillId="0" borderId="0" xfId="0" quotePrefix="1" applyFont="1" applyAlignment="1">
      <alignment horizontal="left"/>
    </xf>
    <xf numFmtId="0" fontId="11" fillId="0" borderId="0" xfId="0" applyFont="1"/>
    <xf numFmtId="0" fontId="12" fillId="0" borderId="0" xfId="0" applyFont="1"/>
    <xf numFmtId="4" fontId="13" fillId="0" borderId="0" xfId="0" applyNumberFormat="1" applyFont="1"/>
    <xf numFmtId="4" fontId="13" fillId="2" borderId="0" xfId="0" applyNumberFormat="1" applyFont="1" applyFill="1"/>
    <xf numFmtId="4" fontId="13" fillId="2" borderId="0" xfId="0" applyNumberFormat="1" applyFont="1" applyFill="1" applyAlignment="1">
      <alignment horizontal="left"/>
    </xf>
    <xf numFmtId="0" fontId="14" fillId="0" borderId="0" xfId="0" applyFont="1" applyAlignment="1">
      <alignment horizontal="center"/>
    </xf>
    <xf numFmtId="7" fontId="15" fillId="0" borderId="0" xfId="0" applyNumberFormat="1" applyFont="1" applyAlignment="1">
      <alignment horizontal="center"/>
    </xf>
    <xf numFmtId="168" fontId="12" fillId="0" borderId="0" xfId="0" applyNumberFormat="1" applyFont="1" applyAlignment="1">
      <alignment wrapText="1"/>
    </xf>
    <xf numFmtId="4" fontId="12" fillId="0" borderId="0" xfId="0" applyNumberFormat="1" applyFont="1" applyAlignment="1">
      <alignment horizontal="center" wrapText="1"/>
    </xf>
    <xf numFmtId="164" fontId="12" fillId="0" borderId="0" xfId="6" applyFont="1" applyBorder="1" applyAlignment="1">
      <alignment horizontal="center" wrapText="1"/>
    </xf>
    <xf numFmtId="0" fontId="14" fillId="2" borderId="0" xfId="0" applyFont="1" applyFill="1" applyAlignment="1">
      <alignment horizontal="center"/>
    </xf>
    <xf numFmtId="7" fontId="15" fillId="2" borderId="0" xfId="0" applyNumberFormat="1" applyFont="1" applyFill="1" applyAlignment="1">
      <alignment horizontal="center"/>
    </xf>
    <xf numFmtId="168" fontId="12" fillId="2" borderId="0" xfId="0" applyNumberFormat="1" applyFont="1" applyFill="1" applyAlignment="1">
      <alignment wrapText="1"/>
    </xf>
    <xf numFmtId="4" fontId="12" fillId="2" borderId="0" xfId="0" applyNumberFormat="1" applyFont="1" applyFill="1" applyAlignment="1">
      <alignment horizontal="center" wrapText="1"/>
    </xf>
    <xf numFmtId="164" fontId="12" fillId="2" borderId="0" xfId="6" applyFont="1" applyFill="1" applyBorder="1" applyAlignment="1">
      <alignment horizontal="center" wrapText="1"/>
    </xf>
    <xf numFmtId="4" fontId="12" fillId="0" borderId="1" xfId="0" applyNumberFormat="1" applyFont="1" applyBorder="1" applyAlignment="1">
      <alignment horizontal="center" wrapText="1"/>
    </xf>
    <xf numFmtId="4" fontId="12" fillId="2" borderId="1" xfId="0" applyNumberFormat="1" applyFont="1" applyFill="1" applyBorder="1" applyAlignment="1">
      <alignment horizontal="center" wrapText="1"/>
    </xf>
    <xf numFmtId="164" fontId="16" fillId="2" borderId="1" xfId="6" applyFont="1" applyFill="1" applyBorder="1" applyAlignment="1">
      <alignment horizontal="center" wrapText="1"/>
    </xf>
    <xf numFmtId="4" fontId="12" fillId="0" borderId="1" xfId="0" quotePrefix="1" applyNumberFormat="1" applyFont="1" applyBorder="1" applyAlignment="1">
      <alignment horizontal="center"/>
    </xf>
    <xf numFmtId="164" fontId="12" fillId="0" borderId="1" xfId="6" quotePrefix="1" applyFont="1" applyBorder="1" applyAlignment="1">
      <alignment horizontal="center"/>
    </xf>
    <xf numFmtId="4" fontId="12" fillId="2" borderId="1" xfId="0" quotePrefix="1" applyNumberFormat="1" applyFont="1" applyFill="1" applyBorder="1" applyAlignment="1">
      <alignment horizontal="center"/>
    </xf>
    <xf numFmtId="164" fontId="12" fillId="2" borderId="1" xfId="6" quotePrefix="1" applyFont="1" applyFill="1" applyBorder="1" applyAlignment="1">
      <alignment horizontal="center"/>
    </xf>
    <xf numFmtId="170" fontId="12" fillId="0" borderId="0" xfId="6" applyNumberFormat="1" applyFont="1" applyBorder="1" applyAlignment="1">
      <alignment horizontal="center"/>
    </xf>
    <xf numFmtId="170" fontId="12" fillId="2" borderId="0" xfId="6" applyNumberFormat="1" applyFont="1" applyFill="1" applyBorder="1" applyAlignment="1">
      <alignment horizontal="center"/>
    </xf>
    <xf numFmtId="0" fontId="12" fillId="0" borderId="0" xfId="0" applyFont="1" applyAlignment="1">
      <alignment horizontal="right"/>
    </xf>
    <xf numFmtId="2" fontId="12" fillId="0" borderId="0" xfId="0" applyNumberFormat="1" applyFont="1" applyAlignment="1">
      <alignment horizontal="center"/>
    </xf>
    <xf numFmtId="0" fontId="12" fillId="2" borderId="0" xfId="0" applyFont="1" applyFill="1" applyAlignment="1">
      <alignment horizontal="right"/>
    </xf>
    <xf numFmtId="2" fontId="17" fillId="2" borderId="0" xfId="0" applyNumberFormat="1" applyFont="1" applyFill="1" applyAlignment="1">
      <alignment horizontal="center"/>
    </xf>
    <xf numFmtId="2" fontId="12" fillId="2" borderId="0" xfId="0" applyNumberFormat="1" applyFont="1" applyFill="1" applyAlignment="1">
      <alignment horizontal="center"/>
    </xf>
    <xf numFmtId="164" fontId="16" fillId="0" borderId="1" xfId="6" applyFont="1" applyBorder="1" applyAlignment="1">
      <alignment horizontal="center" wrapText="1"/>
    </xf>
    <xf numFmtId="169" fontId="12" fillId="0" borderId="0" xfId="0" applyNumberFormat="1" applyFont="1" applyAlignment="1">
      <alignment horizontal="right"/>
    </xf>
    <xf numFmtId="169" fontId="12" fillId="2" borderId="0" xfId="0" applyNumberFormat="1" applyFont="1" applyFill="1" applyAlignment="1">
      <alignment horizontal="right"/>
    </xf>
    <xf numFmtId="169" fontId="17" fillId="0" borderId="0" xfId="0" applyNumberFormat="1" applyFont="1" applyAlignment="1">
      <alignment horizontal="right"/>
    </xf>
    <xf numFmtId="169" fontId="17" fillId="2" borderId="0" xfId="0" applyNumberFormat="1" applyFont="1" applyFill="1" applyAlignment="1">
      <alignment horizontal="right"/>
    </xf>
    <xf numFmtId="0" fontId="12" fillId="0" borderId="1" xfId="0" applyFont="1" applyBorder="1"/>
    <xf numFmtId="0" fontId="12" fillId="0" borderId="0" xfId="0" applyFont="1" applyAlignment="1">
      <alignment horizontal="center"/>
    </xf>
    <xf numFmtId="0" fontId="12" fillId="2" borderId="0" xfId="0" applyFont="1" applyFill="1" applyAlignment="1">
      <alignment horizontal="center"/>
    </xf>
    <xf numFmtId="0" fontId="12" fillId="0" borderId="0" xfId="0" quotePrefix="1" applyFont="1" applyAlignment="1">
      <alignment horizontal="center"/>
    </xf>
    <xf numFmtId="0" fontId="12" fillId="2" borderId="0" xfId="0" quotePrefix="1" applyFont="1" applyFill="1" applyAlignment="1">
      <alignment horizontal="center"/>
    </xf>
    <xf numFmtId="4" fontId="17" fillId="2" borderId="1" xfId="0" applyNumberFormat="1" applyFont="1" applyFill="1" applyBorder="1" applyAlignment="1">
      <alignment horizontal="center"/>
    </xf>
    <xf numFmtId="0" fontId="14" fillId="0" borderId="0" xfId="0" quotePrefix="1" applyFont="1" applyAlignment="1">
      <alignment horizontal="center"/>
    </xf>
    <xf numFmtId="0" fontId="14" fillId="0" borderId="1" xfId="0" quotePrefix="1" applyFont="1" applyBorder="1" applyAlignment="1">
      <alignment horizontal="center"/>
    </xf>
    <xf numFmtId="4" fontId="12" fillId="0" borderId="0" xfId="0" quotePrefix="1" applyNumberFormat="1" applyFont="1" applyAlignment="1">
      <alignment horizontal="center"/>
    </xf>
    <xf numFmtId="4" fontId="12" fillId="2" borderId="0" xfId="0" quotePrefix="1" applyNumberFormat="1" applyFont="1" applyFill="1" applyAlignment="1">
      <alignment horizontal="center"/>
    </xf>
    <xf numFmtId="0" fontId="12" fillId="2" borderId="0" xfId="0" applyFont="1" applyFill="1" applyAlignment="1">
      <alignment horizontal="left"/>
    </xf>
    <xf numFmtId="169" fontId="12" fillId="0" borderId="0" xfId="0" applyNumberFormat="1" applyFont="1" applyAlignment="1">
      <alignment horizontal="center"/>
    </xf>
    <xf numFmtId="169" fontId="12" fillId="2" borderId="0" xfId="0" applyNumberFormat="1" applyFont="1" applyFill="1" applyAlignment="1">
      <alignment horizontal="center"/>
    </xf>
    <xf numFmtId="4" fontId="12" fillId="2" borderId="0" xfId="0" applyNumberFormat="1" applyFont="1" applyFill="1" applyAlignment="1">
      <alignment horizontal="center"/>
    </xf>
    <xf numFmtId="16" fontId="12" fillId="0" borderId="0" xfId="0" quotePrefix="1" applyNumberFormat="1" applyFont="1" applyAlignment="1">
      <alignment horizontal="right"/>
    </xf>
    <xf numFmtId="16" fontId="12" fillId="2" borderId="0" xfId="0" quotePrefix="1" applyNumberFormat="1" applyFont="1" applyFill="1" applyAlignment="1">
      <alignment horizontal="right"/>
    </xf>
    <xf numFmtId="0" fontId="12" fillId="2" borderId="0" xfId="0" applyFont="1" applyFill="1"/>
    <xf numFmtId="0" fontId="12" fillId="0" borderId="0" xfId="0" quotePrefix="1" applyFont="1" applyAlignment="1">
      <alignment horizontal="right"/>
    </xf>
    <xf numFmtId="0" fontId="12" fillId="2" borderId="0" xfId="0" quotePrefix="1" applyFont="1" applyFill="1" applyAlignment="1">
      <alignment horizontal="right"/>
    </xf>
    <xf numFmtId="169" fontId="12" fillId="2" borderId="2" xfId="0" applyNumberFormat="1" applyFont="1" applyFill="1" applyBorder="1" applyAlignment="1">
      <alignment horizontal="center"/>
    </xf>
    <xf numFmtId="165" fontId="12" fillId="0" borderId="0" xfId="4" applyFont="1" applyBorder="1" applyAlignment="1">
      <alignment horizontal="right"/>
    </xf>
    <xf numFmtId="165" fontId="12" fillId="2" borderId="0" xfId="4" applyFont="1" applyFill="1" applyBorder="1" applyAlignment="1">
      <alignment horizontal="right"/>
    </xf>
    <xf numFmtId="169" fontId="12" fillId="2" borderId="3" xfId="0" applyNumberFormat="1" applyFont="1" applyFill="1" applyBorder="1" applyAlignment="1">
      <alignment horizontal="center"/>
    </xf>
    <xf numFmtId="38" fontId="12" fillId="2" borderId="0" xfId="0" quotePrefix="1" applyNumberFormat="1" applyFont="1" applyFill="1"/>
    <xf numFmtId="0" fontId="12" fillId="0" borderId="1" xfId="0" applyFont="1" applyBorder="1" applyAlignment="1">
      <alignment horizontal="center"/>
    </xf>
    <xf numFmtId="0" fontId="12" fillId="2" borderId="1" xfId="0" applyFont="1" applyFill="1" applyBorder="1" applyAlignment="1">
      <alignment horizontal="center"/>
    </xf>
    <xf numFmtId="7" fontId="12" fillId="3" borderId="0" xfId="0" applyNumberFormat="1" applyFont="1" applyFill="1"/>
    <xf numFmtId="7" fontId="12" fillId="2" borderId="0" xfId="0" applyNumberFormat="1" applyFont="1" applyFill="1"/>
    <xf numFmtId="7" fontId="12" fillId="3" borderId="1" xfId="0" applyNumberFormat="1" applyFont="1" applyFill="1" applyBorder="1"/>
    <xf numFmtId="7" fontId="12" fillId="2" borderId="1" xfId="0" applyNumberFormat="1" applyFont="1" applyFill="1" applyBorder="1"/>
    <xf numFmtId="0" fontId="18" fillId="0" borderId="0" xfId="0" applyFont="1"/>
    <xf numFmtId="0" fontId="18" fillId="2" borderId="0" xfId="0" applyFont="1" applyFill="1"/>
    <xf numFmtId="170" fontId="12" fillId="2" borderId="3" xfId="0" applyNumberFormat="1" applyFont="1" applyFill="1" applyBorder="1"/>
    <xf numFmtId="3" fontId="12" fillId="0" borderId="0" xfId="0" quotePrefix="1" applyNumberFormat="1" applyFont="1" applyAlignment="1">
      <alignment horizontal="center"/>
    </xf>
    <xf numFmtId="0" fontId="12" fillId="0" borderId="0" xfId="0" applyFont="1" applyAlignment="1">
      <alignment horizontal="left"/>
    </xf>
    <xf numFmtId="0" fontId="18" fillId="4" borderId="4" xfId="0" applyFont="1" applyFill="1" applyBorder="1" applyAlignment="1">
      <alignment horizontal="center"/>
    </xf>
    <xf numFmtId="0" fontId="16" fillId="2" borderId="0" xfId="0" applyFont="1" applyFill="1"/>
    <xf numFmtId="0" fontId="16" fillId="2" borderId="0" xfId="0" quotePrefix="1" applyFont="1" applyFill="1" applyAlignment="1">
      <alignment horizontal="left"/>
    </xf>
    <xf numFmtId="0" fontId="16" fillId="0" borderId="0" xfId="0" applyFont="1" applyAlignment="1">
      <alignment horizontal="left"/>
    </xf>
    <xf numFmtId="171" fontId="12" fillId="0" borderId="0" xfId="0" applyNumberFormat="1" applyFont="1" applyAlignment="1">
      <alignment horizontal="left"/>
    </xf>
    <xf numFmtId="169" fontId="14" fillId="0" borderId="0" xfId="0" applyNumberFormat="1" applyFont="1"/>
    <xf numFmtId="0" fontId="12" fillId="0" borderId="0" xfId="0" applyFont="1" applyAlignment="1">
      <alignment vertical="center"/>
    </xf>
    <xf numFmtId="170" fontId="12" fillId="0" borderId="0" xfId="0" applyNumberFormat="1" applyFont="1" applyAlignment="1">
      <alignment vertical="center"/>
    </xf>
    <xf numFmtId="171" fontId="12" fillId="0" borderId="0" xfId="0" applyNumberFormat="1" applyFont="1" applyAlignment="1">
      <alignment horizontal="left" vertical="center"/>
    </xf>
    <xf numFmtId="0" fontId="14" fillId="0" borderId="0" xfId="0" applyFont="1" applyAlignment="1">
      <alignment vertical="center"/>
    </xf>
    <xf numFmtId="172" fontId="12" fillId="0" borderId="0" xfId="0" applyNumberFormat="1" applyFont="1"/>
    <xf numFmtId="0" fontId="12" fillId="0" borderId="0" xfId="0" quotePrefix="1" applyFont="1" applyAlignment="1">
      <alignment horizontal="left"/>
    </xf>
    <xf numFmtId="0" fontId="19" fillId="0" borderId="3" xfId="0" applyFont="1" applyBorder="1"/>
    <xf numFmtId="4" fontId="12" fillId="2" borderId="0" xfId="0" applyNumberFormat="1" applyFont="1" applyFill="1" applyAlignment="1">
      <alignment horizontal="left"/>
    </xf>
    <xf numFmtId="0" fontId="14" fillId="0" borderId="0" xfId="0" quotePrefix="1" applyFont="1"/>
    <xf numFmtId="0" fontId="14" fillId="0" borderId="0" xfId="0" quotePrefix="1" applyFont="1" applyAlignment="1">
      <alignment horizontal="right"/>
    </xf>
    <xf numFmtId="49" fontId="14" fillId="0" borderId="0" xfId="0" applyNumberFormat="1" applyFont="1"/>
    <xf numFmtId="49" fontId="14" fillId="0" borderId="0" xfId="0" applyNumberFormat="1" applyFont="1" applyProtection="1">
      <protection locked="0"/>
    </xf>
    <xf numFmtId="7" fontId="18" fillId="0" borderId="0" xfId="0" quotePrefix="1" applyNumberFormat="1" applyFont="1" applyAlignment="1">
      <alignment horizontal="center"/>
    </xf>
    <xf numFmtId="7" fontId="18" fillId="0" borderId="0" xfId="0" applyNumberFormat="1" applyFont="1" applyAlignment="1">
      <alignment horizontal="center"/>
    </xf>
    <xf numFmtId="0" fontId="18" fillId="0" borderId="1" xfId="0" applyFont="1" applyBorder="1" applyAlignment="1">
      <alignment horizontal="center"/>
    </xf>
    <xf numFmtId="0" fontId="19" fillId="0" borderId="1" xfId="0" quotePrefix="1" applyFont="1" applyBorder="1"/>
    <xf numFmtId="0" fontId="12" fillId="0" borderId="1" xfId="0" quotePrefix="1" applyFont="1" applyBorder="1" applyAlignment="1">
      <alignment horizontal="center"/>
    </xf>
    <xf numFmtId="172" fontId="12" fillId="0" borderId="1" xfId="0" applyNumberFormat="1" applyFont="1" applyBorder="1"/>
    <xf numFmtId="43" fontId="12" fillId="0" borderId="1" xfId="1" applyFont="1" applyBorder="1" applyAlignment="1"/>
    <xf numFmtId="167" fontId="12" fillId="2" borderId="1" xfId="0" applyNumberFormat="1" applyFont="1" applyFill="1" applyBorder="1"/>
    <xf numFmtId="170" fontId="12" fillId="2" borderId="1" xfId="6" applyNumberFormat="1" applyFont="1" applyFill="1" applyBorder="1" applyAlignment="1"/>
    <xf numFmtId="43" fontId="12" fillId="0" borderId="5" xfId="1" applyFont="1" applyBorder="1" applyAlignment="1"/>
    <xf numFmtId="170" fontId="12" fillId="2" borderId="5" xfId="6" applyNumberFormat="1" applyFont="1" applyFill="1" applyBorder="1" applyAlignment="1"/>
    <xf numFmtId="172" fontId="12" fillId="0" borderId="5" xfId="0" applyNumberFormat="1" applyFont="1" applyBorder="1"/>
    <xf numFmtId="169" fontId="12" fillId="2" borderId="5" xfId="0" applyNumberFormat="1" applyFont="1" applyFill="1" applyBorder="1"/>
    <xf numFmtId="43" fontId="12" fillId="0" borderId="0" xfId="1" applyFont="1" applyBorder="1" applyAlignment="1"/>
    <xf numFmtId="169" fontId="12" fillId="2" borderId="0" xfId="0" applyNumberFormat="1" applyFont="1" applyFill="1"/>
    <xf numFmtId="170" fontId="12" fillId="2" borderId="0" xfId="6" applyNumberFormat="1" applyFont="1" applyFill="1" applyBorder="1" applyAlignment="1"/>
    <xf numFmtId="169" fontId="12" fillId="0" borderId="0" xfId="0" applyNumberFormat="1" applyFont="1"/>
    <xf numFmtId="2" fontId="18" fillId="0" borderId="1" xfId="0" applyNumberFormat="1" applyFont="1" applyBorder="1"/>
    <xf numFmtId="2" fontId="12" fillId="0" borderId="0" xfId="0" applyNumberFormat="1" applyFont="1"/>
    <xf numFmtId="2" fontId="12" fillId="0" borderId="0" xfId="0" quotePrefix="1" applyNumberFormat="1" applyFont="1" applyAlignment="1">
      <alignment horizontal="right"/>
    </xf>
    <xf numFmtId="170" fontId="12" fillId="2" borderId="3" xfId="6" applyNumberFormat="1" applyFont="1" applyFill="1" applyBorder="1" applyAlignment="1"/>
    <xf numFmtId="2" fontId="12" fillId="0" borderId="0" xfId="0" quotePrefix="1" applyNumberFormat="1" applyFont="1" applyAlignment="1">
      <alignment horizontal="center"/>
    </xf>
    <xf numFmtId="43" fontId="20" fillId="4" borderId="1" xfId="1" applyFont="1" applyFill="1" applyBorder="1" applyAlignment="1"/>
    <xf numFmtId="43" fontId="12" fillId="0" borderId="6" xfId="1" applyFont="1" applyBorder="1" applyAlignment="1"/>
    <xf numFmtId="43" fontId="17" fillId="0" borderId="1" xfId="1" applyFont="1" applyBorder="1" applyAlignment="1">
      <alignment horizontal="center"/>
    </xf>
    <xf numFmtId="4" fontId="21" fillId="0" borderId="0" xfId="0" applyNumberFormat="1" applyFont="1"/>
    <xf numFmtId="166" fontId="17" fillId="0" borderId="0" xfId="0" applyNumberFormat="1" applyFont="1" applyAlignment="1">
      <alignment horizontal="center"/>
    </xf>
    <xf numFmtId="166" fontId="17" fillId="0" borderId="0" xfId="0" applyNumberFormat="1" applyFont="1"/>
    <xf numFmtId="43" fontId="12" fillId="0" borderId="0" xfId="1" applyFont="1" applyFill="1" applyBorder="1" applyAlignment="1"/>
    <xf numFmtId="0" fontId="12" fillId="0" borderId="1" xfId="0" applyFont="1" applyBorder="1" applyAlignment="1">
      <alignment horizontal="left"/>
    </xf>
    <xf numFmtId="166" fontId="17" fillId="0" borderId="1" xfId="0" applyNumberFormat="1" applyFont="1" applyBorder="1" applyAlignment="1">
      <alignment horizontal="center"/>
    </xf>
    <xf numFmtId="166" fontId="17" fillId="2" borderId="0" xfId="0" applyNumberFormat="1" applyFont="1" applyFill="1" applyAlignment="1">
      <alignment horizontal="left"/>
    </xf>
    <xf numFmtId="166" fontId="12" fillId="0" borderId="0" xfId="0" applyNumberFormat="1" applyFont="1"/>
    <xf numFmtId="166" fontId="12" fillId="2" borderId="0" xfId="0" applyNumberFormat="1" applyFont="1" applyFill="1"/>
    <xf numFmtId="3" fontId="12" fillId="2" borderId="1" xfId="0" applyNumberFormat="1" applyFont="1" applyFill="1" applyBorder="1"/>
    <xf numFmtId="41" fontId="12" fillId="0" borderId="0" xfId="1" applyNumberFormat="1" applyFont="1" applyFill="1" applyBorder="1" applyAlignment="1"/>
    <xf numFmtId="0" fontId="21" fillId="0" borderId="0" xfId="0" applyFont="1"/>
    <xf numFmtId="0" fontId="21" fillId="0" borderId="0" xfId="0" quotePrefix="1" applyFont="1" applyAlignment="1">
      <alignment horizontal="left"/>
    </xf>
    <xf numFmtId="4" fontId="12" fillId="0" borderId="1" xfId="0" applyNumberFormat="1" applyFont="1" applyBorder="1" applyAlignment="1">
      <alignment horizontal="center"/>
    </xf>
    <xf numFmtId="4" fontId="12" fillId="0" borderId="0" xfId="0" applyNumberFormat="1" applyFont="1"/>
    <xf numFmtId="165" fontId="12" fillId="0" borderId="0" xfId="4" quotePrefix="1" applyFont="1" applyBorder="1" applyAlignment="1">
      <alignment horizontal="right"/>
    </xf>
    <xf numFmtId="165" fontId="12" fillId="0" borderId="0" xfId="4" applyFont="1" applyBorder="1" applyAlignment="1"/>
    <xf numFmtId="165" fontId="12" fillId="0" borderId="7" xfId="4" quotePrefix="1" applyFont="1" applyBorder="1" applyAlignment="1">
      <alignment horizontal="right"/>
    </xf>
    <xf numFmtId="2" fontId="22" fillId="0" borderId="0" xfId="0" applyNumberFormat="1" applyFont="1" applyAlignment="1">
      <alignment horizontal="left"/>
    </xf>
    <xf numFmtId="4" fontId="12" fillId="2" borderId="0" xfId="0" quotePrefix="1" applyNumberFormat="1" applyFont="1" applyFill="1" applyAlignment="1">
      <alignment horizontal="left"/>
    </xf>
    <xf numFmtId="4" fontId="12" fillId="0" borderId="0" xfId="0" applyNumberFormat="1" applyFont="1" applyAlignment="1">
      <alignment horizontal="center"/>
    </xf>
    <xf numFmtId="0" fontId="18" fillId="0" borderId="0" xfId="0" applyFont="1" applyAlignment="1">
      <alignment horizontal="right"/>
    </xf>
    <xf numFmtId="4" fontId="12" fillId="0" borderId="0" xfId="0" applyNumberFormat="1" applyFont="1" applyAlignment="1">
      <alignment horizontal="left"/>
    </xf>
    <xf numFmtId="38" fontId="12" fillId="0" borderId="0" xfId="0" quotePrefix="1" applyNumberFormat="1" applyFont="1"/>
    <xf numFmtId="0" fontId="18" fillId="2" borderId="0" xfId="0" applyFont="1" applyFill="1" applyAlignment="1">
      <alignment horizontal="right"/>
    </xf>
    <xf numFmtId="0" fontId="18" fillId="2" borderId="0" xfId="0" applyFont="1" applyFill="1" applyAlignment="1">
      <alignment horizontal="center"/>
    </xf>
    <xf numFmtId="170" fontId="12" fillId="2" borderId="8" xfId="0" applyNumberFormat="1" applyFont="1" applyFill="1" applyBorder="1"/>
    <xf numFmtId="43" fontId="12" fillId="0" borderId="8" xfId="1" applyFont="1" applyBorder="1" applyAlignment="1"/>
    <xf numFmtId="170" fontId="12" fillId="0" borderId="0" xfId="0" applyNumberFormat="1" applyFont="1"/>
    <xf numFmtId="0" fontId="14" fillId="0" borderId="0" xfId="0" applyFont="1"/>
    <xf numFmtId="43" fontId="12" fillId="4" borderId="1" xfId="1" applyFont="1" applyFill="1" applyBorder="1" applyAlignment="1"/>
    <xf numFmtId="7" fontId="12" fillId="0" borderId="0" xfId="0" applyNumberFormat="1" applyFont="1" applyAlignment="1">
      <alignment horizontal="center"/>
    </xf>
    <xf numFmtId="170" fontId="12" fillId="2" borderId="0" xfId="0" applyNumberFormat="1" applyFont="1" applyFill="1"/>
    <xf numFmtId="0" fontId="23" fillId="0" borderId="0" xfId="0" applyFont="1"/>
    <xf numFmtId="0" fontId="20" fillId="0" borderId="0" xfId="0" applyFont="1" applyAlignment="1">
      <alignment horizontal="center"/>
    </xf>
    <xf numFmtId="43" fontId="20" fillId="4" borderId="6" xfId="1" applyFont="1" applyFill="1" applyBorder="1" applyAlignment="1"/>
    <xf numFmtId="43" fontId="12" fillId="4" borderId="6" xfId="1" applyFont="1" applyFill="1" applyBorder="1" applyAlignment="1"/>
    <xf numFmtId="43" fontId="20" fillId="4" borderId="0" xfId="1" applyFont="1" applyFill="1" applyBorder="1" applyAlignment="1"/>
    <xf numFmtId="43" fontId="12" fillId="4" borderId="0" xfId="1" applyFont="1" applyFill="1" applyBorder="1" applyAlignment="1"/>
    <xf numFmtId="172" fontId="12" fillId="0" borderId="6" xfId="0" applyNumberFormat="1" applyFont="1" applyBorder="1"/>
    <xf numFmtId="0" fontId="12" fillId="0" borderId="0" xfId="0" applyFont="1" applyAlignment="1">
      <alignment horizontal="left" indent="1"/>
    </xf>
    <xf numFmtId="43" fontId="24" fillId="4" borderId="6" xfId="1" applyFont="1" applyFill="1" applyBorder="1" applyAlignment="1"/>
    <xf numFmtId="4" fontId="18" fillId="0" borderId="6" xfId="0" applyNumberFormat="1" applyFont="1" applyBorder="1"/>
    <xf numFmtId="43" fontId="24" fillId="4" borderId="1" xfId="1" applyFont="1" applyFill="1" applyBorder="1" applyAlignment="1"/>
    <xf numFmtId="43" fontId="24" fillId="4" borderId="0" xfId="1" applyFont="1" applyFill="1" applyBorder="1" applyAlignment="1"/>
    <xf numFmtId="4" fontId="18" fillId="0" borderId="0" xfId="0" applyNumberFormat="1" applyFont="1"/>
    <xf numFmtId="173" fontId="12" fillId="0" borderId="9" xfId="1" applyNumberFormat="1" applyFont="1" applyBorder="1" applyAlignment="1"/>
    <xf numFmtId="41" fontId="12" fillId="0" borderId="0" xfId="1" applyNumberFormat="1" applyFont="1" applyBorder="1" applyAlignment="1"/>
    <xf numFmtId="170" fontId="12" fillId="0" borderId="0" xfId="6" applyNumberFormat="1" applyFont="1" applyFill="1" applyBorder="1" applyAlignment="1"/>
    <xf numFmtId="43" fontId="12" fillId="0" borderId="1" xfId="1" applyFont="1" applyFill="1" applyBorder="1" applyAlignment="1"/>
    <xf numFmtId="43" fontId="12" fillId="5" borderId="8" xfId="1" applyFont="1" applyFill="1" applyBorder="1" applyAlignment="1"/>
    <xf numFmtId="0" fontId="12" fillId="0" borderId="0" xfId="0" applyFont="1" applyAlignment="1">
      <alignment horizontal="left" indent="2"/>
    </xf>
    <xf numFmtId="0" fontId="12" fillId="0" borderId="0" xfId="7" applyFont="1"/>
    <xf numFmtId="0" fontId="25" fillId="0" borderId="0" xfId="9" applyFont="1"/>
    <xf numFmtId="0" fontId="20" fillId="0" borderId="10" xfId="9" applyFont="1" applyBorder="1" applyAlignment="1">
      <alignment horizontal="right"/>
    </xf>
    <xf numFmtId="0" fontId="18" fillId="0" borderId="11" xfId="9" applyFont="1" applyBorder="1"/>
    <xf numFmtId="0" fontId="12" fillId="0" borderId="0" xfId="9" applyFont="1"/>
    <xf numFmtId="0" fontId="26" fillId="0" borderId="0" xfId="9" applyFont="1"/>
    <xf numFmtId="0" fontId="18" fillId="0" borderId="1" xfId="9" applyFont="1" applyBorder="1" applyAlignment="1">
      <alignment horizontal="center"/>
    </xf>
    <xf numFmtId="0" fontId="26" fillId="0" borderId="10" xfId="9" applyFont="1" applyBorder="1"/>
    <xf numFmtId="0" fontId="26" fillId="0" borderId="11" xfId="9" applyFont="1" applyBorder="1" applyAlignment="1">
      <alignment horizontal="center"/>
    </xf>
    <xf numFmtId="44" fontId="25" fillId="0" borderId="0" xfId="9" applyNumberFormat="1" applyFont="1"/>
    <xf numFmtId="0" fontId="26" fillId="0" borderId="0" xfId="9" applyFont="1" applyAlignment="1">
      <alignment horizontal="right"/>
    </xf>
    <xf numFmtId="43" fontId="18" fillId="0" borderId="1" xfId="3" applyFont="1" applyBorder="1"/>
    <xf numFmtId="9" fontId="14" fillId="0" borderId="1" xfId="11" applyFont="1" applyBorder="1"/>
    <xf numFmtId="43" fontId="14" fillId="0" borderId="1" xfId="3" applyFont="1" applyBorder="1"/>
    <xf numFmtId="49" fontId="11" fillId="0" borderId="0" xfId="9" quotePrefix="1" applyNumberFormat="1" applyFont="1" applyAlignment="1">
      <alignment horizontal="left"/>
    </xf>
    <xf numFmtId="0" fontId="12" fillId="0" borderId="0" xfId="7" quotePrefix="1" applyFont="1" applyAlignment="1">
      <alignment horizontal="left"/>
    </xf>
    <xf numFmtId="0" fontId="26" fillId="0" borderId="0" xfId="9" quotePrefix="1" applyFont="1" applyAlignment="1">
      <alignment horizontal="left"/>
    </xf>
    <xf numFmtId="43" fontId="26" fillId="0" borderId="5" xfId="1" applyFont="1" applyBorder="1"/>
    <xf numFmtId="43" fontId="12" fillId="0" borderId="0" xfId="1" quotePrefix="1" applyFont="1" applyBorder="1" applyAlignment="1"/>
    <xf numFmtId="43" fontId="26" fillId="0" borderId="0" xfId="1" applyFont="1" applyBorder="1"/>
    <xf numFmtId="41" fontId="26" fillId="0" borderId="5" xfId="1" applyNumberFormat="1" applyFont="1" applyBorder="1"/>
    <xf numFmtId="41" fontId="26" fillId="0" borderId="0" xfId="1" applyNumberFormat="1" applyFont="1" applyBorder="1"/>
    <xf numFmtId="41" fontId="26" fillId="0" borderId="1" xfId="1" applyNumberFormat="1" applyFont="1" applyBorder="1"/>
    <xf numFmtId="0" fontId="20" fillId="0" borderId="5" xfId="9" applyFont="1" applyBorder="1" applyAlignment="1">
      <alignment horizontal="right"/>
    </xf>
    <xf numFmtId="0" fontId="26" fillId="0" borderId="5" xfId="9" applyFont="1" applyBorder="1"/>
    <xf numFmtId="43" fontId="18" fillId="0" borderId="0" xfId="3" applyFont="1" applyBorder="1"/>
    <xf numFmtId="43" fontId="25" fillId="0" borderId="0" xfId="1" applyFont="1"/>
    <xf numFmtId="0" fontId="26" fillId="0" borderId="0" xfId="9" quotePrefix="1" applyFont="1" applyAlignment="1">
      <alignment horizontal="left" indent="1"/>
    </xf>
    <xf numFmtId="0" fontId="25" fillId="0" borderId="0" xfId="9" quotePrefix="1" applyFont="1" applyAlignment="1">
      <alignment horizontal="left"/>
    </xf>
    <xf numFmtId="43" fontId="25" fillId="0" borderId="0" xfId="1" applyFont="1" applyBorder="1"/>
    <xf numFmtId="43" fontId="12" fillId="0" borderId="6" xfId="1" applyFont="1" applyFill="1" applyBorder="1" applyAlignment="1"/>
    <xf numFmtId="0" fontId="15" fillId="0" borderId="0" xfId="0" applyFont="1"/>
    <xf numFmtId="0" fontId="15" fillId="0" borderId="0" xfId="0" applyFont="1" applyAlignment="1">
      <alignment horizontal="left"/>
    </xf>
    <xf numFmtId="1" fontId="16" fillId="0" borderId="0" xfId="0" quotePrefix="1" applyNumberFormat="1" applyFont="1" applyAlignment="1">
      <alignment horizontal="left"/>
    </xf>
    <xf numFmtId="1" fontId="15" fillId="0" borderId="0" xfId="0" applyNumberFormat="1" applyFont="1" applyAlignment="1">
      <alignment horizontal="center"/>
    </xf>
    <xf numFmtId="0" fontId="15" fillId="0" borderId="0" xfId="0" applyFont="1" applyAlignment="1">
      <alignment horizontal="center"/>
    </xf>
    <xf numFmtId="1" fontId="16" fillId="0" borderId="4" xfId="0" applyNumberFormat="1" applyFont="1" applyBorder="1" applyAlignment="1">
      <alignment horizontal="center"/>
    </xf>
    <xf numFmtId="0" fontId="16" fillId="0" borderId="10" xfId="0" applyFont="1" applyBorder="1" applyAlignment="1">
      <alignment horizontal="center"/>
    </xf>
    <xf numFmtId="0" fontId="16" fillId="0" borderId="0" xfId="0" applyFont="1" applyAlignment="1">
      <alignment horizontal="center"/>
    </xf>
    <xf numFmtId="1" fontId="15" fillId="0" borderId="0" xfId="7" applyNumberFormat="1" applyFont="1" applyAlignment="1">
      <alignment horizontal="center"/>
    </xf>
    <xf numFmtId="0" fontId="15" fillId="0" borderId="0" xfId="0" quotePrefix="1" applyFont="1"/>
    <xf numFmtId="43" fontId="15" fillId="0" borderId="0" xfId="7" applyNumberFormat="1" applyFont="1"/>
    <xf numFmtId="0" fontId="16" fillId="4" borderId="0" xfId="0" applyFont="1" applyFill="1" applyAlignment="1">
      <alignment horizontal="center"/>
    </xf>
    <xf numFmtId="1" fontId="15" fillId="4" borderId="0" xfId="7" applyNumberFormat="1" applyFont="1" applyFill="1" applyAlignment="1">
      <alignment horizontal="center"/>
    </xf>
    <xf numFmtId="43" fontId="15" fillId="4" borderId="0" xfId="7" applyNumberFormat="1" applyFont="1" applyFill="1"/>
    <xf numFmtId="43" fontId="15" fillId="0" borderId="0" xfId="0" applyNumberFormat="1" applyFont="1"/>
    <xf numFmtId="43" fontId="15" fillId="0" borderId="9" xfId="0" applyNumberFormat="1" applyFont="1" applyBorder="1"/>
    <xf numFmtId="49" fontId="16" fillId="0" borderId="0" xfId="2" quotePrefix="1" applyNumberFormat="1" applyFont="1" applyAlignment="1">
      <alignment horizontal="left"/>
    </xf>
    <xf numFmtId="0" fontId="16" fillId="0" borderId="0" xfId="7" applyFont="1"/>
    <xf numFmtId="49" fontId="16" fillId="0" borderId="0" xfId="7" applyNumberFormat="1" applyFont="1" applyAlignment="1">
      <alignment horizontal="left"/>
    </xf>
    <xf numFmtId="49" fontId="16" fillId="0" borderId="0" xfId="2" applyNumberFormat="1" applyFont="1" applyAlignment="1">
      <alignment horizontal="left"/>
    </xf>
    <xf numFmtId="49" fontId="16" fillId="0" borderId="4" xfId="7" quotePrefix="1" applyNumberFormat="1" applyFont="1" applyBorder="1" applyAlignment="1">
      <alignment horizontal="center"/>
    </xf>
    <xf numFmtId="0" fontId="16" fillId="0" borderId="4" xfId="7" quotePrefix="1" applyFont="1" applyBorder="1" applyAlignment="1">
      <alignment horizontal="center"/>
    </xf>
    <xf numFmtId="49" fontId="27" fillId="0" borderId="0" xfId="7" quotePrefix="1" applyNumberFormat="1" applyFont="1" applyAlignment="1">
      <alignment horizontal="center" vertical="center"/>
    </xf>
    <xf numFmtId="177" fontId="27" fillId="0" borderId="0" xfId="7" quotePrefix="1" applyNumberFormat="1" applyFont="1" applyAlignment="1">
      <alignment horizontal="left"/>
    </xf>
    <xf numFmtId="177" fontId="27" fillId="0" borderId="0" xfId="7" applyNumberFormat="1" applyFont="1"/>
    <xf numFmtId="0" fontId="15" fillId="0" borderId="0" xfId="7" applyFont="1"/>
    <xf numFmtId="49" fontId="27" fillId="0" borderId="0" xfId="7" applyNumberFormat="1" applyFont="1" applyAlignment="1">
      <alignment horizontal="center" vertical="center"/>
    </xf>
    <xf numFmtId="0" fontId="15" fillId="0" borderId="0" xfId="7" quotePrefix="1" applyFont="1" applyAlignment="1">
      <alignment horizontal="left"/>
    </xf>
    <xf numFmtId="176" fontId="15" fillId="0" borderId="0" xfId="0" applyNumberFormat="1" applyFont="1"/>
    <xf numFmtId="1" fontId="16" fillId="0" borderId="0" xfId="0" quotePrefix="1" applyNumberFormat="1" applyFont="1"/>
    <xf numFmtId="1" fontId="15" fillId="0" borderId="0" xfId="0" applyNumberFormat="1" applyFont="1"/>
    <xf numFmtId="1" fontId="15" fillId="0" borderId="0" xfId="7" applyNumberFormat="1" applyFont="1"/>
    <xf numFmtId="1" fontId="15" fillId="4" borderId="0" xfId="7" applyNumberFormat="1" applyFont="1" applyFill="1"/>
    <xf numFmtId="1" fontId="16" fillId="0" borderId="10" xfId="0" applyNumberFormat="1" applyFont="1" applyBorder="1" applyAlignment="1">
      <alignment horizontal="center"/>
    </xf>
    <xf numFmtId="7" fontId="14" fillId="0" borderId="0" xfId="0" applyNumberFormat="1" applyFont="1" applyAlignment="1">
      <alignment horizontal="left"/>
    </xf>
    <xf numFmtId="169" fontId="14" fillId="0" borderId="0" xfId="0" applyNumberFormat="1" applyFont="1" applyAlignment="1">
      <alignment horizontal="center"/>
    </xf>
    <xf numFmtId="43" fontId="17" fillId="0" borderId="1" xfId="1" applyFont="1" applyFill="1" applyBorder="1" applyAlignment="1">
      <alignment horizontal="center"/>
    </xf>
    <xf numFmtId="7" fontId="12" fillId="0" borderId="0" xfId="0" applyNumberFormat="1" applyFont="1"/>
    <xf numFmtId="7" fontId="12" fillId="0" borderId="1" xfId="0" applyNumberFormat="1" applyFont="1" applyBorder="1"/>
    <xf numFmtId="4" fontId="12" fillId="0" borderId="2" xfId="0" applyNumberFormat="1" applyFont="1" applyBorder="1"/>
    <xf numFmtId="4" fontId="13" fillId="0" borderId="2" xfId="0" applyNumberFormat="1" applyFont="1" applyBorder="1" applyAlignment="1">
      <alignment horizontal="left"/>
    </xf>
    <xf numFmtId="4" fontId="13" fillId="0" borderId="2" xfId="0" applyNumberFormat="1" applyFont="1" applyBorder="1"/>
    <xf numFmtId="1" fontId="15" fillId="4" borderId="0" xfId="7" applyNumberFormat="1" applyFont="1" applyFill="1" applyAlignment="1">
      <alignment horizontal="left" indent="1"/>
    </xf>
    <xf numFmtId="0" fontId="16" fillId="0" borderId="0" xfId="0" quotePrefix="1" applyFont="1" applyAlignment="1">
      <alignment horizontal="center"/>
    </xf>
    <xf numFmtId="1" fontId="15" fillId="0" borderId="0" xfId="7" applyNumberFormat="1" applyFont="1" applyAlignment="1">
      <alignment horizontal="left" indent="1"/>
    </xf>
    <xf numFmtId="0" fontId="15" fillId="0" borderId="0" xfId="0" quotePrefix="1" applyFont="1" applyAlignment="1">
      <alignment horizontal="left" indent="1"/>
    </xf>
    <xf numFmtId="0" fontId="15" fillId="4" borderId="0" xfId="0" quotePrefix="1" applyFont="1" applyFill="1" applyAlignment="1">
      <alignment horizontal="left" indent="1"/>
    </xf>
    <xf numFmtId="0" fontId="16" fillId="0" borderId="4" xfId="0" applyFont="1" applyBorder="1" applyAlignment="1">
      <alignment horizontal="center"/>
    </xf>
    <xf numFmtId="4" fontId="13" fillId="0" borderId="0" xfId="0" applyNumberFormat="1" applyFont="1" applyAlignment="1">
      <alignment horizontal="left"/>
    </xf>
    <xf numFmtId="4" fontId="12" fillId="0" borderId="2" xfId="0" applyNumberFormat="1" applyFont="1" applyBorder="1" applyAlignment="1">
      <alignment horizontal="left"/>
    </xf>
    <xf numFmtId="0" fontId="12" fillId="0" borderId="0" xfId="0" applyFont="1" applyAlignment="1">
      <alignment horizontal="left" indent="3"/>
    </xf>
    <xf numFmtId="0" fontId="12" fillId="0" borderId="0" xfId="0" quotePrefix="1" applyFont="1" applyAlignment="1">
      <alignment horizontal="left" indent="3"/>
    </xf>
    <xf numFmtId="0" fontId="14" fillId="0" borderId="0" xfId="0" applyFont="1" applyAlignment="1">
      <alignment horizontal="left" indent="3"/>
    </xf>
    <xf numFmtId="43" fontId="12" fillId="0" borderId="0" xfId="0" applyNumberFormat="1" applyFont="1"/>
    <xf numFmtId="1" fontId="28" fillId="0" borderId="0" xfId="0" quotePrefix="1" applyNumberFormat="1" applyFont="1" applyAlignment="1">
      <alignment horizontal="left"/>
    </xf>
    <xf numFmtId="43" fontId="15" fillId="0" borderId="0" xfId="1" applyFont="1"/>
    <xf numFmtId="43" fontId="16" fillId="0" borderId="0" xfId="1" quotePrefix="1" applyFont="1" applyFill="1" applyBorder="1" applyAlignment="1">
      <alignment horizontal="center"/>
    </xf>
    <xf numFmtId="43" fontId="15" fillId="0" borderId="0" xfId="1" applyFont="1" applyFill="1" applyBorder="1" applyAlignment="1"/>
    <xf numFmtId="0" fontId="15" fillId="0" borderId="0" xfId="0" quotePrefix="1" applyFont="1" applyAlignment="1">
      <alignment horizontal="left"/>
    </xf>
    <xf numFmtId="0" fontId="15" fillId="0" borderId="0" xfId="0" quotePrefix="1" applyFont="1" applyAlignment="1">
      <alignment horizontal="center"/>
    </xf>
    <xf numFmtId="0" fontId="16" fillId="0" borderId="0" xfId="0" quotePrefix="1" applyFont="1" applyAlignment="1">
      <alignment vertical="center"/>
    </xf>
    <xf numFmtId="41" fontId="20" fillId="0" borderId="0" xfId="1" applyNumberFormat="1" applyFont="1" applyFill="1" applyBorder="1"/>
    <xf numFmtId="43" fontId="20" fillId="0" borderId="1" xfId="1" quotePrefix="1" applyFont="1" applyBorder="1" applyAlignment="1"/>
    <xf numFmtId="43" fontId="24" fillId="0" borderId="0" xfId="9" applyNumberFormat="1" applyFont="1"/>
    <xf numFmtId="43" fontId="24" fillId="0" borderId="1" xfId="9" applyNumberFormat="1" applyFont="1" applyBorder="1"/>
    <xf numFmtId="0" fontId="14" fillId="0" borderId="0" xfId="0" quotePrefix="1" applyFont="1" applyAlignment="1">
      <alignment horizontal="left"/>
    </xf>
    <xf numFmtId="43" fontId="20" fillId="0" borderId="1" xfId="1" applyFont="1" applyBorder="1"/>
    <xf numFmtId="16" fontId="12" fillId="0" borderId="0" xfId="0" applyNumberFormat="1" applyFont="1"/>
    <xf numFmtId="0" fontId="16" fillId="0" borderId="0" xfId="0" applyFont="1"/>
    <xf numFmtId="0" fontId="16" fillId="0" borderId="0" xfId="0" quotePrefix="1" applyFont="1" applyAlignment="1">
      <alignment horizontal="left" indent="4"/>
    </xf>
    <xf numFmtId="0" fontId="20" fillId="0" borderId="0" xfId="0" quotePrefix="1" applyFont="1" applyAlignment="1">
      <alignment horizontal="left"/>
    </xf>
    <xf numFmtId="0" fontId="20" fillId="0" borderId="0" xfId="0" applyFont="1"/>
    <xf numFmtId="0" fontId="20" fillId="0" borderId="0" xfId="0" quotePrefix="1" applyFont="1" applyAlignment="1">
      <alignment horizontal="left" indent="4"/>
    </xf>
    <xf numFmtId="0" fontId="12" fillId="4" borderId="4" xfId="0" applyFont="1" applyFill="1" applyBorder="1" applyAlignment="1">
      <alignment horizontal="left"/>
    </xf>
    <xf numFmtId="0" fontId="12" fillId="4" borderId="4" xfId="0" applyFont="1" applyFill="1" applyBorder="1" applyAlignment="1">
      <alignment horizontal="center"/>
    </xf>
    <xf numFmtId="0" fontId="26" fillId="0" borderId="0" xfId="9" quotePrefix="1" applyFont="1" applyAlignment="1">
      <alignment horizontal="right"/>
    </xf>
    <xf numFmtId="43" fontId="29" fillId="0" borderId="0" xfId="1" applyFont="1"/>
    <xf numFmtId="0" fontId="29" fillId="0" borderId="0" xfId="0" applyFont="1"/>
    <xf numFmtId="1" fontId="15" fillId="0" borderId="0" xfId="7" quotePrefix="1" applyNumberFormat="1" applyFont="1" applyAlignment="1">
      <alignment horizontal="left"/>
    </xf>
    <xf numFmtId="1" fontId="15" fillId="4" borderId="0" xfId="7" quotePrefix="1" applyNumberFormat="1" applyFont="1" applyFill="1" applyAlignment="1">
      <alignment horizontal="left"/>
    </xf>
    <xf numFmtId="1" fontId="15" fillId="0" borderId="0" xfId="2" applyNumberFormat="1" applyFont="1" applyFill="1" applyBorder="1" applyAlignment="1">
      <alignment horizontal="center"/>
    </xf>
    <xf numFmtId="1" fontId="15" fillId="0" borderId="0" xfId="2" applyNumberFormat="1" applyFont="1" applyFill="1" applyBorder="1" applyAlignment="1"/>
    <xf numFmtId="1" fontId="15" fillId="0" borderId="0" xfId="2" quotePrefix="1" applyNumberFormat="1" applyFont="1" applyFill="1" applyBorder="1" applyAlignment="1">
      <alignment horizontal="left"/>
    </xf>
    <xf numFmtId="43" fontId="12" fillId="0" borderId="0" xfId="1" applyFont="1" applyBorder="1" applyAlignment="1">
      <alignment horizontal="center"/>
    </xf>
    <xf numFmtId="37" fontId="12" fillId="0" borderId="1" xfId="1" applyNumberFormat="1" applyFont="1" applyBorder="1" applyAlignment="1"/>
    <xf numFmtId="43" fontId="20" fillId="0" borderId="0" xfId="1" applyFont="1" applyBorder="1"/>
    <xf numFmtId="43" fontId="12" fillId="5" borderId="9" xfId="1" applyFont="1" applyFill="1" applyBorder="1" applyAlignment="1"/>
    <xf numFmtId="0" fontId="15" fillId="0" borderId="0" xfId="0" quotePrefix="1" applyFont="1" applyAlignment="1">
      <alignment horizontal="right"/>
    </xf>
    <xf numFmtId="43" fontId="16" fillId="0" borderId="4" xfId="1" quotePrefix="1" applyFont="1" applyFill="1" applyBorder="1" applyAlignment="1">
      <alignment horizontal="center"/>
    </xf>
    <xf numFmtId="43" fontId="20" fillId="0" borderId="1" xfId="1" applyFont="1" applyBorder="1" applyAlignment="1"/>
    <xf numFmtId="37" fontId="20" fillId="0" borderId="1" xfId="1" applyNumberFormat="1" applyFont="1" applyBorder="1" applyAlignment="1"/>
    <xf numFmtId="37" fontId="20" fillId="0" borderId="1" xfId="1" applyNumberFormat="1" applyFont="1" applyBorder="1" applyAlignment="1">
      <alignment horizontal="center"/>
    </xf>
    <xf numFmtId="43" fontId="20" fillId="0" borderId="1" xfId="1" applyFont="1" applyBorder="1" applyAlignment="1">
      <alignment horizontal="center"/>
    </xf>
    <xf numFmtId="37" fontId="20" fillId="0" borderId="0" xfId="1" applyNumberFormat="1" applyFont="1"/>
    <xf numFmtId="41" fontId="20" fillId="0" borderId="0" xfId="1" applyNumberFormat="1" applyFont="1" applyFill="1" applyBorder="1" applyAlignment="1"/>
    <xf numFmtId="49" fontId="15" fillId="0" borderId="0" xfId="0" quotePrefix="1" applyNumberFormat="1" applyFont="1"/>
    <xf numFmtId="49" fontId="15" fillId="0" borderId="0" xfId="0" quotePrefix="1" applyNumberFormat="1" applyFont="1" applyAlignment="1">
      <alignment horizontal="left" indent="1"/>
    </xf>
    <xf numFmtId="49" fontId="15" fillId="4" borderId="0" xfId="0" quotePrefix="1" applyNumberFormat="1" applyFont="1" applyFill="1"/>
    <xf numFmtId="49" fontId="15" fillId="4" borderId="0" xfId="0" quotePrefix="1" applyNumberFormat="1" applyFont="1" applyFill="1" applyAlignment="1">
      <alignment horizontal="left" indent="1"/>
    </xf>
    <xf numFmtId="49" fontId="15" fillId="4" borderId="0" xfId="7" applyNumberFormat="1" applyFont="1" applyFill="1" applyAlignment="1">
      <alignment horizontal="left" indent="1"/>
    </xf>
    <xf numFmtId="49" fontId="15" fillId="0" borderId="0" xfId="0" quotePrefix="1" applyNumberFormat="1" applyFont="1" applyAlignment="1">
      <alignment horizontal="left"/>
    </xf>
    <xf numFmtId="49" fontId="15" fillId="0" borderId="0" xfId="0" applyNumberFormat="1" applyFont="1"/>
    <xf numFmtId="0" fontId="12" fillId="0" borderId="0" xfId="0" quotePrefix="1" applyFont="1" applyAlignment="1">
      <alignment horizontal="left" indent="1"/>
    </xf>
    <xf numFmtId="49" fontId="20" fillId="0" borderId="0" xfId="7" applyNumberFormat="1" applyFont="1"/>
    <xf numFmtId="0" fontId="15" fillId="0" borderId="0" xfId="0" applyFont="1" applyAlignment="1">
      <alignment horizontal="right"/>
    </xf>
    <xf numFmtId="0" fontId="16" fillId="0" borderId="0" xfId="0" quotePrefix="1" applyFont="1" applyAlignment="1">
      <alignment horizontal="left" vertical="top"/>
    </xf>
    <xf numFmtId="0" fontId="11" fillId="0" borderId="0" xfId="0" quotePrefix="1" applyFont="1"/>
    <xf numFmtId="169" fontId="14" fillId="6" borderId="0" xfId="0" applyNumberFormat="1" applyFont="1" applyFill="1" applyAlignment="1">
      <alignment horizontal="center"/>
    </xf>
    <xf numFmtId="4" fontId="20" fillId="6" borderId="1" xfId="0" applyNumberFormat="1" applyFont="1" applyFill="1" applyBorder="1" applyAlignment="1">
      <alignment horizontal="center"/>
    </xf>
    <xf numFmtId="43" fontId="20" fillId="6" borderId="1" xfId="1" applyFont="1" applyFill="1" applyBorder="1" applyAlignment="1"/>
    <xf numFmtId="41" fontId="20" fillId="6" borderId="0" xfId="1" applyNumberFormat="1" applyFont="1" applyFill="1" applyBorder="1" applyAlignment="1"/>
    <xf numFmtId="175" fontId="20" fillId="6" borderId="0" xfId="0" applyNumberFormat="1" applyFont="1" applyFill="1"/>
    <xf numFmtId="38" fontId="20" fillId="6" borderId="0" xfId="0" quotePrefix="1" applyNumberFormat="1" applyFont="1" applyFill="1"/>
    <xf numFmtId="0" fontId="30" fillId="0" borderId="0" xfId="0" applyFont="1"/>
    <xf numFmtId="0" fontId="20" fillId="3" borderId="0" xfId="0" quotePrefix="1" applyFont="1" applyFill="1" applyAlignment="1">
      <alignment horizontal="left"/>
    </xf>
    <xf numFmtId="0" fontId="20" fillId="3" borderId="0" xfId="0" applyFont="1" applyFill="1"/>
    <xf numFmtId="16" fontId="15" fillId="0" borderId="0" xfId="0" applyNumberFormat="1" applyFont="1"/>
    <xf numFmtId="43" fontId="29" fillId="0" borderId="0" xfId="1" applyFont="1" applyFill="1"/>
    <xf numFmtId="43" fontId="15" fillId="0" borderId="0" xfId="1" applyFont="1" applyFill="1"/>
    <xf numFmtId="7" fontId="14" fillId="6" borderId="0" xfId="0" applyNumberFormat="1" applyFont="1" applyFill="1" applyAlignment="1">
      <alignment horizontal="left"/>
    </xf>
    <xf numFmtId="4" fontId="12" fillId="6" borderId="1" xfId="0" applyNumberFormat="1" applyFont="1" applyFill="1" applyBorder="1" applyAlignment="1">
      <alignment horizontal="center"/>
    </xf>
    <xf numFmtId="43" fontId="12" fillId="6" borderId="1" xfId="1" applyFont="1" applyFill="1" applyBorder="1" applyAlignment="1"/>
    <xf numFmtId="41" fontId="12" fillId="6" borderId="0" xfId="1" applyNumberFormat="1" applyFont="1" applyFill="1" applyBorder="1" applyAlignment="1"/>
    <xf numFmtId="4" fontId="12" fillId="6" borderId="0" xfId="0" applyNumberFormat="1" applyFont="1" applyFill="1" applyAlignment="1">
      <alignment horizontal="center"/>
    </xf>
    <xf numFmtId="38" fontId="12" fillId="6" borderId="0" xfId="0" quotePrefix="1" applyNumberFormat="1" applyFont="1" applyFill="1"/>
    <xf numFmtId="164" fontId="12" fillId="0" borderId="0" xfId="6" quotePrefix="1" applyFont="1" applyBorder="1" applyAlignment="1">
      <alignment horizontal="center" wrapText="1"/>
    </xf>
    <xf numFmtId="3" fontId="12" fillId="2" borderId="0" xfId="0" quotePrefix="1" applyNumberFormat="1" applyFont="1" applyFill="1"/>
    <xf numFmtId="0" fontId="8" fillId="0" borderId="0" xfId="0" quotePrefix="1" applyFont="1" applyAlignment="1">
      <alignment horizontal="left"/>
    </xf>
    <xf numFmtId="0" fontId="29" fillId="0" borderId="0" xfId="0" quotePrefix="1" applyFont="1" applyAlignment="1">
      <alignment horizontal="left"/>
    </xf>
    <xf numFmtId="0" fontId="31" fillId="0" borderId="0" xfId="0" applyFont="1"/>
    <xf numFmtId="0" fontId="12" fillId="7" borderId="0" xfId="0" applyFont="1" applyFill="1"/>
    <xf numFmtId="0" fontId="12" fillId="7" borderId="0" xfId="0" applyFont="1" applyFill="1" applyAlignment="1">
      <alignment horizontal="left"/>
    </xf>
    <xf numFmtId="0" fontId="18" fillId="7" borderId="0" xfId="0" applyFont="1" applyFill="1"/>
    <xf numFmtId="43" fontId="12" fillId="7" borderId="0" xfId="1" applyFont="1" applyFill="1" applyBorder="1" applyAlignment="1"/>
    <xf numFmtId="49" fontId="15" fillId="0" borderId="0" xfId="7" applyNumberFormat="1" applyFont="1"/>
    <xf numFmtId="49" fontId="15" fillId="4" borderId="0" xfId="7" quotePrefix="1" applyNumberFormat="1" applyFont="1" applyFill="1" applyAlignment="1">
      <alignment horizontal="left" indent="1"/>
    </xf>
    <xf numFmtId="9" fontId="13" fillId="0" borderId="0" xfId="11" quotePrefix="1" applyFont="1" applyAlignment="1">
      <alignment horizontal="left"/>
    </xf>
    <xf numFmtId="0" fontId="31" fillId="0" borderId="3" xfId="0" quotePrefix="1" applyFont="1" applyBorder="1" applyAlignment="1">
      <alignment horizontal="center"/>
    </xf>
    <xf numFmtId="0" fontId="32" fillId="0" borderId="0" xfId="0" quotePrefix="1" applyFont="1" applyAlignment="1">
      <alignment horizontal="left"/>
    </xf>
    <xf numFmtId="16" fontId="29" fillId="0" borderId="0" xfId="0" applyNumberFormat="1" applyFont="1"/>
    <xf numFmtId="0" fontId="8" fillId="0" borderId="0" xfId="0" quotePrefix="1" applyFont="1" applyAlignment="1">
      <alignment horizontal="left" indent="1"/>
    </xf>
    <xf numFmtId="0" fontId="16" fillId="0" borderId="0" xfId="0" quotePrefix="1" applyFont="1" applyAlignment="1" applyProtection="1">
      <alignment horizontal="left"/>
      <protection locked="0"/>
    </xf>
    <xf numFmtId="170" fontId="12" fillId="0" borderId="0" xfId="6" quotePrefix="1" applyNumberFormat="1" applyFont="1" applyBorder="1" applyAlignment="1">
      <alignment horizontal="center"/>
    </xf>
    <xf numFmtId="0" fontId="32" fillId="0" borderId="0" xfId="0" quotePrefix="1" applyFont="1" applyAlignment="1">
      <alignment horizontal="left" indent="2"/>
    </xf>
    <xf numFmtId="16" fontId="12" fillId="0" borderId="0" xfId="0" applyNumberFormat="1" applyFont="1" applyAlignment="1">
      <alignment vertical="center"/>
    </xf>
    <xf numFmtId="0" fontId="18" fillId="0" borderId="1" xfId="0" quotePrefix="1" applyFont="1" applyBorder="1" applyAlignment="1">
      <alignment horizontal="center"/>
    </xf>
    <xf numFmtId="164" fontId="20" fillId="0" borderId="0" xfId="6" quotePrefix="1" applyFont="1" applyBorder="1" applyAlignment="1">
      <alignment horizontal="center" wrapText="1"/>
    </xf>
    <xf numFmtId="14" fontId="18" fillId="0" borderId="1" xfId="0" quotePrefix="1" applyNumberFormat="1" applyFont="1" applyBorder="1" applyAlignment="1">
      <alignment horizontal="center"/>
    </xf>
    <xf numFmtId="43" fontId="29" fillId="4" borderId="0" xfId="1" applyFont="1" applyFill="1" applyBorder="1" applyAlignment="1"/>
    <xf numFmtId="43" fontId="29" fillId="0" borderId="0" xfId="1" applyFont="1" applyFill="1" applyBorder="1" applyAlignment="1"/>
    <xf numFmtId="43" fontId="29" fillId="0" borderId="0" xfId="1" applyFont="1" applyFill="1" applyAlignment="1"/>
    <xf numFmtId="43" fontId="29" fillId="0" borderId="0" xfId="1" applyFont="1" applyFill="1" applyBorder="1"/>
    <xf numFmtId="0" fontId="15" fillId="4" borderId="0" xfId="0" applyFont="1" applyFill="1" applyAlignment="1">
      <alignment horizontal="center"/>
    </xf>
    <xf numFmtId="0" fontId="15" fillId="0" borderId="0" xfId="0" quotePrefix="1" applyFont="1" applyAlignment="1">
      <alignment horizontal="left" vertical="top"/>
    </xf>
    <xf numFmtId="17" fontId="18" fillId="0" borderId="0" xfId="0" quotePrefix="1" applyNumberFormat="1" applyFont="1" applyAlignment="1">
      <alignment horizontal="center"/>
    </xf>
    <xf numFmtId="7" fontId="15" fillId="0" borderId="0" xfId="0" quotePrefix="1" applyNumberFormat="1" applyFont="1" applyAlignment="1">
      <alignment horizontal="center"/>
    </xf>
    <xf numFmtId="0" fontId="8" fillId="2" borderId="16" xfId="0" quotePrefix="1" applyFont="1" applyFill="1" applyBorder="1" applyAlignment="1">
      <alignment horizontal="left"/>
    </xf>
    <xf numFmtId="0" fontId="32" fillId="2" borderId="16" xfId="0" quotePrefix="1" applyFont="1" applyFill="1" applyBorder="1" applyAlignment="1">
      <alignment horizontal="left" indent="1"/>
    </xf>
    <xf numFmtId="0" fontId="8" fillId="2" borderId="16" xfId="0" quotePrefix="1" applyFont="1" applyFill="1" applyBorder="1" applyAlignment="1">
      <alignment horizontal="left" indent="1"/>
    </xf>
    <xf numFmtId="0" fontId="32" fillId="2" borderId="16" xfId="0" quotePrefix="1" applyFont="1" applyFill="1" applyBorder="1" applyAlignment="1">
      <alignment horizontal="left" indent="2"/>
    </xf>
    <xf numFmtId="0" fontId="32" fillId="2" borderId="16" xfId="0" quotePrefix="1" applyFont="1" applyFill="1" applyBorder="1" applyAlignment="1">
      <alignment horizontal="left"/>
    </xf>
    <xf numFmtId="0" fontId="8" fillId="2" borderId="17" xfId="0" quotePrefix="1" applyFont="1" applyFill="1" applyBorder="1" applyAlignment="1">
      <alignment horizontal="left"/>
    </xf>
    <xf numFmtId="0" fontId="15" fillId="0" borderId="0" xfId="0" quotePrefix="1" applyFont="1" applyAlignment="1">
      <alignment horizontal="left" vertical="center" indent="1"/>
    </xf>
    <xf numFmtId="49" fontId="15" fillId="0" borderId="0" xfId="7" quotePrefix="1" applyNumberFormat="1" applyFont="1" applyAlignment="1">
      <alignment horizontal="left" indent="1"/>
    </xf>
    <xf numFmtId="0" fontId="30" fillId="0" borderId="0" xfId="0" applyFont="1" applyAlignment="1">
      <alignment horizontal="left"/>
    </xf>
    <xf numFmtId="0" fontId="16" fillId="0" borderId="0" xfId="0" applyFont="1" applyAlignment="1">
      <alignment vertical="center" wrapText="1"/>
    </xf>
    <xf numFmtId="0" fontId="16" fillId="0" borderId="0" xfId="0" quotePrefix="1" applyFont="1" applyAlignment="1" applyProtection="1">
      <alignment horizontal="left" vertical="center"/>
      <protection locked="0"/>
    </xf>
    <xf numFmtId="0" fontId="16" fillId="0" borderId="0" xfId="0" applyFont="1" applyAlignment="1" applyProtection="1">
      <alignment vertical="center"/>
      <protection locked="0"/>
    </xf>
    <xf numFmtId="0" fontId="16" fillId="0" borderId="0" xfId="0" applyFont="1" applyAlignment="1">
      <alignment vertical="center"/>
    </xf>
    <xf numFmtId="0" fontId="16" fillId="0" borderId="0" xfId="0" quotePrefix="1" applyFont="1" applyAlignment="1">
      <alignment horizontal="left" vertical="center"/>
    </xf>
    <xf numFmtId="0" fontId="30" fillId="0" borderId="0" xfId="0" quotePrefix="1" applyFont="1" applyAlignment="1">
      <alignment horizontal="left" vertical="center"/>
    </xf>
    <xf numFmtId="0" fontId="30" fillId="0" borderId="0" xfId="0" applyFont="1" applyAlignment="1">
      <alignment vertical="center"/>
    </xf>
    <xf numFmtId="0" fontId="16" fillId="0" borderId="0" xfId="0" quotePrefix="1" applyFont="1" applyAlignment="1" applyProtection="1">
      <alignment horizontal="left" vertical="center" indent="2"/>
      <protection locked="0"/>
    </xf>
    <xf numFmtId="0" fontId="16" fillId="0" borderId="0" xfId="0" applyFont="1" applyAlignment="1">
      <alignment horizontal="left" vertical="center" indent="2"/>
    </xf>
    <xf numFmtId="0" fontId="16" fillId="0" borderId="0" xfId="0" quotePrefix="1" applyFont="1" applyAlignment="1">
      <alignment horizontal="left" vertical="center" indent="2"/>
    </xf>
    <xf numFmtId="0" fontId="30" fillId="0" borderId="0" xfId="0" quotePrefix="1" applyFont="1" applyAlignment="1">
      <alignment horizontal="left" vertical="center" indent="1"/>
    </xf>
    <xf numFmtId="0" fontId="33" fillId="0" borderId="0" xfId="0" applyFont="1"/>
    <xf numFmtId="0" fontId="33" fillId="0" borderId="0" xfId="0" applyFont="1" applyAlignment="1">
      <alignment vertical="center"/>
    </xf>
    <xf numFmtId="0" fontId="30" fillId="0" borderId="0" xfId="0" applyFont="1" applyAlignment="1">
      <alignment horizontal="left" vertical="center"/>
    </xf>
    <xf numFmtId="0" fontId="33" fillId="0" borderId="0" xfId="0" quotePrefix="1" applyFont="1" applyAlignment="1" applyProtection="1">
      <alignment horizontal="left" vertical="center"/>
      <protection locked="0"/>
    </xf>
    <xf numFmtId="0" fontId="33" fillId="0" borderId="0" xfId="0" quotePrefix="1" applyFont="1" applyAlignment="1" applyProtection="1">
      <alignment horizontal="left"/>
      <protection locked="0"/>
    </xf>
    <xf numFmtId="0" fontId="30" fillId="0" borderId="0" xfId="0" quotePrefix="1" applyFont="1" applyAlignment="1" applyProtection="1">
      <alignment horizontal="left"/>
      <protection locked="0"/>
    </xf>
    <xf numFmtId="0" fontId="30" fillId="0" borderId="0" xfId="0" quotePrefix="1" applyFont="1" applyAlignment="1" applyProtection="1">
      <alignment horizontal="left" indent="1"/>
      <protection locked="0"/>
    </xf>
    <xf numFmtId="0" fontId="30" fillId="0" borderId="0" xfId="0" quotePrefix="1" applyFont="1" applyAlignment="1" applyProtection="1">
      <alignment horizontal="left" vertical="center"/>
      <protection locked="0"/>
    </xf>
    <xf numFmtId="0" fontId="30" fillId="0" borderId="0" xfId="0" quotePrefix="1" applyFont="1" applyAlignment="1" applyProtection="1">
      <alignment horizontal="left" vertical="center" indent="1"/>
      <protection locked="0"/>
    </xf>
    <xf numFmtId="1" fontId="15" fillId="0" borderId="0" xfId="7" quotePrefix="1" applyNumberFormat="1" applyFont="1" applyAlignment="1">
      <alignment horizontal="right"/>
    </xf>
    <xf numFmtId="43" fontId="15" fillId="0" borderId="0" xfId="7" applyNumberFormat="1" applyFont="1" applyAlignment="1">
      <alignment vertical="center"/>
    </xf>
    <xf numFmtId="164" fontId="12" fillId="2" borderId="0" xfId="6" quotePrefix="1" applyFont="1" applyFill="1" applyBorder="1" applyAlignment="1">
      <alignment horizontal="center" wrapText="1"/>
    </xf>
    <xf numFmtId="164" fontId="12" fillId="0" borderId="0" xfId="6" quotePrefix="1" applyFont="1" applyBorder="1" applyAlignment="1">
      <alignment horizontal="center"/>
    </xf>
    <xf numFmtId="16" fontId="16" fillId="0" borderId="0" xfId="0" applyNumberFormat="1" applyFont="1" applyAlignment="1">
      <alignment horizontal="left"/>
    </xf>
    <xf numFmtId="49" fontId="16" fillId="2" borderId="7" xfId="0" quotePrefix="1" applyNumberFormat="1" applyFont="1" applyFill="1" applyBorder="1" applyAlignment="1">
      <alignment horizontal="left"/>
    </xf>
    <xf numFmtId="49" fontId="31" fillId="2" borderId="0" xfId="0" quotePrefix="1" applyNumberFormat="1" applyFont="1" applyFill="1" applyAlignment="1">
      <alignment horizontal="center"/>
    </xf>
    <xf numFmtId="49" fontId="31" fillId="2" borderId="18" xfId="0" quotePrefix="1" applyNumberFormat="1" applyFont="1" applyFill="1" applyBorder="1" applyAlignment="1">
      <alignment horizontal="center"/>
    </xf>
    <xf numFmtId="49" fontId="16" fillId="2" borderId="2" xfId="0" applyNumberFormat="1" applyFont="1" applyFill="1" applyBorder="1"/>
    <xf numFmtId="49" fontId="16" fillId="2" borderId="19" xfId="0" applyNumberFormat="1" applyFont="1" applyFill="1" applyBorder="1"/>
    <xf numFmtId="0" fontId="15" fillId="0" borderId="0" xfId="0" quotePrefix="1" applyFont="1" applyAlignment="1">
      <alignment vertical="center"/>
    </xf>
    <xf numFmtId="0" fontId="15" fillId="4" borderId="0" xfId="0" quotePrefix="1" applyFont="1" applyFill="1" applyAlignment="1">
      <alignment horizontal="left" vertical="center" indent="1"/>
    </xf>
    <xf numFmtId="0" fontId="34" fillId="2" borderId="16" xfId="0" applyFont="1" applyFill="1" applyBorder="1"/>
    <xf numFmtId="1" fontId="15" fillId="4" borderId="0" xfId="7" applyNumberFormat="1" applyFont="1" applyFill="1" applyAlignment="1">
      <alignment horizontal="right" indent="1"/>
    </xf>
    <xf numFmtId="1" fontId="15" fillId="0" borderId="0" xfId="7" quotePrefix="1" applyNumberFormat="1" applyFont="1" applyAlignment="1">
      <alignment horizontal="right" indent="1"/>
    </xf>
    <xf numFmtId="0" fontId="15" fillId="0" borderId="0" xfId="0" quotePrefix="1" applyFont="1" applyAlignment="1">
      <alignment horizontal="left" vertical="center"/>
    </xf>
    <xf numFmtId="0" fontId="12" fillId="0" borderId="0" xfId="0" quotePrefix="1" applyFont="1" applyAlignment="1">
      <alignment horizontal="left" indent="2"/>
    </xf>
    <xf numFmtId="0" fontId="8" fillId="0" borderId="20" xfId="0" quotePrefix="1" applyFont="1" applyBorder="1" applyAlignment="1">
      <alignment horizontal="left" indent="1"/>
    </xf>
    <xf numFmtId="0" fontId="20" fillId="4" borderId="4" xfId="0" applyFont="1" applyFill="1" applyBorder="1" applyAlignment="1">
      <alignment horizontal="center"/>
    </xf>
    <xf numFmtId="1" fontId="15" fillId="4" borderId="0" xfId="2" applyNumberFormat="1" applyFont="1" applyFill="1" applyBorder="1" applyAlignment="1">
      <alignment horizontal="center"/>
    </xf>
    <xf numFmtId="1" fontId="15" fillId="4" borderId="0" xfId="2" quotePrefix="1" applyNumberFormat="1" applyFont="1" applyFill="1" applyBorder="1" applyAlignment="1">
      <alignment horizontal="left"/>
    </xf>
    <xf numFmtId="49" fontId="15" fillId="4" borderId="0" xfId="0" quotePrefix="1" applyNumberFormat="1" applyFont="1" applyFill="1" applyAlignment="1">
      <alignment horizontal="left"/>
    </xf>
    <xf numFmtId="49" fontId="16" fillId="2" borderId="21" xfId="0" quotePrefix="1" applyNumberFormat="1" applyFont="1" applyFill="1" applyBorder="1" applyAlignment="1">
      <alignment horizontal="left" indent="1"/>
    </xf>
    <xf numFmtId="0" fontId="16" fillId="2" borderId="7" xfId="0" quotePrefix="1" applyFont="1" applyFill="1" applyBorder="1" applyAlignment="1">
      <alignment horizontal="left" indent="1"/>
    </xf>
    <xf numFmtId="0" fontId="12" fillId="2" borderId="0" xfId="0" quotePrefix="1" applyFont="1" applyFill="1" applyAlignment="1">
      <alignment horizontal="left"/>
    </xf>
    <xf numFmtId="0" fontId="14" fillId="2" borderId="0" xfId="0" applyFont="1" applyFill="1" applyAlignment="1">
      <alignment horizontal="left"/>
    </xf>
    <xf numFmtId="0" fontId="16" fillId="0" borderId="0" xfId="0" quotePrefix="1" applyFont="1" applyAlignment="1" applyProtection="1">
      <alignment horizontal="left" indent="2"/>
      <protection locked="0"/>
    </xf>
    <xf numFmtId="0" fontId="16" fillId="0" borderId="0" xfId="0" applyFont="1" applyProtection="1">
      <protection locked="0"/>
    </xf>
    <xf numFmtId="0" fontId="14" fillId="2" borderId="0" xfId="0" quotePrefix="1" applyFont="1" applyFill="1" applyAlignment="1">
      <alignment horizontal="left"/>
    </xf>
    <xf numFmtId="164" fontId="35" fillId="0" borderId="1" xfId="6" quotePrefix="1" applyFont="1" applyBorder="1" applyAlignment="1">
      <alignment horizontal="center"/>
    </xf>
    <xf numFmtId="0" fontId="40" fillId="0" borderId="0" xfId="0" applyFont="1" applyAlignment="1">
      <alignment horizontal="left" indent="2"/>
    </xf>
    <xf numFmtId="0" fontId="40" fillId="0" borderId="0" xfId="0" quotePrefix="1" applyFont="1" applyAlignment="1">
      <alignment horizontal="left" vertical="center" indent="2"/>
    </xf>
    <xf numFmtId="0" fontId="12" fillId="0" borderId="0" xfId="0" applyFont="1" applyAlignment="1">
      <alignment horizontal="left" vertical="center" indent="2"/>
    </xf>
    <xf numFmtId="169" fontId="17" fillId="0" borderId="0" xfId="0" applyNumberFormat="1" applyFont="1" applyAlignment="1">
      <alignment horizontal="left" vertical="center" indent="2"/>
    </xf>
    <xf numFmtId="2" fontId="12" fillId="0" borderId="0" xfId="0" applyNumberFormat="1" applyFont="1" applyAlignment="1">
      <alignment horizontal="left" vertical="center" indent="2"/>
    </xf>
    <xf numFmtId="43" fontId="12" fillId="0" borderId="0" xfId="1" applyFont="1" applyBorder="1" applyAlignment="1">
      <alignment horizontal="left" vertical="center" indent="2"/>
    </xf>
    <xf numFmtId="0" fontId="12" fillId="2" borderId="0" xfId="0" applyFont="1" applyFill="1" applyAlignment="1">
      <alignment horizontal="left" vertical="center" indent="2"/>
    </xf>
    <xf numFmtId="169" fontId="17" fillId="2" borderId="0" xfId="0" applyNumberFormat="1" applyFont="1" applyFill="1" applyAlignment="1">
      <alignment horizontal="left" vertical="center" indent="2"/>
    </xf>
    <xf numFmtId="2" fontId="12" fillId="2" borderId="0" xfId="0" applyNumberFormat="1" applyFont="1" applyFill="1" applyAlignment="1">
      <alignment horizontal="left" vertical="center" indent="2"/>
    </xf>
    <xf numFmtId="0" fontId="40" fillId="0" borderId="0" xfId="0" applyFont="1" applyAlignment="1">
      <alignment horizontal="left" vertical="top" indent="2"/>
    </xf>
    <xf numFmtId="0" fontId="40" fillId="0" borderId="0" xfId="0" quotePrefix="1" applyFont="1" applyAlignment="1">
      <alignment horizontal="left" vertical="top" indent="2"/>
    </xf>
    <xf numFmtId="0" fontId="12" fillId="0" borderId="0" xfId="0" quotePrefix="1" applyFont="1"/>
    <xf numFmtId="44" fontId="12" fillId="0" borderId="0" xfId="1" applyNumberFormat="1" applyFont="1" applyAlignment="1">
      <alignment horizontal="right"/>
    </xf>
    <xf numFmtId="10" fontId="12" fillId="0" borderId="0" xfId="10" applyNumberFormat="1" applyFont="1" applyAlignment="1">
      <alignment horizontal="center"/>
    </xf>
    <xf numFmtId="43" fontId="12" fillId="2" borderId="0" xfId="1" applyFont="1" applyFill="1" applyBorder="1" applyAlignment="1"/>
    <xf numFmtId="0" fontId="40" fillId="2" borderId="0" xfId="0" quotePrefix="1" applyFont="1" applyFill="1" applyAlignment="1">
      <alignment horizontal="left" vertical="center" indent="2"/>
    </xf>
    <xf numFmtId="43" fontId="12" fillId="2" borderId="0" xfId="1" applyFont="1" applyFill="1" applyBorder="1" applyAlignment="1">
      <alignment horizontal="left" vertical="center" indent="2"/>
    </xf>
    <xf numFmtId="0" fontId="40" fillId="2" borderId="0" xfId="0" quotePrefix="1" applyFont="1" applyFill="1" applyAlignment="1">
      <alignment horizontal="left" vertical="top" indent="2"/>
    </xf>
    <xf numFmtId="0" fontId="40" fillId="2" borderId="0" xfId="0" applyFont="1" applyFill="1" applyAlignment="1">
      <alignment horizontal="left" indent="2"/>
    </xf>
    <xf numFmtId="0" fontId="12" fillId="2" borderId="0" xfId="0" quotePrefix="1" applyFont="1" applyFill="1"/>
    <xf numFmtId="44" fontId="12" fillId="2" borderId="0" xfId="1" applyNumberFormat="1" applyFont="1" applyFill="1" applyAlignment="1">
      <alignment horizontal="right"/>
    </xf>
    <xf numFmtId="2" fontId="12" fillId="2" borderId="0" xfId="0" quotePrefix="1" applyNumberFormat="1" applyFont="1" applyFill="1" applyAlignment="1">
      <alignment horizontal="center"/>
    </xf>
    <xf numFmtId="10" fontId="12" fillId="2" borderId="0" xfId="10" applyNumberFormat="1" applyFont="1" applyFill="1" applyAlignment="1">
      <alignment horizontal="center"/>
    </xf>
    <xf numFmtId="43" fontId="12" fillId="2" borderId="5" xfId="1" applyFont="1" applyFill="1" applyBorder="1" applyAlignment="1"/>
    <xf numFmtId="0" fontId="40" fillId="2" borderId="0" xfId="0" applyFont="1" applyFill="1" applyAlignment="1">
      <alignment horizontal="left" vertical="top" indent="2"/>
    </xf>
    <xf numFmtId="181" fontId="17" fillId="0" borderId="1" xfId="1" applyNumberFormat="1" applyFont="1" applyBorder="1" applyAlignment="1">
      <alignment horizontal="center"/>
    </xf>
    <xf numFmtId="0" fontId="35" fillId="0" borderId="0" xfId="0" applyFont="1"/>
    <xf numFmtId="0" fontId="35" fillId="2" borderId="0" xfId="0" applyFont="1" applyFill="1"/>
    <xf numFmtId="0" fontId="35" fillId="2" borderId="0" xfId="0" quotePrefix="1" applyFont="1" applyFill="1" applyAlignment="1">
      <alignment horizontal="left"/>
    </xf>
    <xf numFmtId="0" fontId="35" fillId="0" borderId="0" xfId="0" quotePrefix="1" applyFont="1" applyAlignment="1">
      <alignment horizontal="left"/>
    </xf>
    <xf numFmtId="41" fontId="20" fillId="2" borderId="0" xfId="1" applyNumberFormat="1" applyFont="1" applyFill="1" applyBorder="1" applyAlignment="1"/>
    <xf numFmtId="41" fontId="12" fillId="2" borderId="0" xfId="1" applyNumberFormat="1" applyFont="1" applyFill="1" applyBorder="1" applyAlignment="1"/>
    <xf numFmtId="41" fontId="20" fillId="6" borderId="1" xfId="1" applyNumberFormat="1" applyFont="1" applyFill="1" applyBorder="1" applyAlignment="1"/>
    <xf numFmtId="41" fontId="12" fillId="6" borderId="1" xfId="1" applyNumberFormat="1" applyFont="1" applyFill="1" applyBorder="1" applyAlignment="1"/>
    <xf numFmtId="166" fontId="16" fillId="0" borderId="1" xfId="0" applyNumberFormat="1" applyFont="1" applyBorder="1" applyAlignment="1">
      <alignment horizontal="center"/>
    </xf>
    <xf numFmtId="166" fontId="16" fillId="0" borderId="1" xfId="0" quotePrefix="1" applyNumberFormat="1" applyFont="1" applyBorder="1" applyAlignment="1">
      <alignment horizontal="center"/>
    </xf>
    <xf numFmtId="43" fontId="12" fillId="0" borderId="0" xfId="1" applyFont="1"/>
    <xf numFmtId="43" fontId="20" fillId="2" borderId="1" xfId="1" applyFont="1" applyFill="1" applyBorder="1" applyAlignment="1"/>
    <xf numFmtId="166" fontId="16" fillId="2" borderId="1" xfId="0" applyNumberFormat="1" applyFont="1" applyFill="1" applyBorder="1" applyAlignment="1">
      <alignment horizontal="center"/>
    </xf>
    <xf numFmtId="43" fontId="12" fillId="2" borderId="1" xfId="1" applyFont="1" applyFill="1" applyBorder="1" applyAlignment="1"/>
    <xf numFmtId="166" fontId="16" fillId="2" borderId="1" xfId="0" quotePrefix="1" applyNumberFormat="1" applyFont="1" applyFill="1" applyBorder="1" applyAlignment="1">
      <alignment horizontal="center"/>
    </xf>
    <xf numFmtId="41" fontId="12" fillId="2" borderId="1" xfId="0" applyNumberFormat="1" applyFont="1" applyFill="1" applyBorder="1"/>
    <xf numFmtId="41" fontId="12" fillId="2" borderId="0" xfId="0" applyNumberFormat="1" applyFont="1" applyFill="1"/>
    <xf numFmtId="166" fontId="12" fillId="2" borderId="0" xfId="0" applyNumberFormat="1" applyFont="1" applyFill="1" applyAlignment="1">
      <alignment horizontal="center"/>
    </xf>
    <xf numFmtId="43" fontId="12" fillId="2" borderId="0" xfId="1" applyFont="1" applyFill="1" applyAlignment="1"/>
    <xf numFmtId="166" fontId="12" fillId="0" borderId="0" xfId="0" applyNumberFormat="1" applyFont="1" applyAlignment="1">
      <alignment horizontal="center"/>
    </xf>
    <xf numFmtId="0" fontId="3" fillId="0" borderId="0" xfId="0" quotePrefix="1" applyFont="1" applyAlignment="1">
      <alignment horizontal="left"/>
    </xf>
    <xf numFmtId="43" fontId="14" fillId="0" borderId="0" xfId="1" applyFont="1" applyFill="1" applyBorder="1" applyAlignment="1"/>
    <xf numFmtId="43" fontId="24" fillId="0" borderId="0" xfId="1" applyFont="1" applyFill="1" applyBorder="1" applyAlignment="1"/>
    <xf numFmtId="170" fontId="43" fillId="0" borderId="0" xfId="6" applyNumberFormat="1" applyFont="1" applyFill="1" applyBorder="1" applyAlignment="1"/>
    <xf numFmtId="0" fontId="14" fillId="0" borderId="0" xfId="0" applyFont="1" applyAlignment="1">
      <alignment horizontal="right"/>
    </xf>
    <xf numFmtId="7" fontId="42" fillId="0" borderId="0" xfId="0" quotePrefix="1" applyNumberFormat="1" applyFont="1" applyAlignment="1">
      <alignment horizontal="center"/>
    </xf>
    <xf numFmtId="17" fontId="42" fillId="0" borderId="0" xfId="0" quotePrefix="1" applyNumberFormat="1" applyFont="1" applyAlignment="1">
      <alignment horizontal="center"/>
    </xf>
    <xf numFmtId="7" fontId="42" fillId="0" borderId="0" xfId="0" applyNumberFormat="1" applyFont="1" applyAlignment="1">
      <alignment horizontal="center"/>
    </xf>
    <xf numFmtId="2" fontId="14" fillId="0" borderId="0" xfId="0" quotePrefix="1" applyNumberFormat="1" applyFont="1" applyAlignment="1">
      <alignment horizontal="center"/>
    </xf>
    <xf numFmtId="0" fontId="43" fillId="0" borderId="0" xfId="0" quotePrefix="1" applyFont="1" applyAlignment="1">
      <alignment horizontal="center"/>
    </xf>
    <xf numFmtId="0" fontId="42" fillId="0" borderId="0" xfId="0" quotePrefix="1" applyFont="1" applyAlignment="1">
      <alignment horizontal="center"/>
    </xf>
    <xf numFmtId="0" fontId="42" fillId="0" borderId="0" xfId="0" applyFont="1" applyAlignment="1">
      <alignment horizontal="center"/>
    </xf>
    <xf numFmtId="43" fontId="12" fillId="6" borderId="0" xfId="1" applyFont="1" applyFill="1"/>
    <xf numFmtId="0" fontId="12" fillId="0" borderId="0" xfId="0" quotePrefix="1" applyFont="1" applyAlignment="1">
      <alignment horizontal="left" wrapText="1"/>
    </xf>
    <xf numFmtId="2" fontId="37" fillId="0" borderId="0" xfId="0" applyNumberFormat="1" applyFont="1" applyAlignment="1">
      <alignment horizontal="left" indent="3"/>
    </xf>
    <xf numFmtId="2" fontId="22" fillId="2" borderId="0" xfId="0" applyNumberFormat="1" applyFont="1" applyFill="1" applyAlignment="1">
      <alignment horizontal="left"/>
    </xf>
    <xf numFmtId="0" fontId="12" fillId="2" borderId="0" xfId="0" quotePrefix="1" applyFont="1" applyFill="1" applyAlignment="1">
      <alignment horizontal="left" wrapText="1"/>
    </xf>
    <xf numFmtId="7" fontId="18" fillId="0" borderId="1" xfId="0" quotePrefix="1" applyNumberFormat="1" applyFont="1" applyBorder="1" applyAlignment="1">
      <alignment horizontal="center"/>
    </xf>
    <xf numFmtId="43" fontId="29" fillId="0" borderId="0" xfId="7" applyNumberFormat="1" applyFont="1"/>
    <xf numFmtId="49" fontId="15" fillId="0" borderId="0" xfId="0" quotePrefix="1" applyNumberFormat="1" applyFont="1" applyFill="1" applyAlignment="1">
      <alignment horizontal="left" indent="1"/>
    </xf>
    <xf numFmtId="0" fontId="16" fillId="2" borderId="7" xfId="0" quotePrefix="1" applyFont="1" applyFill="1" applyBorder="1" applyAlignment="1">
      <alignment horizontal="left"/>
    </xf>
    <xf numFmtId="0" fontId="15" fillId="0" borderId="0" xfId="7" applyFont="1" applyFill="1" applyAlignment="1">
      <alignment vertical="center"/>
    </xf>
    <xf numFmtId="0" fontId="16" fillId="0" borderId="0" xfId="7" applyFont="1" applyFill="1" applyBorder="1" applyAlignment="1">
      <alignment vertical="center"/>
    </xf>
    <xf numFmtId="0" fontId="15" fillId="0" borderId="0" xfId="7" applyFont="1" applyFill="1" applyAlignment="1">
      <alignment horizontal="center" vertical="center"/>
    </xf>
    <xf numFmtId="0" fontId="15" fillId="0" borderId="0" xfId="7" applyFont="1" applyFill="1" applyBorder="1" applyAlignment="1">
      <alignment horizontal="center" vertical="center"/>
    </xf>
    <xf numFmtId="0" fontId="15" fillId="0" borderId="0" xfId="7" quotePrefix="1" applyFont="1" applyFill="1" applyAlignment="1">
      <alignment horizontal="left" vertical="center"/>
    </xf>
    <xf numFmtId="49" fontId="44" fillId="0" borderId="0" xfId="1" quotePrefix="1" applyNumberFormat="1" applyFont="1" applyFill="1" applyBorder="1" applyAlignment="1">
      <alignment horizontal="center" vertical="center"/>
    </xf>
    <xf numFmtId="43" fontId="15" fillId="0" borderId="5" xfId="1" applyFont="1" applyFill="1" applyBorder="1" applyAlignment="1">
      <alignment vertical="center"/>
    </xf>
    <xf numFmtId="0" fontId="16" fillId="0" borderId="0" xfId="7" quotePrefix="1" applyFont="1" applyFill="1" applyBorder="1" applyAlignment="1">
      <alignment vertical="center"/>
    </xf>
    <xf numFmtId="0" fontId="27" fillId="0" borderId="0" xfId="7" applyFont="1" applyFill="1" applyBorder="1" applyAlignment="1">
      <alignment horizontal="center" vertical="center"/>
    </xf>
    <xf numFmtId="43" fontId="15" fillId="0" borderId="25" xfId="1" applyFont="1" applyFill="1" applyBorder="1" applyAlignment="1">
      <alignment vertical="center"/>
    </xf>
    <xf numFmtId="43" fontId="27" fillId="0" borderId="25" xfId="1" applyFont="1" applyFill="1" applyBorder="1" applyAlignment="1">
      <alignment vertical="center"/>
    </xf>
    <xf numFmtId="43" fontId="15" fillId="0" borderId="15" xfId="1" applyFont="1" applyFill="1" applyBorder="1" applyAlignment="1">
      <alignment vertical="center"/>
    </xf>
    <xf numFmtId="0" fontId="7" fillId="0" borderId="0" xfId="7" quotePrefix="1" applyFont="1" applyFill="1" applyBorder="1" applyAlignment="1">
      <alignment horizontal="center" vertical="center"/>
    </xf>
    <xf numFmtId="0" fontId="27" fillId="0" borderId="0" xfId="7" quotePrefix="1" applyFont="1" applyFill="1" applyBorder="1" applyAlignment="1">
      <alignment horizontal="left" vertical="center"/>
    </xf>
    <xf numFmtId="182" fontId="27" fillId="0" borderId="0" xfId="7" applyNumberFormat="1" applyFont="1" applyFill="1" applyBorder="1" applyAlignment="1">
      <alignment horizontal="center" vertical="center"/>
    </xf>
    <xf numFmtId="0" fontId="27" fillId="0" borderId="0" xfId="7" applyFont="1" applyFill="1" applyBorder="1" applyAlignment="1">
      <alignment vertical="center"/>
    </xf>
    <xf numFmtId="0" fontId="16" fillId="0" borderId="0" xfId="7" quotePrefix="1" applyFont="1" applyFill="1" applyBorder="1" applyAlignment="1">
      <alignment horizontal="center" vertical="center"/>
    </xf>
    <xf numFmtId="0" fontId="15" fillId="0" borderId="0" xfId="7" quotePrefix="1" applyFont="1" applyFill="1" applyBorder="1" applyAlignment="1">
      <alignment horizontal="left"/>
    </xf>
    <xf numFmtId="0" fontId="16" fillId="0" borderId="0" xfId="7" quotePrefix="1" applyFont="1" applyFill="1" applyBorder="1" applyAlignment="1">
      <alignment horizontal="center" vertical="center" wrapText="1"/>
    </xf>
    <xf numFmtId="43" fontId="45" fillId="0" borderId="4" xfId="1" quotePrefix="1" applyFont="1" applyFill="1" applyBorder="1" applyAlignment="1">
      <alignment horizontal="center" vertical="center"/>
    </xf>
    <xf numFmtId="49" fontId="16" fillId="3" borderId="26" xfId="1" quotePrefix="1" applyNumberFormat="1" applyFont="1" applyFill="1" applyBorder="1" applyAlignment="1">
      <alignment horizontal="center" vertical="center"/>
    </xf>
    <xf numFmtId="49" fontId="16" fillId="0" borderId="26" xfId="1" quotePrefix="1" applyNumberFormat="1" applyFont="1" applyFill="1" applyBorder="1" applyAlignment="1">
      <alignment horizontal="center" vertical="center"/>
    </xf>
    <xf numFmtId="43" fontId="16" fillId="0" borderId="0" xfId="1" applyFont="1" applyFill="1" applyBorder="1" applyAlignment="1">
      <alignment horizontal="center" vertical="center"/>
    </xf>
    <xf numFmtId="43" fontId="16" fillId="0" borderId="4" xfId="1" quotePrefix="1" applyFont="1" applyFill="1" applyBorder="1" applyAlignment="1">
      <alignment horizontal="center" vertical="center"/>
    </xf>
    <xf numFmtId="49" fontId="16" fillId="0" borderId="4" xfId="1" quotePrefix="1" applyNumberFormat="1" applyFont="1" applyFill="1" applyBorder="1" applyAlignment="1">
      <alignment horizontal="center" vertical="center"/>
    </xf>
    <xf numFmtId="0" fontId="45" fillId="0" borderId="27" xfId="7" applyFont="1" applyFill="1" applyBorder="1" applyAlignment="1">
      <alignment horizontal="center" vertical="center"/>
    </xf>
    <xf numFmtId="0" fontId="45" fillId="0" borderId="28" xfId="7" applyFont="1" applyFill="1" applyBorder="1" applyAlignment="1">
      <alignment horizontal="center" vertical="center"/>
    </xf>
    <xf numFmtId="0" fontId="45" fillId="0" borderId="0" xfId="9" quotePrefix="1" applyFont="1" applyFill="1" applyAlignment="1">
      <alignment horizontal="left" vertical="center"/>
    </xf>
    <xf numFmtId="1" fontId="16" fillId="0" borderId="0" xfId="7" quotePrefix="1" applyNumberFormat="1" applyFont="1" applyAlignment="1">
      <alignment horizontal="left"/>
    </xf>
    <xf numFmtId="43" fontId="15" fillId="0" borderId="0" xfId="1" applyFont="1" applyBorder="1" applyAlignment="1"/>
    <xf numFmtId="1" fontId="16" fillId="0" borderId="0" xfId="7" quotePrefix="1" applyNumberFormat="1" applyFont="1" applyBorder="1" applyAlignment="1">
      <alignment horizontal="center"/>
    </xf>
    <xf numFmtId="0" fontId="16" fillId="0" borderId="12" xfId="7" quotePrefix="1" applyFont="1" applyBorder="1" applyAlignment="1">
      <alignment horizontal="center"/>
    </xf>
    <xf numFmtId="43" fontId="16" fillId="0" borderId="12" xfId="7" quotePrefix="1" applyNumberFormat="1" applyFont="1" applyBorder="1" applyAlignment="1">
      <alignment horizontal="center"/>
    </xf>
    <xf numFmtId="43" fontId="16" fillId="0" borderId="0" xfId="7" quotePrefix="1" applyNumberFormat="1" applyFont="1" applyBorder="1" applyAlignment="1">
      <alignment horizontal="center"/>
    </xf>
    <xf numFmtId="0" fontId="16" fillId="7" borderId="12" xfId="7" quotePrefix="1" applyFont="1" applyFill="1" applyBorder="1" applyAlignment="1">
      <alignment horizontal="center"/>
    </xf>
    <xf numFmtId="43" fontId="16" fillId="7" borderId="12" xfId="7" quotePrefix="1" applyNumberFormat="1" applyFont="1" applyFill="1" applyBorder="1" applyAlignment="1">
      <alignment horizontal="center"/>
    </xf>
    <xf numFmtId="178" fontId="16" fillId="0" borderId="13" xfId="7" applyNumberFormat="1" applyFont="1" applyBorder="1" applyAlignment="1">
      <alignment horizontal="center"/>
    </xf>
    <xf numFmtId="178" fontId="16" fillId="0" borderId="0" xfId="7" applyNumberFormat="1" applyFont="1" applyBorder="1" applyAlignment="1">
      <alignment horizontal="center"/>
    </xf>
    <xf numFmtId="178" fontId="16" fillId="7" borderId="13" xfId="7" applyNumberFormat="1" applyFont="1" applyFill="1" applyBorder="1" applyAlignment="1">
      <alignment horizontal="center"/>
    </xf>
    <xf numFmtId="43" fontId="15" fillId="0" borderId="29" xfId="7" applyNumberFormat="1" applyFont="1" applyBorder="1"/>
    <xf numFmtId="43" fontId="15" fillId="0" borderId="14" xfId="7" applyNumberFormat="1" applyFont="1" applyBorder="1"/>
    <xf numFmtId="43" fontId="15" fillId="0" borderId="30" xfId="7" applyNumberFormat="1" applyFont="1" applyBorder="1"/>
    <xf numFmtId="43" fontId="15" fillId="7" borderId="29" xfId="7" applyNumberFormat="1" applyFont="1" applyFill="1" applyBorder="1"/>
    <xf numFmtId="43" fontId="15" fillId="7" borderId="14" xfId="7" applyNumberFormat="1" applyFont="1" applyFill="1" applyBorder="1"/>
    <xf numFmtId="43" fontId="15" fillId="7" borderId="30" xfId="7" applyNumberFormat="1" applyFont="1" applyFill="1" applyBorder="1"/>
    <xf numFmtId="43" fontId="15" fillId="0" borderId="0" xfId="7" applyNumberFormat="1" applyFont="1" applyBorder="1"/>
    <xf numFmtId="43" fontId="15" fillId="0" borderId="31" xfId="7" applyNumberFormat="1" applyFont="1" applyBorder="1"/>
    <xf numFmtId="0" fontId="15" fillId="0" borderId="0" xfId="7" quotePrefix="1" applyFont="1"/>
    <xf numFmtId="43" fontId="15" fillId="0" borderId="32" xfId="7" applyNumberFormat="1" applyFont="1" applyBorder="1"/>
    <xf numFmtId="43" fontId="15" fillId="0" borderId="15" xfId="7" applyNumberFormat="1" applyFont="1" applyBorder="1"/>
    <xf numFmtId="43" fontId="15" fillId="0" borderId="33" xfId="1" applyFont="1" applyBorder="1" applyAlignment="1"/>
    <xf numFmtId="43" fontId="15" fillId="7" borderId="32" xfId="7" applyNumberFormat="1" applyFont="1" applyFill="1" applyBorder="1"/>
    <xf numFmtId="43" fontId="15" fillId="7" borderId="15" xfId="7" applyNumberFormat="1" applyFont="1" applyFill="1" applyBorder="1"/>
    <xf numFmtId="43" fontId="15" fillId="7" borderId="33" xfId="1" applyFont="1" applyFill="1" applyBorder="1" applyAlignment="1"/>
    <xf numFmtId="43" fontId="15" fillId="0" borderId="31" xfId="1" applyFont="1" applyFill="1" applyBorder="1" applyAlignment="1"/>
    <xf numFmtId="1" fontId="16" fillId="0" borderId="0" xfId="7" quotePrefix="1" applyNumberFormat="1" applyFont="1" applyFill="1" applyBorder="1" applyAlignment="1"/>
    <xf numFmtId="0" fontId="15" fillId="0" borderId="0" xfId="7" quotePrefix="1" applyFont="1" applyAlignment="1">
      <alignment horizontal="left" indent="1"/>
    </xf>
    <xf numFmtId="43" fontId="15" fillId="0" borderId="34" xfId="7" applyNumberFormat="1" applyFont="1" applyBorder="1"/>
    <xf numFmtId="43" fontId="15" fillId="0" borderId="25" xfId="7" applyNumberFormat="1" applyFont="1" applyBorder="1"/>
    <xf numFmtId="43" fontId="15" fillId="0" borderId="35" xfId="1" applyFont="1" applyBorder="1" applyAlignment="1"/>
    <xf numFmtId="43" fontId="15" fillId="7" borderId="34" xfId="7" applyNumberFormat="1" applyFont="1" applyFill="1" applyBorder="1"/>
    <xf numFmtId="43" fontId="15" fillId="7" borderId="25" xfId="7" applyNumberFormat="1" applyFont="1" applyFill="1" applyBorder="1"/>
    <xf numFmtId="43" fontId="15" fillId="7" borderId="35" xfId="1" applyFont="1" applyFill="1" applyBorder="1" applyAlignment="1"/>
    <xf numFmtId="43" fontId="15" fillId="0" borderId="36" xfId="7" applyNumberFormat="1" applyFont="1" applyBorder="1"/>
    <xf numFmtId="43" fontId="15" fillId="0" borderId="37" xfId="7" applyNumberFormat="1" applyFont="1" applyBorder="1"/>
    <xf numFmtId="43" fontId="15" fillId="0" borderId="38" xfId="1" applyFont="1" applyBorder="1" applyAlignment="1"/>
    <xf numFmtId="43" fontId="15" fillId="7" borderId="36" xfId="7" applyNumberFormat="1" applyFont="1" applyFill="1" applyBorder="1"/>
    <xf numFmtId="43" fontId="15" fillId="7" borderId="37" xfId="7" applyNumberFormat="1" applyFont="1" applyFill="1" applyBorder="1"/>
    <xf numFmtId="43" fontId="15" fillId="7" borderId="38" xfId="1" applyFont="1" applyFill="1" applyBorder="1" applyAlignment="1"/>
    <xf numFmtId="43" fontId="15" fillId="0" borderId="39" xfId="7" applyNumberFormat="1" applyFont="1" applyBorder="1"/>
    <xf numFmtId="43" fontId="15" fillId="0" borderId="40" xfId="7" applyNumberFormat="1" applyFont="1" applyBorder="1"/>
    <xf numFmtId="43" fontId="15" fillId="0" borderId="30" xfId="1" applyFont="1" applyBorder="1" applyAlignment="1"/>
    <xf numFmtId="43" fontId="15" fillId="0" borderId="41" xfId="1" applyFont="1" applyFill="1" applyBorder="1" applyAlignment="1"/>
    <xf numFmtId="43" fontId="15" fillId="0" borderId="33" xfId="1" applyFont="1" applyFill="1" applyBorder="1" applyAlignment="1"/>
    <xf numFmtId="43" fontId="15" fillId="0" borderId="42" xfId="1" applyFont="1" applyFill="1" applyBorder="1" applyAlignment="1"/>
    <xf numFmtId="43" fontId="15" fillId="0" borderId="43" xfId="7" applyNumberFormat="1" applyFont="1" applyBorder="1"/>
    <xf numFmtId="43" fontId="15" fillId="0" borderId="41" xfId="7" applyNumberFormat="1" applyFont="1" applyBorder="1"/>
    <xf numFmtId="43" fontId="15" fillId="0" borderId="35" xfId="1" applyFont="1" applyFill="1" applyBorder="1" applyAlignment="1"/>
    <xf numFmtId="43" fontId="15" fillId="0" borderId="44" xfId="7" applyNumberFormat="1" applyFont="1" applyBorder="1"/>
    <xf numFmtId="43" fontId="15" fillId="7" borderId="4" xfId="1" applyFont="1" applyFill="1" applyBorder="1" applyAlignment="1">
      <alignment horizontal="center"/>
    </xf>
    <xf numFmtId="0" fontId="15" fillId="0" borderId="0" xfId="7" applyFont="1" applyFill="1"/>
    <xf numFmtId="0" fontId="15" fillId="0" borderId="0" xfId="7" quotePrefix="1" applyFont="1" applyFill="1"/>
    <xf numFmtId="0" fontId="15" fillId="0" borderId="0" xfId="7" quotePrefix="1" applyFont="1" applyFill="1" applyAlignment="1">
      <alignment horizontal="center"/>
    </xf>
    <xf numFmtId="43" fontId="15" fillId="0" borderId="31" xfId="7" applyNumberFormat="1" applyFont="1" applyFill="1" applyBorder="1"/>
    <xf numFmtId="43" fontId="15" fillId="0" borderId="41" xfId="7" applyNumberFormat="1" applyFont="1" applyFill="1" applyBorder="1"/>
    <xf numFmtId="43" fontId="15" fillId="0" borderId="39" xfId="7" applyNumberFormat="1" applyFont="1" applyFill="1" applyBorder="1"/>
    <xf numFmtId="0" fontId="15" fillId="0" borderId="0" xfId="7" quotePrefix="1" applyFont="1" applyFill="1" applyAlignment="1">
      <alignment horizontal="left"/>
    </xf>
    <xf numFmtId="43" fontId="15" fillId="0" borderId="44" xfId="7" applyNumberFormat="1" applyFont="1" applyFill="1" applyBorder="1"/>
    <xf numFmtId="43" fontId="15" fillId="0" borderId="45" xfId="7" applyNumberFormat="1" applyFont="1" applyFill="1" applyBorder="1"/>
    <xf numFmtId="0" fontId="16" fillId="0" borderId="0" xfId="7" quotePrefix="1" applyFont="1" applyAlignment="1">
      <alignment horizontal="right"/>
    </xf>
    <xf numFmtId="42" fontId="15" fillId="0" borderId="0" xfId="7" quotePrefix="1" applyNumberFormat="1" applyFont="1" applyFill="1"/>
    <xf numFmtId="42" fontId="15" fillId="0" borderId="0" xfId="7" quotePrefix="1" applyNumberFormat="1" applyFont="1" applyFill="1" applyAlignment="1">
      <alignment horizontal="left"/>
    </xf>
    <xf numFmtId="0" fontId="16" fillId="0" borderId="0" xfId="0" quotePrefix="1" applyFont="1" applyAlignment="1">
      <alignment horizontal="center"/>
    </xf>
    <xf numFmtId="0" fontId="31" fillId="0" borderId="22" xfId="0" quotePrefix="1" applyFont="1" applyBorder="1" applyAlignment="1">
      <alignment horizontal="center"/>
    </xf>
    <xf numFmtId="0" fontId="31" fillId="0" borderId="23" xfId="0" quotePrefix="1" applyFont="1" applyBorder="1" applyAlignment="1">
      <alignment horizontal="center"/>
    </xf>
    <xf numFmtId="0" fontId="31" fillId="0" borderId="24" xfId="0" quotePrefix="1" applyFont="1" applyBorder="1" applyAlignment="1">
      <alignment horizontal="center"/>
    </xf>
    <xf numFmtId="0" fontId="16" fillId="0" borderId="1" xfId="7" applyFont="1" applyFill="1" applyBorder="1" applyAlignment="1">
      <alignment horizontal="center" vertical="center"/>
    </xf>
    <xf numFmtId="1" fontId="16" fillId="2" borderId="4" xfId="7" quotePrefix="1" applyNumberFormat="1" applyFont="1" applyFill="1" applyBorder="1" applyAlignment="1">
      <alignment horizontal="center"/>
    </xf>
    <xf numFmtId="43" fontId="28" fillId="4" borderId="4" xfId="1" quotePrefix="1" applyFont="1" applyFill="1" applyBorder="1" applyAlignment="1">
      <alignment horizontal="center"/>
    </xf>
    <xf numFmtId="0" fontId="16" fillId="0" borderId="10" xfId="7" applyFont="1" applyBorder="1" applyAlignment="1">
      <alignment horizontal="center"/>
    </xf>
    <xf numFmtId="0" fontId="16" fillId="0" borderId="5" xfId="7" applyFont="1" applyBorder="1" applyAlignment="1">
      <alignment horizontal="center"/>
    </xf>
    <xf numFmtId="43" fontId="28" fillId="7" borderId="4" xfId="1" quotePrefix="1" applyFont="1" applyFill="1" applyBorder="1" applyAlignment="1">
      <alignment horizontal="center"/>
    </xf>
    <xf numFmtId="49" fontId="31" fillId="0" borderId="4" xfId="7" quotePrefix="1" applyNumberFormat="1" applyFont="1" applyBorder="1" applyAlignment="1">
      <alignment horizontal="center"/>
    </xf>
    <xf numFmtId="49" fontId="31" fillId="0" borderId="4" xfId="7" applyNumberFormat="1" applyFont="1" applyBorder="1" applyAlignment="1">
      <alignment horizontal="center"/>
    </xf>
    <xf numFmtId="3" fontId="12" fillId="0" borderId="0" xfId="0" quotePrefix="1" applyNumberFormat="1" applyFont="1" applyAlignment="1">
      <alignment horizontal="center"/>
    </xf>
    <xf numFmtId="0" fontId="12" fillId="0" borderId="0" xfId="0" applyFont="1" applyAlignment="1">
      <alignment horizontal="right"/>
    </xf>
    <xf numFmtId="0" fontId="12" fillId="0" borderId="0" xfId="0" quotePrefix="1" applyFont="1" applyAlignment="1">
      <alignment horizontal="left"/>
    </xf>
    <xf numFmtId="0" fontId="12" fillId="0" borderId="0" xfId="0" applyFont="1" applyAlignment="1">
      <alignment horizontal="left"/>
    </xf>
    <xf numFmtId="0" fontId="12" fillId="0" borderId="0" xfId="0" applyFont="1" applyAlignment="1">
      <alignment horizontal="left" indent="2"/>
    </xf>
    <xf numFmtId="7" fontId="12" fillId="0" borderId="0" xfId="0" applyNumberFormat="1" applyFont="1" applyAlignment="1">
      <alignment horizontal="right"/>
    </xf>
    <xf numFmtId="0" fontId="12" fillId="9" borderId="1" xfId="0" applyFont="1" applyFill="1" applyBorder="1" applyAlignment="1">
      <alignment horizontal="center"/>
    </xf>
    <xf numFmtId="0" fontId="35" fillId="0" borderId="0" xfId="0" quotePrefix="1" applyFont="1" applyAlignment="1">
      <alignment horizontal="right"/>
    </xf>
    <xf numFmtId="0" fontId="12" fillId="0" borderId="0" xfId="0" applyFont="1" applyAlignment="1">
      <alignment horizontal="center"/>
    </xf>
    <xf numFmtId="0" fontId="12" fillId="0" borderId="1" xfId="0" applyFont="1" applyBorder="1" applyAlignment="1">
      <alignment horizontal="center"/>
    </xf>
    <xf numFmtId="0" fontId="12" fillId="0" borderId="0" xfId="0" quotePrefix="1" applyFont="1" applyAlignment="1">
      <alignment horizontal="center"/>
    </xf>
    <xf numFmtId="2" fontId="37" fillId="0" borderId="0" xfId="0" applyNumberFormat="1" applyFont="1" applyAlignment="1">
      <alignment horizontal="left" indent="3"/>
    </xf>
    <xf numFmtId="4" fontId="12" fillId="0" borderId="0" xfId="0" quotePrefix="1" applyNumberFormat="1" applyFont="1" applyAlignment="1">
      <alignment horizontal="center"/>
    </xf>
    <xf numFmtId="0" fontId="35" fillId="0" borderId="0" xfId="0" applyFont="1" applyAlignment="1">
      <alignment horizontal="right"/>
    </xf>
    <xf numFmtId="174" fontId="12" fillId="0" borderId="0" xfId="0" applyNumberFormat="1" applyFont="1"/>
    <xf numFmtId="0" fontId="12" fillId="0" borderId="0" xfId="0" quotePrefix="1" applyFont="1" applyAlignment="1">
      <alignment horizontal="left" wrapText="1"/>
    </xf>
    <xf numFmtId="0" fontId="12" fillId="0" borderId="6" xfId="0" applyFont="1" applyBorder="1" applyAlignment="1">
      <alignment horizontal="left" indent="2"/>
    </xf>
    <xf numFmtId="7" fontId="12" fillId="0" borderId="6" xfId="0" applyNumberFormat="1" applyFont="1" applyBorder="1" applyAlignment="1">
      <alignment horizontal="right"/>
    </xf>
    <xf numFmtId="174" fontId="12" fillId="0" borderId="9" xfId="0" applyNumberFormat="1" applyFont="1" applyBorder="1"/>
    <xf numFmtId="2" fontId="22" fillId="0" borderId="0" xfId="0" applyNumberFormat="1" applyFont="1" applyAlignment="1">
      <alignment horizontal="left"/>
    </xf>
    <xf numFmtId="0" fontId="12" fillId="0" borderId="0" xfId="0" applyFont="1" applyAlignment="1">
      <alignment horizontal="left" wrapText="1"/>
    </xf>
    <xf numFmtId="0" fontId="14" fillId="0" borderId="0" xfId="0" applyFont="1" applyAlignment="1">
      <alignment horizontal="left" vertical="center" wrapText="1"/>
    </xf>
    <xf numFmtId="0" fontId="14" fillId="0" borderId="0" xfId="0" applyFont="1" applyAlignment="1">
      <alignment horizontal="right"/>
    </xf>
    <xf numFmtId="0" fontId="35" fillId="0" borderId="0" xfId="0" quotePrefix="1" applyFont="1" applyAlignment="1">
      <alignment horizontal="center"/>
    </xf>
    <xf numFmtId="168" fontId="12" fillId="0" borderId="0" xfId="0" applyNumberFormat="1" applyFont="1" applyAlignment="1">
      <alignment horizontal="center"/>
    </xf>
    <xf numFmtId="0" fontId="12" fillId="0" borderId="0" xfId="0" quotePrefix="1" applyFont="1" applyAlignment="1">
      <alignment horizontal="left" indent="2"/>
    </xf>
    <xf numFmtId="2" fontId="12" fillId="0" borderId="0" xfId="0" applyNumberFormat="1" applyFont="1" applyAlignment="1">
      <alignment horizontal="center"/>
    </xf>
    <xf numFmtId="0" fontId="12" fillId="0" borderId="1" xfId="0" applyFont="1" applyBorder="1" applyAlignment="1">
      <alignment horizontal="left" wrapText="1"/>
    </xf>
    <xf numFmtId="0" fontId="12" fillId="0" borderId="6" xfId="0" applyFont="1" applyBorder="1" applyAlignment="1">
      <alignment horizontal="left"/>
    </xf>
    <xf numFmtId="168" fontId="12" fillId="0" borderId="6" xfId="0" applyNumberFormat="1" applyFont="1" applyBorder="1" applyAlignment="1">
      <alignment horizontal="center"/>
    </xf>
    <xf numFmtId="0" fontId="13" fillId="0" borderId="7" xfId="0" applyFont="1" applyBorder="1" applyAlignment="1">
      <alignment horizontal="left"/>
    </xf>
    <xf numFmtId="0" fontId="13" fillId="0" borderId="0" xfId="0" applyFont="1" applyAlignment="1">
      <alignment horizontal="left"/>
    </xf>
    <xf numFmtId="4" fontId="12" fillId="0" borderId="0" xfId="0" applyNumberFormat="1" applyFont="1"/>
    <xf numFmtId="4" fontId="13" fillId="0" borderId="0" xfId="0" applyNumberFormat="1" applyFont="1" applyAlignment="1">
      <alignment horizontal="left"/>
    </xf>
    <xf numFmtId="4" fontId="12" fillId="0" borderId="0" xfId="0" quotePrefix="1" applyNumberFormat="1" applyFont="1" applyAlignment="1">
      <alignment horizontal="left"/>
    </xf>
    <xf numFmtId="168" fontId="12" fillId="0" borderId="0" xfId="0" applyNumberFormat="1" applyFont="1" applyAlignment="1">
      <alignment horizontal="center" wrapText="1"/>
    </xf>
    <xf numFmtId="168" fontId="12" fillId="0" borderId="1" xfId="0" applyNumberFormat="1" applyFont="1" applyBorder="1" applyAlignment="1">
      <alignment horizontal="center" wrapText="1"/>
    </xf>
    <xf numFmtId="0" fontId="12" fillId="0" borderId="1" xfId="0" quotePrefix="1" applyFont="1" applyBorder="1" applyAlignment="1">
      <alignment horizontal="center"/>
    </xf>
    <xf numFmtId="168" fontId="12" fillId="0" borderId="1" xfId="0" quotePrefix="1" applyNumberFormat="1" applyFont="1" applyBorder="1" applyAlignment="1">
      <alignment horizontal="center"/>
    </xf>
    <xf numFmtId="168" fontId="12" fillId="6" borderId="0" xfId="0" applyNumberFormat="1" applyFont="1" applyFill="1" applyAlignment="1">
      <alignment horizontal="center"/>
    </xf>
    <xf numFmtId="2" fontId="38" fillId="0" borderId="0" xfId="0" applyNumberFormat="1" applyFont="1" applyAlignment="1">
      <alignment horizontal="center" wrapText="1"/>
    </xf>
    <xf numFmtId="2" fontId="38" fillId="0" borderId="1" xfId="0" applyNumberFormat="1" applyFont="1" applyBorder="1" applyAlignment="1">
      <alignment horizontal="center" wrapText="1"/>
    </xf>
    <xf numFmtId="168" fontId="12" fillId="6" borderId="6" xfId="0" applyNumberFormat="1" applyFont="1" applyFill="1" applyBorder="1" applyAlignment="1">
      <alignment horizontal="center"/>
    </xf>
    <xf numFmtId="0" fontId="36" fillId="0" borderId="7" xfId="0" applyFont="1" applyBorder="1" applyAlignment="1">
      <alignment horizontal="left"/>
    </xf>
    <xf numFmtId="0" fontId="36" fillId="0" borderId="0" xfId="0" applyFont="1" applyAlignment="1">
      <alignment horizontal="left"/>
    </xf>
    <xf numFmtId="0" fontId="11" fillId="2" borderId="0" xfId="0" applyFont="1" applyFill="1" applyAlignment="1">
      <alignment horizontal="center"/>
    </xf>
    <xf numFmtId="0" fontId="12" fillId="2" borderId="0" xfId="0" applyFont="1" applyFill="1" applyAlignment="1">
      <alignment horizontal="center"/>
    </xf>
    <xf numFmtId="4" fontId="12" fillId="2" borderId="0" xfId="0" applyNumberFormat="1" applyFont="1" applyFill="1" applyAlignment="1">
      <alignment horizontal="left"/>
    </xf>
    <xf numFmtId="4" fontId="13" fillId="2" borderId="0" xfId="0" applyNumberFormat="1" applyFont="1" applyFill="1" applyAlignment="1">
      <alignment horizontal="left"/>
    </xf>
    <xf numFmtId="4" fontId="12" fillId="0" borderId="0" xfId="0" applyNumberFormat="1" applyFont="1" applyAlignment="1">
      <alignment horizontal="left"/>
    </xf>
    <xf numFmtId="0" fontId="14" fillId="2" borderId="0" xfId="0" applyFont="1" applyFill="1" applyAlignment="1">
      <alignment horizontal="center"/>
    </xf>
    <xf numFmtId="7" fontId="15" fillId="2" borderId="0" xfId="0" applyNumberFormat="1" applyFont="1" applyFill="1" applyAlignment="1">
      <alignment horizontal="center"/>
    </xf>
    <xf numFmtId="0" fontId="12" fillId="2" borderId="0" xfId="0" applyFont="1" applyFill="1" applyAlignment="1">
      <alignment horizontal="left"/>
    </xf>
    <xf numFmtId="2" fontId="18" fillId="2" borderId="5" xfId="0" applyNumberFormat="1" applyFont="1" applyFill="1" applyBorder="1" applyAlignment="1">
      <alignment horizontal="center"/>
    </xf>
    <xf numFmtId="168" fontId="12" fillId="2" borderId="0" xfId="0" applyNumberFormat="1" applyFont="1" applyFill="1" applyAlignment="1">
      <alignment horizontal="center"/>
    </xf>
    <xf numFmtId="0" fontId="12" fillId="2" borderId="1" xfId="0" quotePrefix="1" applyFont="1" applyFill="1" applyBorder="1" applyAlignment="1">
      <alignment horizontal="center"/>
    </xf>
    <xf numFmtId="0" fontId="19" fillId="2" borderId="1" xfId="0" quotePrefix="1" applyFont="1" applyFill="1" applyBorder="1" applyAlignment="1">
      <alignment horizontal="center"/>
    </xf>
    <xf numFmtId="168" fontId="12" fillId="2" borderId="1" xfId="0" quotePrefix="1" applyNumberFormat="1" applyFont="1" applyFill="1" applyBorder="1" applyAlignment="1">
      <alignment horizontal="center"/>
    </xf>
    <xf numFmtId="0" fontId="12" fillId="2" borderId="6" xfId="0" applyFont="1" applyFill="1" applyBorder="1" applyAlignment="1">
      <alignment horizontal="left"/>
    </xf>
    <xf numFmtId="168" fontId="12" fillId="2" borderId="6" xfId="0" applyNumberFormat="1" applyFont="1" applyFill="1" applyBorder="1" applyAlignment="1">
      <alignment horizontal="center"/>
    </xf>
    <xf numFmtId="0" fontId="14" fillId="2" borderId="0" xfId="0" quotePrefix="1" applyFont="1" applyFill="1" applyAlignment="1">
      <alignment horizontal="left"/>
    </xf>
    <xf numFmtId="0" fontId="14" fillId="2" borderId="0" xfId="0" applyFont="1" applyFill="1" applyAlignment="1">
      <alignment horizontal="left"/>
    </xf>
    <xf numFmtId="169" fontId="14" fillId="2" borderId="0" xfId="0" applyNumberFormat="1" applyFont="1" applyFill="1" applyAlignment="1">
      <alignment horizontal="left"/>
    </xf>
    <xf numFmtId="168" fontId="12" fillId="2" borderId="0" xfId="0" applyNumberFormat="1" applyFont="1" applyFill="1" applyAlignment="1">
      <alignment horizontal="center" wrapText="1"/>
    </xf>
    <xf numFmtId="0" fontId="12" fillId="2" borderId="1" xfId="0" applyFont="1" applyFill="1" applyBorder="1" applyAlignment="1">
      <alignment horizontal="left" wrapText="1"/>
    </xf>
    <xf numFmtId="0" fontId="19" fillId="2" borderId="1" xfId="0" applyFont="1" applyFill="1" applyBorder="1" applyAlignment="1">
      <alignment horizontal="center" wrapText="1"/>
    </xf>
    <xf numFmtId="168" fontId="12" fillId="2" borderId="1" xfId="0" applyNumberFormat="1" applyFont="1" applyFill="1" applyBorder="1" applyAlignment="1">
      <alignment horizontal="center" wrapText="1"/>
    </xf>
    <xf numFmtId="0" fontId="18" fillId="2" borderId="5" xfId="0" applyFont="1" applyFill="1" applyBorder="1" applyAlignment="1">
      <alignment horizontal="center"/>
    </xf>
    <xf numFmtId="2" fontId="18" fillId="2" borderId="1" xfId="0" applyNumberFormat="1" applyFont="1" applyFill="1" applyBorder="1" applyAlignment="1">
      <alignment horizontal="center"/>
    </xf>
    <xf numFmtId="0" fontId="12" fillId="2" borderId="1" xfId="0" applyFont="1" applyFill="1" applyBorder="1" applyAlignment="1">
      <alignment horizontal="left"/>
    </xf>
    <xf numFmtId="168" fontId="12" fillId="2" borderId="1" xfId="0" applyNumberFormat="1" applyFont="1" applyFill="1" applyBorder="1" applyAlignment="1">
      <alignment horizontal="center"/>
    </xf>
    <xf numFmtId="0" fontId="12" fillId="2" borderId="6" xfId="0" applyFont="1" applyFill="1" applyBorder="1" applyAlignment="1">
      <alignment horizontal="right"/>
    </xf>
    <xf numFmtId="2" fontId="17" fillId="2" borderId="1" xfId="0" applyNumberFormat="1" applyFont="1" applyFill="1" applyBorder="1" applyAlignment="1">
      <alignment horizontal="center"/>
    </xf>
    <xf numFmtId="2" fontId="12" fillId="2" borderId="0" xfId="0" applyNumberFormat="1" applyFont="1" applyFill="1" applyAlignment="1">
      <alignment horizontal="center"/>
    </xf>
    <xf numFmtId="0" fontId="12" fillId="2" borderId="0" xfId="0" applyFont="1" applyFill="1" applyAlignment="1">
      <alignment horizontal="left" wrapText="1"/>
    </xf>
    <xf numFmtId="0" fontId="12" fillId="2" borderId="0" xfId="0" quotePrefix="1" applyFont="1" applyFill="1" applyAlignment="1">
      <alignment horizontal="left"/>
    </xf>
    <xf numFmtId="0" fontId="21" fillId="2" borderId="0" xfId="0" applyFont="1" applyFill="1" applyAlignment="1">
      <alignment horizontal="right"/>
    </xf>
    <xf numFmtId="0" fontId="21" fillId="2" borderId="0" xfId="0" quotePrefix="1" applyFont="1" applyFill="1" applyAlignment="1">
      <alignment horizontal="center"/>
    </xf>
    <xf numFmtId="0" fontId="21" fillId="2" borderId="0" xfId="0" applyFont="1" applyFill="1" applyAlignment="1">
      <alignment horizontal="center"/>
    </xf>
    <xf numFmtId="4" fontId="21" fillId="2" borderId="0" xfId="0" applyNumberFormat="1" applyFont="1" applyFill="1" applyAlignment="1">
      <alignment horizontal="left"/>
    </xf>
    <xf numFmtId="168" fontId="12" fillId="2" borderId="0" xfId="0" quotePrefix="1" applyNumberFormat="1" applyFont="1" applyFill="1" applyAlignment="1">
      <alignment horizontal="left"/>
    </xf>
    <xf numFmtId="168" fontId="12" fillId="2" borderId="0" xfId="0" applyNumberFormat="1" applyFont="1" applyFill="1" applyAlignment="1">
      <alignment horizontal="left"/>
    </xf>
    <xf numFmtId="166" fontId="17" fillId="2" borderId="0" xfId="0" applyNumberFormat="1" applyFont="1" applyFill="1" applyAlignment="1">
      <alignment horizontal="left"/>
    </xf>
    <xf numFmtId="168" fontId="16" fillId="2" borderId="0" xfId="0" quotePrefix="1" applyNumberFormat="1" applyFont="1" applyFill="1" applyAlignment="1">
      <alignment horizontal="left"/>
    </xf>
    <xf numFmtId="168" fontId="16" fillId="2" borderId="0" xfId="0" applyNumberFormat="1" applyFont="1" applyFill="1" applyAlignment="1">
      <alignment horizontal="left"/>
    </xf>
    <xf numFmtId="168" fontId="41" fillId="2" borderId="0" xfId="0" quotePrefix="1" applyNumberFormat="1" applyFont="1" applyFill="1" applyAlignment="1">
      <alignment horizontal="left"/>
    </xf>
    <xf numFmtId="168" fontId="41" fillId="2" borderId="0" xfId="0" applyNumberFormat="1" applyFont="1" applyFill="1" applyAlignment="1">
      <alignment horizontal="left"/>
    </xf>
    <xf numFmtId="0" fontId="12" fillId="2" borderId="0" xfId="0" quotePrefix="1" applyFont="1" applyFill="1" applyAlignment="1">
      <alignment horizontal="left" wrapText="1"/>
    </xf>
    <xf numFmtId="0" fontId="12" fillId="2" borderId="1" xfId="0" applyFont="1" applyFill="1" applyBorder="1" applyAlignment="1">
      <alignment horizontal="center"/>
    </xf>
    <xf numFmtId="0" fontId="18" fillId="2" borderId="1" xfId="0" applyFont="1" applyFill="1" applyBorder="1" applyAlignment="1">
      <alignment horizontal="center"/>
    </xf>
    <xf numFmtId="169" fontId="35" fillId="2" borderId="0" xfId="0" applyNumberFormat="1" applyFont="1" applyFill="1" applyAlignment="1">
      <alignment horizontal="center"/>
    </xf>
    <xf numFmtId="165" fontId="12" fillId="2" borderId="7" xfId="4" applyFont="1" applyFill="1" applyBorder="1" applyAlignment="1">
      <alignment horizontal="right"/>
    </xf>
    <xf numFmtId="165" fontId="12" fillId="2" borderId="0" xfId="4" applyFont="1" applyFill="1" applyBorder="1" applyAlignment="1">
      <alignment horizontal="right"/>
    </xf>
    <xf numFmtId="2" fontId="22" fillId="2" borderId="0" xfId="0" applyNumberFormat="1" applyFont="1" applyFill="1" applyAlignment="1">
      <alignment horizontal="left"/>
    </xf>
    <xf numFmtId="4" fontId="12" fillId="2" borderId="0" xfId="0" quotePrefix="1" applyNumberFormat="1" applyFont="1" applyFill="1" applyAlignment="1">
      <alignment horizontal="left"/>
    </xf>
    <xf numFmtId="0" fontId="16" fillId="2" borderId="0" xfId="0" applyFont="1" applyFill="1" applyAlignment="1">
      <alignment horizontal="left"/>
    </xf>
    <xf numFmtId="0" fontId="16" fillId="0" borderId="0" xfId="0" applyFont="1" applyAlignment="1">
      <alignment horizontal="left"/>
    </xf>
    <xf numFmtId="0" fontId="12" fillId="2" borderId="0" xfId="0" applyFont="1" applyFill="1" applyAlignment="1">
      <alignment horizontal="right"/>
    </xf>
    <xf numFmtId="0" fontId="30" fillId="2" borderId="0" xfId="0" applyFont="1" applyFill="1" applyAlignment="1">
      <alignment horizontal="left"/>
    </xf>
    <xf numFmtId="7" fontId="12" fillId="2" borderId="6" xfId="0" applyNumberFormat="1" applyFont="1" applyFill="1" applyBorder="1" applyAlignment="1">
      <alignment horizontal="right"/>
    </xf>
    <xf numFmtId="7" fontId="12" fillId="2" borderId="0" xfId="0" applyNumberFormat="1" applyFont="1" applyFill="1" applyAlignment="1">
      <alignment horizontal="right"/>
    </xf>
    <xf numFmtId="0" fontId="18" fillId="2" borderId="0" xfId="0" applyFont="1" applyFill="1" applyAlignment="1">
      <alignment horizontal="right"/>
    </xf>
    <xf numFmtId="0" fontId="3" fillId="2" borderId="0" xfId="0" quotePrefix="1" applyFont="1" applyFill="1" applyAlignment="1">
      <alignment horizontal="center"/>
    </xf>
    <xf numFmtId="2" fontId="39" fillId="0" borderId="0" xfId="0" applyNumberFormat="1" applyFont="1" applyAlignment="1">
      <alignment horizontal="center" wrapText="1"/>
    </xf>
    <xf numFmtId="2" fontId="39" fillId="0" borderId="1" xfId="0" applyNumberFormat="1" applyFont="1" applyBorder="1" applyAlignment="1">
      <alignment horizontal="center" wrapText="1"/>
    </xf>
    <xf numFmtId="7" fontId="12" fillId="8" borderId="6" xfId="0" applyNumberFormat="1" applyFont="1" applyFill="1" applyBorder="1" applyAlignment="1">
      <alignment horizontal="right"/>
    </xf>
  </cellXfs>
  <cellStyles count="12">
    <cellStyle name="Comma" xfId="1" builtinId="3"/>
    <cellStyle name="Comma 2" xfId="2"/>
    <cellStyle name="Comma 3 8" xfId="3"/>
    <cellStyle name="Comma_charter school revenue frame" xfId="4"/>
    <cellStyle name="Currency 2 8" xfId="5"/>
    <cellStyle name="Currency_charter school revenue frame" xfId="6"/>
    <cellStyle name="Normal" xfId="0" builtinId="0"/>
    <cellStyle name="Normal 2" xfId="7"/>
    <cellStyle name="Normal 2 2" xfId="8"/>
    <cellStyle name="Normal 3 8" xfId="9"/>
    <cellStyle name="Percent" xfId="10" builtinId="5"/>
    <cellStyle name="Percent 3 8" xfId="11"/>
  </cellStyles>
  <dxfs count="14">
    <dxf>
      <fill>
        <patternFill>
          <bgColor rgb="FFFFFF66"/>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color rgb="FFFFFF99"/>
      <color rgb="FFFFFFCC"/>
      <color rgb="FFCCFFCC"/>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521"/>
  <sheetViews>
    <sheetView showGridLines="0" tabSelected="1" zoomScaleNormal="100" workbookViewId="0">
      <pane ySplit="4" topLeftCell="A429" activePane="bottomLeft" state="frozen"/>
      <selection activeCell="E26" sqref="E26"/>
      <selection pane="bottomLeft" activeCell="C510" sqref="C510"/>
    </sheetView>
  </sheetViews>
  <sheetFormatPr defaultRowHeight="12.75" customHeight="1" x14ac:dyDescent="0.2"/>
  <cols>
    <col min="1" max="1" width="3" style="197" bestFit="1" customWidth="1"/>
    <col min="2" max="2" width="7.28515625" style="197" customWidth="1"/>
    <col min="3" max="3" width="43.28515625" style="197" customWidth="1"/>
    <col min="4" max="4" width="18.5703125" style="197" customWidth="1"/>
    <col min="5" max="5" width="14.42578125" style="197" customWidth="1"/>
    <col min="6" max="6" width="12.140625" style="252" bestFit="1" customWidth="1"/>
    <col min="7" max="7" width="13.5703125" style="197" customWidth="1"/>
    <col min="8" max="8" width="4.28515625" style="252" customWidth="1"/>
    <col min="9" max="9" width="75.7109375" style="197" bestFit="1" customWidth="1"/>
    <col min="10" max="10" width="9.5703125" style="197" bestFit="1" customWidth="1"/>
    <col min="11" max="16384" width="9.140625" style="197"/>
  </cols>
  <sheetData>
    <row r="1" spans="1:9" ht="12.75" customHeight="1" x14ac:dyDescent="0.2">
      <c r="A1" s="198"/>
      <c r="B1" s="199" t="s">
        <v>515</v>
      </c>
      <c r="C1" s="226"/>
      <c r="I1" s="257"/>
    </row>
    <row r="2" spans="1:9" ht="12.75" customHeight="1" x14ac:dyDescent="0.2">
      <c r="B2" s="251" t="str">
        <f>'0664'!A3</f>
        <v>Based on the FLDOE 2023-24 FEFP Conference Calculation</v>
      </c>
      <c r="C2" s="227"/>
      <c r="E2" s="240"/>
      <c r="F2" s="253"/>
      <c r="G2" s="240"/>
      <c r="I2" s="266"/>
    </row>
    <row r="3" spans="1:9" ht="12.75" customHeight="1" thickBot="1" x14ac:dyDescent="0.25">
      <c r="B3" s="200"/>
      <c r="C3" s="227"/>
      <c r="E3" s="240"/>
      <c r="F3" s="571"/>
      <c r="G3" s="571"/>
      <c r="I3" s="266"/>
    </row>
    <row r="4" spans="1:9" ht="12.75" customHeight="1" thickBot="1" x14ac:dyDescent="0.25">
      <c r="A4" s="201"/>
      <c r="B4" s="202" t="s">
        <v>172</v>
      </c>
      <c r="C4" s="230" t="s">
        <v>244</v>
      </c>
      <c r="D4" s="203" t="s">
        <v>173</v>
      </c>
      <c r="E4" s="244" t="s">
        <v>2</v>
      </c>
      <c r="F4" s="285" t="s">
        <v>269</v>
      </c>
      <c r="G4" s="244" t="s">
        <v>249</v>
      </c>
      <c r="I4" s="334" t="s">
        <v>301</v>
      </c>
    </row>
    <row r="5" spans="1:9" s="274" customFormat="1" ht="12.75" customHeight="1" x14ac:dyDescent="0.2">
      <c r="A5" s="204">
        <v>1</v>
      </c>
      <c r="B5" s="205" t="s">
        <v>174</v>
      </c>
      <c r="C5" s="228" t="s">
        <v>206</v>
      </c>
      <c r="D5" s="325" t="s">
        <v>516</v>
      </c>
      <c r="E5" s="207">
        <f>'0664'!I$133</f>
        <v>70874.16</v>
      </c>
      <c r="F5" s="346"/>
      <c r="G5" s="207">
        <f>SUBTOTAL(109,E5:F14)</f>
        <v>70894.16</v>
      </c>
      <c r="H5" s="273"/>
      <c r="I5" s="353"/>
    </row>
    <row r="6" spans="1:9" s="274" customFormat="1" ht="12.75" hidden="1" customHeight="1" x14ac:dyDescent="0.2">
      <c r="A6" s="204"/>
      <c r="B6" s="205"/>
      <c r="C6" s="254"/>
      <c r="D6" s="359" t="s">
        <v>302</v>
      </c>
      <c r="E6" s="207"/>
      <c r="F6" s="346"/>
      <c r="G6" s="207"/>
      <c r="H6" s="273"/>
      <c r="I6" s="354"/>
    </row>
    <row r="7" spans="1:9" s="274" customFormat="1" ht="12.75" hidden="1" customHeight="1" x14ac:dyDescent="0.2">
      <c r="A7" s="204"/>
      <c r="B7" s="205"/>
      <c r="C7" s="254"/>
      <c r="D7" s="359" t="s">
        <v>370</v>
      </c>
      <c r="E7" s="207"/>
      <c r="F7" s="346"/>
      <c r="G7" s="207"/>
      <c r="H7" s="273"/>
      <c r="I7" s="354"/>
    </row>
    <row r="8" spans="1:9" s="274" customFormat="1" ht="12.75" hidden="1" customHeight="1" x14ac:dyDescent="0.2">
      <c r="A8" s="204"/>
      <c r="B8" s="205"/>
      <c r="C8" s="228"/>
      <c r="D8" s="242" t="s">
        <v>304</v>
      </c>
      <c r="E8" s="207"/>
      <c r="F8" s="346"/>
      <c r="G8" s="207"/>
      <c r="H8" s="273"/>
      <c r="I8" s="394"/>
    </row>
    <row r="9" spans="1:9" s="274" customFormat="1" ht="12.75" hidden="1" customHeight="1" x14ac:dyDescent="0.2">
      <c r="A9" s="204"/>
      <c r="B9" s="205"/>
      <c r="C9" s="228"/>
      <c r="D9" s="242" t="s">
        <v>303</v>
      </c>
      <c r="E9" s="207"/>
      <c r="F9" s="346"/>
      <c r="G9" s="207"/>
      <c r="H9" s="273"/>
      <c r="I9" s="394"/>
    </row>
    <row r="10" spans="1:9" s="274" customFormat="1" ht="12.75" customHeight="1" x14ac:dyDescent="0.2">
      <c r="A10" s="204"/>
      <c r="B10" s="205"/>
      <c r="C10" s="228"/>
      <c r="D10" s="242" t="s">
        <v>314</v>
      </c>
      <c r="E10" s="207"/>
      <c r="F10" s="346">
        <v>20</v>
      </c>
      <c r="G10" s="207"/>
      <c r="H10" s="273"/>
      <c r="I10" s="354"/>
    </row>
    <row r="11" spans="1:9" s="274" customFormat="1" ht="12.75" hidden="1" customHeight="1" x14ac:dyDescent="0.2">
      <c r="A11" s="204"/>
      <c r="B11" s="205"/>
      <c r="C11" s="228"/>
      <c r="D11" s="242" t="s">
        <v>304</v>
      </c>
      <c r="E11" s="207"/>
      <c r="F11" s="346"/>
      <c r="G11" s="207"/>
      <c r="H11" s="273"/>
      <c r="I11" s="357"/>
    </row>
    <row r="12" spans="1:9" s="274" customFormat="1" ht="12.75" hidden="1" customHeight="1" x14ac:dyDescent="0.2">
      <c r="A12" s="204"/>
      <c r="B12" s="205"/>
      <c r="C12" s="228"/>
      <c r="D12" s="242" t="s">
        <v>303</v>
      </c>
      <c r="E12" s="207"/>
      <c r="F12" s="346"/>
      <c r="G12" s="207"/>
      <c r="H12" s="273"/>
      <c r="I12" s="357"/>
    </row>
    <row r="13" spans="1:9" s="274" customFormat="1" ht="12.75" hidden="1" customHeight="1" x14ac:dyDescent="0.2">
      <c r="A13" s="204"/>
      <c r="B13" s="205"/>
      <c r="C13" s="228"/>
      <c r="D13" s="242" t="s">
        <v>276</v>
      </c>
      <c r="E13" s="207"/>
      <c r="F13" s="346"/>
      <c r="G13" s="207"/>
      <c r="H13" s="273"/>
      <c r="I13" s="355"/>
    </row>
    <row r="14" spans="1:9" s="274" customFormat="1" ht="12.75" hidden="1" customHeight="1" x14ac:dyDescent="0.2">
      <c r="A14" s="204"/>
      <c r="B14" s="205"/>
      <c r="C14" s="228"/>
      <c r="D14" s="293" t="s">
        <v>406</v>
      </c>
      <c r="E14" s="207"/>
      <c r="F14" s="346">
        <v>0</v>
      </c>
      <c r="G14" s="207"/>
      <c r="H14" s="273"/>
      <c r="I14" s="355"/>
    </row>
    <row r="15" spans="1:9" s="274" customFormat="1" ht="12.75" customHeight="1" x14ac:dyDescent="0.2">
      <c r="A15" s="208">
        <f>1+A5</f>
        <v>2</v>
      </c>
      <c r="B15" s="209" t="s">
        <v>175</v>
      </c>
      <c r="C15" s="229" t="s">
        <v>208</v>
      </c>
      <c r="D15" s="294" t="str">
        <f>$D$5</f>
        <v>FTE JUL 23</v>
      </c>
      <c r="E15" s="210">
        <f>'1461'!I$133</f>
        <v>530592.16</v>
      </c>
      <c r="F15" s="345"/>
      <c r="G15" s="210">
        <f>SUBTOTAL(109,E15:F36)</f>
        <v>530421.52</v>
      </c>
      <c r="H15" s="273"/>
      <c r="I15" s="355" t="s">
        <v>335</v>
      </c>
    </row>
    <row r="16" spans="1:9" s="274" customFormat="1" ht="12.75" hidden="1" customHeight="1" x14ac:dyDescent="0.2">
      <c r="A16" s="208"/>
      <c r="B16" s="209"/>
      <c r="C16" s="229"/>
      <c r="D16" s="243" t="s">
        <v>302</v>
      </c>
      <c r="E16" s="210"/>
      <c r="F16" s="345"/>
      <c r="G16" s="210"/>
      <c r="H16" s="273"/>
      <c r="I16" s="356"/>
    </row>
    <row r="17" spans="1:12" s="274" customFormat="1" ht="12.75" hidden="1" customHeight="1" x14ac:dyDescent="0.2">
      <c r="A17" s="208"/>
      <c r="B17" s="209"/>
      <c r="C17" s="229"/>
      <c r="D17" s="393" t="s">
        <v>371</v>
      </c>
      <c r="E17" s="210"/>
      <c r="F17" s="345"/>
      <c r="G17" s="210"/>
      <c r="H17" s="273"/>
      <c r="I17" s="356"/>
    </row>
    <row r="18" spans="1:12" s="274" customFormat="1" ht="12.75" hidden="1" customHeight="1" x14ac:dyDescent="0.2">
      <c r="A18" s="208"/>
      <c r="B18" s="209"/>
      <c r="C18" s="229"/>
      <c r="D18" s="243" t="s">
        <v>304</v>
      </c>
      <c r="E18" s="210"/>
      <c r="F18" s="345"/>
      <c r="G18" s="210"/>
      <c r="H18" s="273"/>
      <c r="I18" s="357"/>
    </row>
    <row r="19" spans="1:12" s="274" customFormat="1" ht="12.75" hidden="1" customHeight="1" x14ac:dyDescent="0.2">
      <c r="A19" s="208"/>
      <c r="B19" s="209"/>
      <c r="C19" s="229"/>
      <c r="D19" s="243" t="s">
        <v>303</v>
      </c>
      <c r="E19" s="210"/>
      <c r="F19" s="345"/>
      <c r="G19" s="210"/>
      <c r="H19" s="273"/>
      <c r="I19" s="357"/>
    </row>
    <row r="20" spans="1:12" s="274" customFormat="1" ht="12.75" customHeight="1" thickBot="1" x14ac:dyDescent="0.25">
      <c r="A20" s="208"/>
      <c r="B20" s="209"/>
      <c r="C20" s="229"/>
      <c r="D20" s="243" t="s">
        <v>314</v>
      </c>
      <c r="E20" s="210"/>
      <c r="F20" s="345">
        <v>149</v>
      </c>
      <c r="G20" s="210"/>
      <c r="H20" s="273"/>
      <c r="I20" s="357"/>
    </row>
    <row r="21" spans="1:12" s="274" customFormat="1" ht="12.75" hidden="1" customHeight="1" x14ac:dyDescent="0.2">
      <c r="A21" s="208"/>
      <c r="B21" s="209"/>
      <c r="C21" s="229"/>
      <c r="D21" s="243" t="s">
        <v>276</v>
      </c>
      <c r="E21" s="210"/>
      <c r="F21" s="345"/>
      <c r="G21" s="210"/>
      <c r="H21" s="273"/>
      <c r="I21" s="353"/>
    </row>
    <row r="22" spans="1:12" s="274" customFormat="1" ht="12.75" hidden="1" customHeight="1" x14ac:dyDescent="0.2">
      <c r="A22" s="208"/>
      <c r="B22" s="209"/>
      <c r="C22" s="239"/>
      <c r="D22" s="296" t="s">
        <v>308</v>
      </c>
      <c r="E22" s="210"/>
      <c r="F22" s="345">
        <v>0</v>
      </c>
      <c r="G22" s="210"/>
      <c r="H22" s="273"/>
      <c r="I22" s="355"/>
    </row>
    <row r="23" spans="1:12" s="274" customFormat="1" ht="12.75" hidden="1" customHeight="1" thickBot="1" x14ac:dyDescent="0.25">
      <c r="A23" s="208"/>
      <c r="B23" s="209"/>
      <c r="C23" s="239"/>
      <c r="D23" s="296" t="s">
        <v>247</v>
      </c>
      <c r="E23" s="210"/>
      <c r="F23" s="345">
        <v>0</v>
      </c>
      <c r="G23" s="210"/>
      <c r="H23" s="273"/>
      <c r="I23" s="358"/>
    </row>
    <row r="24" spans="1:12" s="274" customFormat="1" ht="12.75" customHeight="1" x14ac:dyDescent="0.2">
      <c r="A24" s="208"/>
      <c r="B24" s="209"/>
      <c r="C24" s="239"/>
      <c r="D24" s="296" t="s">
        <v>248</v>
      </c>
      <c r="E24" s="210"/>
      <c r="F24" s="345">
        <v>-135.16</v>
      </c>
      <c r="G24" s="210"/>
      <c r="H24" s="273"/>
      <c r="I24" s="399"/>
    </row>
    <row r="25" spans="1:12" s="274" customFormat="1" ht="12.75" customHeight="1" x14ac:dyDescent="0.2">
      <c r="A25" s="208"/>
      <c r="B25" s="209"/>
      <c r="C25" s="239"/>
      <c r="D25" s="332" t="s">
        <v>517</v>
      </c>
      <c r="E25" s="210"/>
      <c r="F25" s="345">
        <v>-94.48</v>
      </c>
      <c r="G25" s="210"/>
      <c r="H25" s="273"/>
    </row>
    <row r="26" spans="1:12" s="274" customFormat="1" ht="12.75" customHeight="1" x14ac:dyDescent="0.2">
      <c r="A26" s="208"/>
      <c r="B26" s="209"/>
      <c r="C26" s="239"/>
      <c r="D26" s="296" t="s">
        <v>342</v>
      </c>
      <c r="E26" s="210"/>
      <c r="F26" s="345">
        <v>-90</v>
      </c>
      <c r="G26" s="210"/>
      <c r="H26" s="273"/>
      <c r="I26" s="337"/>
    </row>
    <row r="27" spans="1:12" s="274" customFormat="1" ht="12.75" hidden="1" customHeight="1" x14ac:dyDescent="0.2">
      <c r="A27" s="208"/>
      <c r="B27" s="209"/>
      <c r="C27" s="395" t="s">
        <v>379</v>
      </c>
      <c r="D27" s="332" t="s">
        <v>362</v>
      </c>
      <c r="E27" s="210"/>
      <c r="F27" s="345"/>
      <c r="G27" s="210"/>
      <c r="H27" s="273"/>
      <c r="I27" s="340"/>
    </row>
    <row r="28" spans="1:12" s="274" customFormat="1" ht="12.75" hidden="1" customHeight="1" x14ac:dyDescent="0.2">
      <c r="A28" s="208"/>
      <c r="B28" s="209"/>
      <c r="C28" s="239"/>
      <c r="D28" s="332" t="s">
        <v>364</v>
      </c>
      <c r="E28" s="210"/>
      <c r="F28" s="345"/>
      <c r="G28" s="210"/>
      <c r="H28" s="273"/>
      <c r="I28" s="340"/>
    </row>
    <row r="29" spans="1:12" s="274" customFormat="1" ht="12.75" hidden="1" customHeight="1" x14ac:dyDescent="0.2">
      <c r="A29" s="208"/>
      <c r="B29" s="209"/>
      <c r="C29" s="239"/>
      <c r="D29" s="332" t="s">
        <v>368</v>
      </c>
      <c r="E29" s="210"/>
      <c r="F29" s="345"/>
      <c r="G29" s="210"/>
      <c r="H29" s="273"/>
      <c r="I29" s="340"/>
    </row>
    <row r="30" spans="1:12" s="274" customFormat="1" ht="12.75" hidden="1" customHeight="1" x14ac:dyDescent="0.2">
      <c r="A30" s="208"/>
      <c r="B30" s="209"/>
      <c r="C30" s="239"/>
      <c r="D30" s="332" t="s">
        <v>374</v>
      </c>
      <c r="E30" s="210"/>
      <c r="F30" s="345"/>
      <c r="G30" s="210"/>
      <c r="H30" s="273"/>
      <c r="I30" s="340"/>
    </row>
    <row r="31" spans="1:12" s="274" customFormat="1" ht="12.75" hidden="1" customHeight="1" x14ac:dyDescent="0.2">
      <c r="A31" s="208"/>
      <c r="B31" s="209"/>
      <c r="C31" s="239"/>
      <c r="D31" s="332" t="s">
        <v>376</v>
      </c>
      <c r="E31" s="210"/>
      <c r="F31" s="345"/>
      <c r="G31" s="210"/>
      <c r="H31" s="273"/>
      <c r="I31" s="340"/>
      <c r="L31" s="336">
        <v>44630</v>
      </c>
    </row>
    <row r="32" spans="1:12" s="274" customFormat="1" ht="12.75" hidden="1" customHeight="1" x14ac:dyDescent="0.2">
      <c r="A32" s="208"/>
      <c r="B32" s="209"/>
      <c r="C32" s="239"/>
      <c r="D32" s="332" t="s">
        <v>377</v>
      </c>
      <c r="E32" s="210"/>
      <c r="F32" s="345"/>
      <c r="G32" s="210"/>
      <c r="H32" s="273"/>
      <c r="I32" s="340"/>
      <c r="L32" s="336">
        <f>L31-60</f>
        <v>44570</v>
      </c>
    </row>
    <row r="33" spans="1:13" s="274" customFormat="1" ht="12.75" hidden="1" customHeight="1" x14ac:dyDescent="0.2">
      <c r="A33" s="208"/>
      <c r="B33" s="209"/>
      <c r="C33" s="239"/>
      <c r="D33" s="332" t="s">
        <v>378</v>
      </c>
      <c r="E33" s="210"/>
      <c r="F33" s="345"/>
      <c r="G33" s="210"/>
      <c r="H33" s="273"/>
      <c r="I33" s="340"/>
    </row>
    <row r="34" spans="1:13" s="274" customFormat="1" ht="12.75" hidden="1" customHeight="1" x14ac:dyDescent="0.2">
      <c r="A34" s="208"/>
      <c r="B34" s="209"/>
      <c r="C34" s="239"/>
      <c r="D34" s="332" t="s">
        <v>383</v>
      </c>
      <c r="E34" s="210"/>
      <c r="F34" s="345"/>
      <c r="G34" s="210"/>
      <c r="H34" s="273"/>
      <c r="I34" s="340"/>
    </row>
    <row r="35" spans="1:13" s="274" customFormat="1" ht="12.75" hidden="1" customHeight="1" x14ac:dyDescent="0.2">
      <c r="A35" s="208"/>
      <c r="B35" s="209"/>
      <c r="C35" s="239"/>
      <c r="D35" s="332" t="s">
        <v>384</v>
      </c>
      <c r="E35" s="210"/>
      <c r="F35" s="345"/>
      <c r="G35" s="210"/>
      <c r="H35" s="273"/>
      <c r="I35" s="340"/>
    </row>
    <row r="36" spans="1:13" s="274" customFormat="1" ht="12.75" hidden="1" customHeight="1" x14ac:dyDescent="0.2">
      <c r="A36" s="208"/>
      <c r="B36" s="209"/>
      <c r="C36" s="239"/>
      <c r="D36" s="332" t="s">
        <v>421</v>
      </c>
      <c r="E36" s="210"/>
      <c r="F36" s="345">
        <v>0</v>
      </c>
      <c r="G36" s="210"/>
      <c r="H36" s="273"/>
      <c r="I36" s="337"/>
    </row>
    <row r="37" spans="1:13" s="274" customFormat="1" ht="12.75" customHeight="1" x14ac:dyDescent="0.2">
      <c r="A37" s="204">
        <f>1+A15</f>
        <v>3</v>
      </c>
      <c r="B37" s="205" t="s">
        <v>176</v>
      </c>
      <c r="C37" s="228" t="s">
        <v>210</v>
      </c>
      <c r="D37" s="292" t="str">
        <f>$D$5</f>
        <v>FTE JUL 23</v>
      </c>
      <c r="E37" s="207">
        <f>'1571'!I$133</f>
        <v>819717.67</v>
      </c>
      <c r="F37" s="346"/>
      <c r="G37" s="207">
        <f>SUBTOTAL(109,E37:F52)</f>
        <v>819607.15</v>
      </c>
      <c r="H37" s="273"/>
      <c r="I37" s="337"/>
    </row>
    <row r="38" spans="1:13" s="274" customFormat="1" ht="12.75" hidden="1" customHeight="1" x14ac:dyDescent="0.2">
      <c r="A38" s="204"/>
      <c r="B38" s="205"/>
      <c r="C38" s="382"/>
      <c r="D38" s="242" t="s">
        <v>302</v>
      </c>
      <c r="E38" s="207"/>
      <c r="F38" s="346"/>
      <c r="G38" s="207"/>
      <c r="H38" s="273"/>
      <c r="I38" s="337"/>
    </row>
    <row r="39" spans="1:13" s="274" customFormat="1" ht="12.75" hidden="1" customHeight="1" x14ac:dyDescent="0.2">
      <c r="A39" s="204"/>
      <c r="B39" s="205"/>
      <c r="C39" s="228"/>
      <c r="D39" s="359" t="s">
        <v>371</v>
      </c>
      <c r="E39" s="207"/>
      <c r="F39" s="346"/>
      <c r="G39" s="207"/>
      <c r="H39" s="314"/>
      <c r="I39" s="337"/>
    </row>
    <row r="40" spans="1:13" s="274" customFormat="1" ht="12.75" hidden="1" customHeight="1" x14ac:dyDescent="0.2">
      <c r="A40" s="204"/>
      <c r="B40" s="205"/>
      <c r="C40" s="254"/>
      <c r="D40" s="359" t="s">
        <v>370</v>
      </c>
      <c r="E40" s="207"/>
      <c r="F40" s="346"/>
      <c r="G40" s="207"/>
      <c r="H40" s="273"/>
      <c r="I40" s="337"/>
    </row>
    <row r="41" spans="1:13" s="274" customFormat="1" ht="12.75" hidden="1" customHeight="1" x14ac:dyDescent="0.2">
      <c r="A41" s="204"/>
      <c r="B41" s="205"/>
      <c r="C41" s="228"/>
      <c r="D41" s="242" t="s">
        <v>304</v>
      </c>
      <c r="E41" s="207"/>
      <c r="F41" s="346"/>
      <c r="G41" s="207"/>
      <c r="H41" s="273"/>
      <c r="I41" s="337"/>
    </row>
    <row r="42" spans="1:13" s="274" customFormat="1" ht="12.75" hidden="1" customHeight="1" x14ac:dyDescent="0.2">
      <c r="A42" s="204"/>
      <c r="B42" s="205"/>
      <c r="C42" s="228"/>
      <c r="D42" s="242" t="s">
        <v>303</v>
      </c>
      <c r="E42" s="207"/>
      <c r="F42" s="346"/>
      <c r="G42" s="207"/>
      <c r="H42" s="273"/>
      <c r="I42" s="337"/>
    </row>
    <row r="43" spans="1:13" s="274" customFormat="1" ht="12.75" customHeight="1" x14ac:dyDescent="0.2">
      <c r="A43" s="204"/>
      <c r="B43" s="205"/>
      <c r="C43" s="228"/>
      <c r="D43" s="242" t="s">
        <v>314</v>
      </c>
      <c r="E43" s="207"/>
      <c r="F43" s="346">
        <v>226</v>
      </c>
      <c r="G43" s="207"/>
      <c r="H43" s="273"/>
      <c r="I43" s="337"/>
    </row>
    <row r="44" spans="1:13" s="274" customFormat="1" ht="12.75" hidden="1" customHeight="1" x14ac:dyDescent="0.2">
      <c r="A44" s="204"/>
      <c r="B44" s="205"/>
      <c r="C44" s="228"/>
      <c r="D44" s="242" t="s">
        <v>276</v>
      </c>
      <c r="E44" s="207"/>
      <c r="F44" s="346"/>
      <c r="G44" s="207"/>
      <c r="H44" s="273"/>
      <c r="I44" s="337"/>
    </row>
    <row r="45" spans="1:13" s="274" customFormat="1" ht="12.75" hidden="1" customHeight="1" x14ac:dyDescent="0.2">
      <c r="A45" s="204"/>
      <c r="B45" s="205"/>
      <c r="C45" s="241"/>
      <c r="D45" s="293" t="s">
        <v>247</v>
      </c>
      <c r="E45" s="207"/>
      <c r="F45" s="346">
        <v>0</v>
      </c>
      <c r="G45" s="207"/>
      <c r="H45" s="273"/>
      <c r="I45" s="337"/>
    </row>
    <row r="46" spans="1:13" s="274" customFormat="1" ht="12.75" customHeight="1" x14ac:dyDescent="0.2">
      <c r="A46" s="204"/>
      <c r="B46" s="205"/>
      <c r="C46" s="241"/>
      <c r="D46" s="293" t="s">
        <v>248</v>
      </c>
      <c r="E46" s="207"/>
      <c r="F46" s="346">
        <v>-152.04</v>
      </c>
      <c r="G46" s="207"/>
      <c r="H46" s="273"/>
      <c r="I46" s="337"/>
    </row>
    <row r="47" spans="1:13" s="274" customFormat="1" ht="12.75" customHeight="1" x14ac:dyDescent="0.2">
      <c r="A47" s="204"/>
      <c r="B47" s="205"/>
      <c r="C47" s="241"/>
      <c r="D47" s="293" t="s">
        <v>517</v>
      </c>
      <c r="E47" s="207"/>
      <c r="F47" s="346">
        <v>-94.48</v>
      </c>
      <c r="G47" s="207"/>
      <c r="H47" s="273"/>
      <c r="I47" s="337"/>
      <c r="M47" s="336"/>
    </row>
    <row r="48" spans="1:13" ht="12.75" customHeight="1" x14ac:dyDescent="0.2">
      <c r="A48" s="204"/>
      <c r="B48" s="205"/>
      <c r="C48" s="241"/>
      <c r="D48" s="293" t="s">
        <v>342</v>
      </c>
      <c r="E48" s="207"/>
      <c r="F48" s="346">
        <v>-90</v>
      </c>
      <c r="G48" s="207"/>
      <c r="I48" s="337"/>
      <c r="M48" s="313"/>
    </row>
    <row r="49" spans="1:12" ht="12.75" hidden="1" customHeight="1" x14ac:dyDescent="0.2">
      <c r="A49" s="204"/>
      <c r="B49" s="205"/>
      <c r="C49" s="396" t="s">
        <v>380</v>
      </c>
      <c r="D49" s="293" t="s">
        <v>362</v>
      </c>
      <c r="E49" s="207"/>
      <c r="F49" s="346">
        <v>0</v>
      </c>
      <c r="G49" s="207"/>
      <c r="I49" s="337"/>
      <c r="L49" s="313"/>
    </row>
    <row r="50" spans="1:12" s="274" customFormat="1" ht="12.75" hidden="1" customHeight="1" x14ac:dyDescent="0.2">
      <c r="A50" s="204"/>
      <c r="B50" s="205"/>
      <c r="C50" s="241"/>
      <c r="D50" s="360" t="s">
        <v>364</v>
      </c>
      <c r="E50" s="207"/>
      <c r="F50" s="346"/>
      <c r="G50" s="207"/>
      <c r="H50" s="314"/>
      <c r="I50" s="337"/>
    </row>
    <row r="51" spans="1:12" ht="12.75" hidden="1" customHeight="1" x14ac:dyDescent="0.2">
      <c r="A51" s="204"/>
      <c r="B51" s="205"/>
      <c r="C51" s="241"/>
      <c r="D51" s="293" t="s">
        <v>349</v>
      </c>
      <c r="E51" s="207"/>
      <c r="F51" s="346">
        <v>0</v>
      </c>
      <c r="G51" s="207"/>
      <c r="I51" s="337"/>
    </row>
    <row r="52" spans="1:12" ht="12.75" hidden="1" customHeight="1" x14ac:dyDescent="0.2">
      <c r="A52" s="204"/>
      <c r="B52" s="205"/>
      <c r="C52" s="241"/>
      <c r="D52" s="293" t="s">
        <v>411</v>
      </c>
      <c r="E52" s="207"/>
      <c r="F52" s="346"/>
      <c r="G52" s="207"/>
      <c r="I52" s="337"/>
    </row>
    <row r="53" spans="1:12" s="274" customFormat="1" ht="12.75" customHeight="1" x14ac:dyDescent="0.2">
      <c r="A53" s="208">
        <f>1+A37</f>
        <v>4</v>
      </c>
      <c r="B53" s="209" t="s">
        <v>177</v>
      </c>
      <c r="C53" s="229" t="s">
        <v>211</v>
      </c>
      <c r="D53" s="294" t="str">
        <f>$D$5</f>
        <v>FTE JUL 23</v>
      </c>
      <c r="E53" s="210">
        <f>'2521'!I$133</f>
        <v>93289.4</v>
      </c>
      <c r="F53" s="345"/>
      <c r="G53" s="210">
        <f>SUBTOTAL(109,E53:F59)</f>
        <v>93302.399999999994</v>
      </c>
      <c r="H53" s="273"/>
      <c r="I53" s="324"/>
    </row>
    <row r="54" spans="1:12" s="274" customFormat="1" ht="12.75" hidden="1" customHeight="1" x14ac:dyDescent="0.2">
      <c r="A54" s="208"/>
      <c r="B54" s="209"/>
      <c r="C54" s="229"/>
      <c r="D54" s="243" t="s">
        <v>302</v>
      </c>
      <c r="E54" s="210"/>
      <c r="F54" s="345"/>
      <c r="G54" s="210"/>
      <c r="H54" s="273"/>
      <c r="I54" s="205"/>
    </row>
    <row r="55" spans="1:12" s="274" customFormat="1" ht="12.75" hidden="1" customHeight="1" x14ac:dyDescent="0.2">
      <c r="A55" s="208"/>
      <c r="B55" s="209"/>
      <c r="C55" s="229"/>
      <c r="D55" s="243" t="s">
        <v>304</v>
      </c>
      <c r="E55" s="210"/>
      <c r="F55" s="345"/>
      <c r="G55" s="210"/>
      <c r="H55" s="273"/>
      <c r="I55" s="205"/>
    </row>
    <row r="56" spans="1:12" s="274" customFormat="1" ht="12.75" hidden="1" customHeight="1" x14ac:dyDescent="0.2">
      <c r="A56" s="208"/>
      <c r="B56" s="209"/>
      <c r="C56" s="229"/>
      <c r="D56" s="243" t="s">
        <v>303</v>
      </c>
      <c r="E56" s="210"/>
      <c r="F56" s="345"/>
      <c r="G56" s="210"/>
      <c r="H56" s="273"/>
      <c r="I56" s="205"/>
    </row>
    <row r="57" spans="1:12" s="274" customFormat="1" ht="12.75" customHeight="1" x14ac:dyDescent="0.2">
      <c r="A57" s="208"/>
      <c r="B57" s="209"/>
      <c r="C57" s="229"/>
      <c r="D57" s="243" t="s">
        <v>314</v>
      </c>
      <c r="E57" s="210"/>
      <c r="F57" s="345">
        <v>13</v>
      </c>
      <c r="G57" s="210"/>
      <c r="H57" s="314"/>
      <c r="I57" s="324"/>
    </row>
    <row r="58" spans="1:12" s="274" customFormat="1" ht="12.75" hidden="1" customHeight="1" x14ac:dyDescent="0.2">
      <c r="A58" s="208"/>
      <c r="B58" s="209"/>
      <c r="C58" s="229"/>
      <c r="D58" s="243" t="s">
        <v>276</v>
      </c>
      <c r="E58" s="210"/>
      <c r="F58" s="345"/>
      <c r="G58" s="210"/>
      <c r="H58" s="273"/>
      <c r="I58" s="324"/>
    </row>
    <row r="59" spans="1:12" s="274" customFormat="1" ht="12.75" hidden="1" customHeight="1" x14ac:dyDescent="0.2">
      <c r="A59" s="208"/>
      <c r="B59" s="209"/>
      <c r="C59" s="229"/>
      <c r="D59" s="332" t="s">
        <v>349</v>
      </c>
      <c r="E59" s="210"/>
      <c r="F59" s="345"/>
      <c r="G59" s="210"/>
      <c r="H59" s="273"/>
      <c r="I59" s="324"/>
    </row>
    <row r="60" spans="1:12" s="274" customFormat="1" ht="12.75" customHeight="1" x14ac:dyDescent="0.2">
      <c r="A60" s="204">
        <f>1+A53</f>
        <v>5</v>
      </c>
      <c r="B60" s="205">
        <v>2531</v>
      </c>
      <c r="C60" s="228" t="s">
        <v>212</v>
      </c>
      <c r="D60" s="292" t="str">
        <f>$D$5</f>
        <v>FTE JUL 23</v>
      </c>
      <c r="E60" s="207">
        <f>'2531'!I$133</f>
        <v>81895.520000000004</v>
      </c>
      <c r="F60" s="346"/>
      <c r="G60" s="207">
        <f>SUBTOTAL(109,E60:F71)</f>
        <v>81900.52</v>
      </c>
      <c r="H60" s="273"/>
      <c r="I60" s="337"/>
    </row>
    <row r="61" spans="1:12" s="274" customFormat="1" ht="12.75" hidden="1" customHeight="1" x14ac:dyDescent="0.2">
      <c r="A61" s="204"/>
      <c r="B61" s="205"/>
      <c r="C61" s="228"/>
      <c r="D61" s="242" t="s">
        <v>302</v>
      </c>
      <c r="E61" s="207"/>
      <c r="F61" s="346"/>
      <c r="G61" s="207"/>
      <c r="H61" s="273"/>
      <c r="I61" s="241"/>
    </row>
    <row r="62" spans="1:12" s="274" customFormat="1" ht="12.75" hidden="1" customHeight="1" x14ac:dyDescent="0.2">
      <c r="A62" s="204"/>
      <c r="B62" s="205"/>
      <c r="C62" s="228"/>
      <c r="D62" s="359" t="s">
        <v>385</v>
      </c>
      <c r="E62" s="207"/>
      <c r="F62" s="346"/>
      <c r="G62" s="207"/>
      <c r="H62" s="314"/>
      <c r="I62" s="340"/>
    </row>
    <row r="63" spans="1:12" s="274" customFormat="1" ht="12.75" hidden="1" customHeight="1" x14ac:dyDescent="0.2">
      <c r="A63" s="204"/>
      <c r="B63" s="205"/>
      <c r="C63" s="228"/>
      <c r="D63" s="242" t="s">
        <v>372</v>
      </c>
      <c r="E63" s="207"/>
      <c r="F63" s="346"/>
      <c r="G63" s="207"/>
      <c r="H63" s="273"/>
      <c r="I63" s="241"/>
    </row>
    <row r="64" spans="1:12" s="274" customFormat="1" ht="12.75" hidden="1" customHeight="1" x14ac:dyDescent="0.2">
      <c r="A64" s="204"/>
      <c r="B64" s="205"/>
      <c r="C64" s="228"/>
      <c r="D64" s="359" t="s">
        <v>370</v>
      </c>
      <c r="E64" s="207"/>
      <c r="F64" s="346"/>
      <c r="G64" s="207"/>
      <c r="H64" s="273"/>
      <c r="I64" s="241"/>
    </row>
    <row r="65" spans="1:9" s="274" customFormat="1" ht="12.75" hidden="1" customHeight="1" x14ac:dyDescent="0.2">
      <c r="A65" s="204"/>
      <c r="B65" s="205"/>
      <c r="C65" s="228"/>
      <c r="D65" s="242" t="s">
        <v>304</v>
      </c>
      <c r="E65" s="207"/>
      <c r="F65" s="346"/>
      <c r="G65" s="207"/>
      <c r="H65" s="273"/>
      <c r="I65" s="241"/>
    </row>
    <row r="66" spans="1:9" s="274" customFormat="1" ht="12.75" hidden="1" customHeight="1" x14ac:dyDescent="0.2">
      <c r="A66" s="204"/>
      <c r="B66" s="205"/>
      <c r="C66" s="228"/>
      <c r="D66" s="242" t="s">
        <v>303</v>
      </c>
      <c r="E66" s="207"/>
      <c r="F66" s="346"/>
      <c r="G66" s="207"/>
      <c r="H66" s="273"/>
      <c r="I66" s="241"/>
    </row>
    <row r="67" spans="1:9" s="274" customFormat="1" ht="12.75" customHeight="1" x14ac:dyDescent="0.2">
      <c r="A67" s="204"/>
      <c r="B67" s="205"/>
      <c r="C67" s="228"/>
      <c r="D67" s="242" t="s">
        <v>314</v>
      </c>
      <c r="E67" s="207"/>
      <c r="F67" s="346">
        <v>5</v>
      </c>
      <c r="G67" s="207"/>
      <c r="H67" s="273"/>
      <c r="I67" s="337"/>
    </row>
    <row r="68" spans="1:9" s="274" customFormat="1" ht="12.75" hidden="1" customHeight="1" x14ac:dyDescent="0.2">
      <c r="A68" s="204"/>
      <c r="B68" s="205"/>
      <c r="C68" s="228"/>
      <c r="D68" s="242" t="s">
        <v>276</v>
      </c>
      <c r="E68" s="207"/>
      <c r="F68" s="346"/>
      <c r="G68" s="207"/>
      <c r="H68" s="273"/>
      <c r="I68" s="337"/>
    </row>
    <row r="69" spans="1:9" s="274" customFormat="1" ht="12.75" hidden="1" customHeight="1" x14ac:dyDescent="0.2">
      <c r="A69" s="204"/>
      <c r="B69" s="205"/>
      <c r="C69" s="228"/>
      <c r="D69" s="242" t="s">
        <v>348</v>
      </c>
      <c r="E69" s="207"/>
      <c r="F69" s="346"/>
      <c r="G69" s="207"/>
      <c r="H69" s="273"/>
      <c r="I69" s="337"/>
    </row>
    <row r="70" spans="1:9" s="274" customFormat="1" ht="12.75" hidden="1" customHeight="1" x14ac:dyDescent="0.2">
      <c r="A70" s="204"/>
      <c r="B70" s="205"/>
      <c r="C70" s="241"/>
      <c r="D70" s="360" t="s">
        <v>364</v>
      </c>
      <c r="E70" s="207"/>
      <c r="F70" s="346"/>
      <c r="G70" s="207"/>
      <c r="H70" s="314"/>
      <c r="I70" s="340"/>
    </row>
    <row r="71" spans="1:9" s="274" customFormat="1" ht="12.75" hidden="1" customHeight="1" x14ac:dyDescent="0.2">
      <c r="A71" s="204"/>
      <c r="B71" s="205"/>
      <c r="C71" s="228"/>
      <c r="D71" s="293" t="s">
        <v>349</v>
      </c>
      <c r="E71" s="207"/>
      <c r="F71" s="346"/>
      <c r="G71" s="207"/>
      <c r="H71" s="273"/>
      <c r="I71" s="337"/>
    </row>
    <row r="72" spans="1:9" s="274" customFormat="1" ht="12.75" customHeight="1" x14ac:dyDescent="0.2">
      <c r="A72" s="208">
        <f>1+A60</f>
        <v>6</v>
      </c>
      <c r="B72" s="209" t="s">
        <v>179</v>
      </c>
      <c r="C72" s="276" t="s">
        <v>274</v>
      </c>
      <c r="D72" s="294" t="str">
        <f>$D$5</f>
        <v>FTE JUL 23</v>
      </c>
      <c r="E72" s="210">
        <f>'2791'!I$133</f>
        <v>412342.41</v>
      </c>
      <c r="F72" s="345"/>
      <c r="G72" s="210">
        <f>SUBTOTAL(109,E72:F79)</f>
        <v>412372.41</v>
      </c>
      <c r="H72" s="314"/>
      <c r="I72" s="324"/>
    </row>
    <row r="73" spans="1:9" s="274" customFormat="1" ht="12.75" hidden="1" customHeight="1" x14ac:dyDescent="0.2">
      <c r="A73" s="208"/>
      <c r="B73" s="209"/>
      <c r="C73" s="229"/>
      <c r="D73" s="243" t="s">
        <v>302</v>
      </c>
      <c r="E73" s="210"/>
      <c r="F73" s="345"/>
      <c r="G73" s="210"/>
      <c r="H73" s="314"/>
      <c r="I73" s="205"/>
    </row>
    <row r="74" spans="1:9" s="274" customFormat="1" ht="12.75" hidden="1" customHeight="1" x14ac:dyDescent="0.2">
      <c r="A74" s="208"/>
      <c r="B74" s="209"/>
      <c r="C74" s="229"/>
      <c r="D74" s="393" t="s">
        <v>370</v>
      </c>
      <c r="E74" s="210"/>
      <c r="F74" s="345"/>
      <c r="G74" s="210"/>
      <c r="H74" s="273"/>
      <c r="I74" s="241"/>
    </row>
    <row r="75" spans="1:9" s="274" customFormat="1" ht="12.75" hidden="1" customHeight="1" x14ac:dyDescent="0.2">
      <c r="A75" s="208"/>
      <c r="B75" s="209"/>
      <c r="C75" s="229"/>
      <c r="D75" s="243" t="s">
        <v>304</v>
      </c>
      <c r="E75" s="210"/>
      <c r="F75" s="345"/>
      <c r="G75" s="210"/>
      <c r="H75" s="314"/>
      <c r="I75" s="205"/>
    </row>
    <row r="76" spans="1:9" s="274" customFormat="1" ht="12.75" hidden="1" customHeight="1" x14ac:dyDescent="0.2">
      <c r="A76" s="208"/>
      <c r="B76" s="209"/>
      <c r="C76" s="229"/>
      <c r="D76" s="243" t="s">
        <v>303</v>
      </c>
      <c r="E76" s="210"/>
      <c r="F76" s="345"/>
      <c r="G76" s="210"/>
      <c r="H76" s="314"/>
      <c r="I76" s="205"/>
    </row>
    <row r="77" spans="1:9" s="274" customFormat="1" ht="12.75" customHeight="1" x14ac:dyDescent="0.2">
      <c r="A77" s="208"/>
      <c r="B77" s="209"/>
      <c r="C77" s="229"/>
      <c r="D77" s="243" t="s">
        <v>314</v>
      </c>
      <c r="E77" s="210"/>
      <c r="F77" s="345">
        <v>30</v>
      </c>
      <c r="G77" s="210"/>
      <c r="H77" s="314"/>
      <c r="I77" s="324"/>
    </row>
    <row r="78" spans="1:9" s="274" customFormat="1" ht="12.75" hidden="1" customHeight="1" x14ac:dyDescent="0.2">
      <c r="A78" s="208"/>
      <c r="B78" s="209"/>
      <c r="C78" s="229"/>
      <c r="D78" s="243" t="s">
        <v>276</v>
      </c>
      <c r="E78" s="210"/>
      <c r="F78" s="345"/>
      <c r="G78" s="210"/>
      <c r="H78" s="273"/>
      <c r="I78" s="324"/>
    </row>
    <row r="79" spans="1:9" s="274" customFormat="1" ht="12.75" hidden="1" customHeight="1" x14ac:dyDescent="0.2">
      <c r="A79" s="208"/>
      <c r="B79" s="209"/>
      <c r="C79" s="229"/>
      <c r="D79" s="332" t="s">
        <v>349</v>
      </c>
      <c r="E79" s="210"/>
      <c r="F79" s="345"/>
      <c r="G79" s="210"/>
      <c r="H79" s="273"/>
      <c r="I79" s="324"/>
    </row>
    <row r="80" spans="1:9" s="274" customFormat="1" ht="12.75" customHeight="1" x14ac:dyDescent="0.2">
      <c r="A80" s="204">
        <f>A72+1</f>
        <v>7</v>
      </c>
      <c r="B80" s="205" t="s">
        <v>180</v>
      </c>
      <c r="C80" s="275" t="s">
        <v>409</v>
      </c>
      <c r="D80" s="292" t="str">
        <f>$D$5</f>
        <v>FTE JUL 23</v>
      </c>
      <c r="E80" s="207">
        <f>'2801'!I$133</f>
        <v>451535.35</v>
      </c>
      <c r="F80" s="346"/>
      <c r="G80" s="207">
        <f>SUBTOTAL(109,E80:F89)</f>
        <v>451653.35</v>
      </c>
      <c r="H80" s="314"/>
      <c r="I80" s="205"/>
    </row>
    <row r="81" spans="1:9" s="274" customFormat="1" ht="12.75" hidden="1" customHeight="1" x14ac:dyDescent="0.2">
      <c r="A81" s="204"/>
      <c r="B81" s="205"/>
      <c r="C81" s="228"/>
      <c r="D81" s="242" t="s">
        <v>302</v>
      </c>
      <c r="E81" s="207"/>
      <c r="F81" s="346">
        <v>0</v>
      </c>
      <c r="G81" s="207"/>
      <c r="H81" s="314"/>
      <c r="I81" s="205"/>
    </row>
    <row r="82" spans="1:9" s="274" customFormat="1" ht="12.75" hidden="1" customHeight="1" x14ac:dyDescent="0.2">
      <c r="A82" s="204"/>
      <c r="B82" s="205"/>
      <c r="C82" s="228"/>
      <c r="D82" s="359" t="s">
        <v>370</v>
      </c>
      <c r="E82" s="207"/>
      <c r="F82" s="346"/>
      <c r="G82" s="207"/>
      <c r="H82" s="273"/>
      <c r="I82" s="241"/>
    </row>
    <row r="83" spans="1:9" s="274" customFormat="1" ht="12.75" hidden="1" customHeight="1" x14ac:dyDescent="0.2">
      <c r="A83" s="204"/>
      <c r="B83" s="205"/>
      <c r="C83" s="228"/>
      <c r="D83" s="242" t="s">
        <v>304</v>
      </c>
      <c r="E83" s="207"/>
      <c r="F83" s="346"/>
      <c r="G83" s="207"/>
      <c r="H83" s="314"/>
      <c r="I83" s="205"/>
    </row>
    <row r="84" spans="1:9" s="274" customFormat="1" ht="12.75" hidden="1" customHeight="1" x14ac:dyDescent="0.2">
      <c r="A84" s="204"/>
      <c r="B84" s="205"/>
      <c r="C84" s="228"/>
      <c r="D84" s="242" t="s">
        <v>359</v>
      </c>
      <c r="E84" s="207"/>
      <c r="F84" s="346">
        <v>0</v>
      </c>
      <c r="G84" s="207"/>
      <c r="H84" s="314"/>
      <c r="I84" s="205"/>
    </row>
    <row r="85" spans="1:9" s="274" customFormat="1" ht="12.75" customHeight="1" x14ac:dyDescent="0.2">
      <c r="A85" s="204"/>
      <c r="B85" s="205"/>
      <c r="C85" s="228"/>
      <c r="D85" s="242" t="s">
        <v>314</v>
      </c>
      <c r="E85" s="207"/>
      <c r="F85" s="346">
        <v>118</v>
      </c>
      <c r="G85" s="207"/>
      <c r="H85" s="314"/>
      <c r="I85" s="205"/>
    </row>
    <row r="86" spans="1:9" s="274" customFormat="1" ht="12.75" hidden="1" customHeight="1" x14ac:dyDescent="0.2">
      <c r="A86" s="204"/>
      <c r="B86" s="205"/>
      <c r="C86" s="228"/>
      <c r="D86" s="242" t="s">
        <v>276</v>
      </c>
      <c r="E86" s="207"/>
      <c r="F86" s="346"/>
      <c r="G86" s="207"/>
      <c r="H86" s="273"/>
      <c r="I86" s="335"/>
    </row>
    <row r="87" spans="1:9" s="274" customFormat="1" ht="12.75" hidden="1" customHeight="1" x14ac:dyDescent="0.2">
      <c r="A87" s="204"/>
      <c r="B87" s="205"/>
      <c r="C87" s="228"/>
      <c r="D87" s="242" t="s">
        <v>316</v>
      </c>
      <c r="E87" s="207"/>
      <c r="F87" s="346"/>
      <c r="G87" s="207"/>
      <c r="H87" s="314"/>
    </row>
    <row r="88" spans="1:9" s="274" customFormat="1" ht="12.75" hidden="1" customHeight="1" x14ac:dyDescent="0.2">
      <c r="A88" s="204"/>
      <c r="B88" s="205"/>
      <c r="C88" s="228"/>
      <c r="D88" s="242" t="s">
        <v>348</v>
      </c>
      <c r="E88" s="207"/>
      <c r="F88" s="346"/>
      <c r="G88" s="207"/>
      <c r="H88" s="314"/>
      <c r="I88" s="205"/>
    </row>
    <row r="89" spans="1:9" s="274" customFormat="1" ht="12.75" hidden="1" customHeight="1" x14ac:dyDescent="0.2">
      <c r="A89" s="204"/>
      <c r="B89" s="205"/>
      <c r="C89" s="228"/>
      <c r="D89" s="293" t="s">
        <v>407</v>
      </c>
      <c r="E89" s="207"/>
      <c r="F89" s="346">
        <v>0</v>
      </c>
      <c r="G89" s="207"/>
      <c r="H89" s="314"/>
      <c r="I89" s="324"/>
    </row>
    <row r="90" spans="1:9" s="274" customFormat="1" ht="12.75" customHeight="1" x14ac:dyDescent="0.2">
      <c r="A90" s="208">
        <f>A80+1</f>
        <v>8</v>
      </c>
      <c r="B90" s="209" t="s">
        <v>181</v>
      </c>
      <c r="C90" s="229" t="s">
        <v>214</v>
      </c>
      <c r="D90" s="294" t="str">
        <f>$D$5</f>
        <v>FTE JUL 23</v>
      </c>
      <c r="E90" s="210">
        <f>'2911'!I$133</f>
        <v>416679.61</v>
      </c>
      <c r="F90" s="345"/>
      <c r="G90" s="210">
        <f>SUBTOTAL(109,E90:F99)</f>
        <v>416793.61</v>
      </c>
      <c r="H90" s="314"/>
      <c r="I90" s="205"/>
    </row>
    <row r="91" spans="1:9" s="274" customFormat="1" ht="12.75" hidden="1" customHeight="1" x14ac:dyDescent="0.2">
      <c r="A91" s="208"/>
      <c r="B91" s="209"/>
      <c r="C91" s="229"/>
      <c r="D91" s="243" t="s">
        <v>302</v>
      </c>
      <c r="E91" s="210"/>
      <c r="F91" s="345"/>
      <c r="G91" s="210"/>
      <c r="H91" s="314"/>
      <c r="I91" s="205"/>
    </row>
    <row r="92" spans="1:9" s="274" customFormat="1" ht="12.75" hidden="1" customHeight="1" x14ac:dyDescent="0.2">
      <c r="A92" s="208"/>
      <c r="B92" s="209"/>
      <c r="C92" s="229"/>
      <c r="D92" s="393" t="s">
        <v>370</v>
      </c>
      <c r="E92" s="210"/>
      <c r="F92" s="345"/>
      <c r="G92" s="210"/>
      <c r="H92" s="273"/>
      <c r="I92" s="241"/>
    </row>
    <row r="93" spans="1:9" s="274" customFormat="1" ht="12.75" hidden="1" customHeight="1" x14ac:dyDescent="0.2">
      <c r="A93" s="208"/>
      <c r="B93" s="209"/>
      <c r="C93" s="229"/>
      <c r="D93" s="243" t="s">
        <v>304</v>
      </c>
      <c r="E93" s="210"/>
      <c r="F93" s="345"/>
      <c r="G93" s="210"/>
      <c r="H93" s="314"/>
      <c r="I93" s="205"/>
    </row>
    <row r="94" spans="1:9" s="274" customFormat="1" ht="12.75" hidden="1" customHeight="1" x14ac:dyDescent="0.2">
      <c r="A94" s="208"/>
      <c r="B94" s="209"/>
      <c r="C94" s="229"/>
      <c r="D94" s="243" t="s">
        <v>303</v>
      </c>
      <c r="E94" s="210"/>
      <c r="F94" s="345"/>
      <c r="G94" s="210"/>
      <c r="H94" s="314"/>
      <c r="I94" s="205"/>
    </row>
    <row r="95" spans="1:9" s="274" customFormat="1" ht="12.75" customHeight="1" x14ac:dyDescent="0.2">
      <c r="A95" s="208"/>
      <c r="B95" s="209"/>
      <c r="C95" s="229"/>
      <c r="D95" s="243" t="s">
        <v>314</v>
      </c>
      <c r="E95" s="210"/>
      <c r="F95" s="345">
        <v>114</v>
      </c>
      <c r="G95" s="210"/>
      <c r="H95" s="314"/>
      <c r="I95" s="205"/>
    </row>
    <row r="96" spans="1:9" s="274" customFormat="1" ht="12.75" hidden="1" customHeight="1" x14ac:dyDescent="0.2">
      <c r="A96" s="208"/>
      <c r="B96" s="209"/>
      <c r="C96" s="229"/>
      <c r="D96" s="243" t="s">
        <v>276</v>
      </c>
      <c r="E96" s="210"/>
      <c r="F96" s="345"/>
      <c r="G96" s="210"/>
      <c r="H96" s="273"/>
      <c r="I96" s="335"/>
    </row>
    <row r="97" spans="1:12" s="274" customFormat="1" ht="12.75" hidden="1" customHeight="1" x14ac:dyDescent="0.2">
      <c r="A97" s="208"/>
      <c r="B97" s="209"/>
      <c r="C97" s="229"/>
      <c r="D97" s="243" t="s">
        <v>316</v>
      </c>
      <c r="E97" s="210"/>
      <c r="F97" s="345"/>
      <c r="G97" s="210"/>
      <c r="H97" s="314"/>
      <c r="I97" s="324"/>
    </row>
    <row r="98" spans="1:12" s="274" customFormat="1" ht="12.75" hidden="1" customHeight="1" x14ac:dyDescent="0.2">
      <c r="A98" s="208"/>
      <c r="B98" s="209"/>
      <c r="C98" s="239"/>
      <c r="D98" s="332" t="s">
        <v>410</v>
      </c>
      <c r="E98" s="210"/>
      <c r="F98" s="345">
        <v>0</v>
      </c>
      <c r="G98" s="210"/>
      <c r="H98" s="273"/>
      <c r="I98" s="324"/>
      <c r="J98" s="360"/>
      <c r="K98" s="207"/>
      <c r="L98" s="254"/>
    </row>
    <row r="99" spans="1:12" s="274" customFormat="1" ht="12.75" hidden="1" customHeight="1" x14ac:dyDescent="0.2">
      <c r="A99" s="208"/>
      <c r="B99" s="209"/>
      <c r="C99" s="239"/>
      <c r="D99" s="332" t="s">
        <v>420</v>
      </c>
      <c r="E99" s="210"/>
      <c r="F99" s="345"/>
      <c r="G99" s="210"/>
      <c r="H99" s="273"/>
      <c r="I99" s="324"/>
      <c r="J99" s="360"/>
      <c r="K99" s="207"/>
      <c r="L99" s="254"/>
    </row>
    <row r="100" spans="1:12" s="274" customFormat="1" ht="12.75" customHeight="1" x14ac:dyDescent="0.2">
      <c r="A100" s="204">
        <f>A90+1</f>
        <v>9</v>
      </c>
      <c r="B100" s="205" t="s">
        <v>182</v>
      </c>
      <c r="C100" s="228" t="s">
        <v>215</v>
      </c>
      <c r="D100" s="292" t="str">
        <f>$D$5</f>
        <v>FTE JUL 23</v>
      </c>
      <c r="E100" s="207">
        <f>'2941'!I$133</f>
        <v>895488.78</v>
      </c>
      <c r="F100" s="346"/>
      <c r="G100" s="207">
        <f>SUBTOTAL(109,E100:F108)</f>
        <v>895565.78</v>
      </c>
      <c r="H100" s="314"/>
      <c r="I100" s="205"/>
    </row>
    <row r="101" spans="1:12" s="274" customFormat="1" ht="12.75" hidden="1" customHeight="1" x14ac:dyDescent="0.2">
      <c r="A101" s="204"/>
      <c r="B101" s="205"/>
      <c r="C101" s="228"/>
      <c r="D101" s="242" t="s">
        <v>302</v>
      </c>
      <c r="E101" s="207"/>
      <c r="F101" s="346">
        <v>0</v>
      </c>
      <c r="G101" s="207"/>
      <c r="H101" s="314"/>
      <c r="I101" s="205"/>
    </row>
    <row r="102" spans="1:12" s="274" customFormat="1" ht="12.75" hidden="1" customHeight="1" x14ac:dyDescent="0.2">
      <c r="A102" s="204"/>
      <c r="B102" s="205"/>
      <c r="C102" s="228"/>
      <c r="D102" s="359" t="s">
        <v>370</v>
      </c>
      <c r="E102" s="207"/>
      <c r="F102" s="346"/>
      <c r="G102" s="207"/>
      <c r="H102" s="273"/>
      <c r="I102" s="241"/>
    </row>
    <row r="103" spans="1:12" s="274" customFormat="1" ht="12.75" hidden="1" customHeight="1" x14ac:dyDescent="0.2">
      <c r="A103" s="204"/>
      <c r="B103" s="205"/>
      <c r="C103" s="228"/>
      <c r="D103" s="242" t="s">
        <v>304</v>
      </c>
      <c r="E103" s="207"/>
      <c r="F103" s="346"/>
      <c r="G103" s="207"/>
      <c r="H103" s="314"/>
      <c r="I103" s="205"/>
    </row>
    <row r="104" spans="1:12" s="274" customFormat="1" ht="12.75" hidden="1" customHeight="1" x14ac:dyDescent="0.2">
      <c r="A104" s="204"/>
      <c r="B104" s="205"/>
      <c r="C104" s="228"/>
      <c r="D104" s="242" t="s">
        <v>303</v>
      </c>
      <c r="E104" s="207"/>
      <c r="F104" s="346"/>
      <c r="G104" s="207"/>
      <c r="H104" s="314"/>
      <c r="I104" s="205"/>
    </row>
    <row r="105" spans="1:12" s="274" customFormat="1" ht="12.75" customHeight="1" x14ac:dyDescent="0.2">
      <c r="A105" s="204"/>
      <c r="B105" s="205"/>
      <c r="C105" s="228"/>
      <c r="D105" s="242" t="s">
        <v>314</v>
      </c>
      <c r="E105" s="207"/>
      <c r="F105" s="346">
        <v>77</v>
      </c>
      <c r="G105" s="207"/>
      <c r="H105" s="314"/>
      <c r="I105" s="205"/>
    </row>
    <row r="106" spans="1:12" s="274" customFormat="1" ht="12.75" hidden="1" customHeight="1" x14ac:dyDescent="0.2">
      <c r="A106" s="204"/>
      <c r="B106" s="205"/>
      <c r="C106" s="228"/>
      <c r="D106" s="242" t="s">
        <v>276</v>
      </c>
      <c r="E106" s="207"/>
      <c r="F106" s="346"/>
      <c r="G106" s="207"/>
      <c r="H106" s="273"/>
      <c r="I106" s="335"/>
    </row>
    <row r="107" spans="1:12" s="274" customFormat="1" ht="12.75" hidden="1" customHeight="1" x14ac:dyDescent="0.2">
      <c r="A107" s="204"/>
      <c r="B107" s="205"/>
      <c r="C107" s="228"/>
      <c r="D107" s="242" t="s">
        <v>348</v>
      </c>
      <c r="E107" s="207"/>
      <c r="F107" s="346"/>
      <c r="G107" s="207"/>
      <c r="H107" s="273"/>
      <c r="I107" s="335"/>
    </row>
    <row r="108" spans="1:12" s="274" customFormat="1" ht="12.75" hidden="1" customHeight="1" x14ac:dyDescent="0.2">
      <c r="A108" s="204"/>
      <c r="B108" s="205"/>
      <c r="C108" s="228"/>
      <c r="D108" s="293" t="s">
        <v>349</v>
      </c>
      <c r="E108" s="207"/>
      <c r="F108" s="346"/>
      <c r="G108" s="207"/>
      <c r="H108" s="273"/>
      <c r="I108" s="335"/>
    </row>
    <row r="109" spans="1:12" s="274" customFormat="1" ht="12.75" customHeight="1" x14ac:dyDescent="0.2">
      <c r="A109" s="208">
        <f>A100+1</f>
        <v>10</v>
      </c>
      <c r="B109" s="209" t="s">
        <v>183</v>
      </c>
      <c r="C109" s="276" t="s">
        <v>341</v>
      </c>
      <c r="D109" s="294" t="str">
        <f>$D$5</f>
        <v>FTE JUL 23</v>
      </c>
      <c r="E109" s="210">
        <f>'3083'!I$133</f>
        <v>360906.5</v>
      </c>
      <c r="F109" s="345"/>
      <c r="G109" s="210">
        <f>SUBTOTAL(109,E109:F116)</f>
        <v>360931.5</v>
      </c>
      <c r="H109" s="314"/>
      <c r="I109" s="205"/>
    </row>
    <row r="110" spans="1:12" s="274" customFormat="1" ht="12.75" hidden="1" customHeight="1" x14ac:dyDescent="0.2">
      <c r="A110" s="208"/>
      <c r="B110" s="209"/>
      <c r="C110" s="229"/>
      <c r="D110" s="243" t="s">
        <v>302</v>
      </c>
      <c r="E110" s="210"/>
      <c r="F110" s="345"/>
      <c r="G110" s="210"/>
      <c r="H110" s="314"/>
      <c r="I110" s="205"/>
    </row>
    <row r="111" spans="1:12" s="274" customFormat="1" ht="12.75" hidden="1" customHeight="1" x14ac:dyDescent="0.2">
      <c r="A111" s="208"/>
      <c r="B111" s="209"/>
      <c r="C111" s="229"/>
      <c r="D111" s="393" t="s">
        <v>370</v>
      </c>
      <c r="E111" s="210"/>
      <c r="F111" s="345"/>
      <c r="G111" s="210"/>
      <c r="H111" s="273"/>
      <c r="I111" s="241"/>
    </row>
    <row r="112" spans="1:12" s="274" customFormat="1" ht="12.75" hidden="1" customHeight="1" x14ac:dyDescent="0.2">
      <c r="A112" s="208"/>
      <c r="B112" s="209"/>
      <c r="C112" s="229"/>
      <c r="D112" s="243" t="s">
        <v>304</v>
      </c>
      <c r="E112" s="210"/>
      <c r="F112" s="345"/>
      <c r="G112" s="210"/>
      <c r="H112" s="314"/>
      <c r="I112" s="205"/>
    </row>
    <row r="113" spans="1:9" s="274" customFormat="1" ht="12.75" hidden="1" customHeight="1" x14ac:dyDescent="0.2">
      <c r="A113" s="208"/>
      <c r="B113" s="209"/>
      <c r="C113" s="229"/>
      <c r="D113" s="243" t="s">
        <v>303</v>
      </c>
      <c r="E113" s="210"/>
      <c r="F113" s="345"/>
      <c r="G113" s="210"/>
      <c r="H113" s="314"/>
      <c r="I113" s="205"/>
    </row>
    <row r="114" spans="1:9" s="274" customFormat="1" ht="12.75" customHeight="1" x14ac:dyDescent="0.2">
      <c r="A114" s="208"/>
      <c r="B114" s="209"/>
      <c r="C114" s="229"/>
      <c r="D114" s="295" t="s">
        <v>314</v>
      </c>
      <c r="E114" s="210"/>
      <c r="F114" s="345">
        <v>25</v>
      </c>
      <c r="G114" s="210"/>
      <c r="H114" s="314"/>
      <c r="I114" s="205"/>
    </row>
    <row r="115" spans="1:9" s="274" customFormat="1" ht="12.75" hidden="1" customHeight="1" x14ac:dyDescent="0.2">
      <c r="A115" s="208"/>
      <c r="B115" s="209"/>
      <c r="C115" s="229"/>
      <c r="D115" s="243" t="s">
        <v>276</v>
      </c>
      <c r="E115" s="210"/>
      <c r="F115" s="345"/>
      <c r="G115" s="210"/>
      <c r="H115" s="273"/>
      <c r="I115" s="335"/>
    </row>
    <row r="116" spans="1:9" ht="12.75" hidden="1" customHeight="1" x14ac:dyDescent="0.2">
      <c r="A116" s="208"/>
      <c r="B116" s="209"/>
      <c r="C116" s="229"/>
      <c r="D116" s="295" t="s">
        <v>349</v>
      </c>
      <c r="E116" s="210"/>
      <c r="F116" s="345"/>
      <c r="G116" s="210"/>
      <c r="H116" s="315"/>
      <c r="I116" s="205"/>
    </row>
    <row r="117" spans="1:9" s="274" customFormat="1" ht="12.75" customHeight="1" x14ac:dyDescent="0.2">
      <c r="A117" s="204">
        <f>A109+1</f>
        <v>11</v>
      </c>
      <c r="B117" s="205" t="s">
        <v>184</v>
      </c>
      <c r="C117" s="275" t="s">
        <v>419</v>
      </c>
      <c r="D117" s="292" t="str">
        <f>$D$5</f>
        <v>FTE JUL 23</v>
      </c>
      <c r="E117" s="207">
        <f>'3345'!I$133</f>
        <v>40899.199999999997</v>
      </c>
      <c r="F117" s="346"/>
      <c r="G117" s="207">
        <f>SUBTOTAL(109,E117:F123)</f>
        <v>40908.199999999997</v>
      </c>
      <c r="H117" s="314"/>
      <c r="I117" s="205"/>
    </row>
    <row r="118" spans="1:9" s="274" customFormat="1" ht="12.75" hidden="1" customHeight="1" x14ac:dyDescent="0.2">
      <c r="A118" s="204"/>
      <c r="B118" s="205"/>
      <c r="C118" s="275"/>
      <c r="D118" s="242" t="s">
        <v>302</v>
      </c>
      <c r="E118" s="207"/>
      <c r="F118" s="346"/>
      <c r="G118" s="207"/>
      <c r="H118" s="314"/>
      <c r="I118" s="205"/>
    </row>
    <row r="119" spans="1:9" s="274" customFormat="1" ht="12.75" hidden="1" customHeight="1" x14ac:dyDescent="0.2">
      <c r="A119" s="204"/>
      <c r="B119" s="205"/>
      <c r="C119" s="275"/>
      <c r="D119" s="242" t="s">
        <v>304</v>
      </c>
      <c r="E119" s="207"/>
      <c r="F119" s="346"/>
      <c r="G119" s="207"/>
      <c r="H119" s="314"/>
      <c r="I119" s="205"/>
    </row>
    <row r="120" spans="1:9" s="274" customFormat="1" ht="12.75" hidden="1" customHeight="1" x14ac:dyDescent="0.2">
      <c r="A120" s="204"/>
      <c r="B120" s="205"/>
      <c r="C120" s="228"/>
      <c r="D120" s="242" t="s">
        <v>303</v>
      </c>
      <c r="E120" s="207"/>
      <c r="F120" s="346"/>
      <c r="G120" s="207"/>
      <c r="H120" s="314"/>
      <c r="I120" s="205"/>
    </row>
    <row r="121" spans="1:9" s="274" customFormat="1" ht="12.75" customHeight="1" x14ac:dyDescent="0.2">
      <c r="A121" s="204"/>
      <c r="B121" s="205"/>
      <c r="C121" s="228"/>
      <c r="D121" s="242" t="s">
        <v>314</v>
      </c>
      <c r="E121" s="207"/>
      <c r="F121" s="346">
        <v>9</v>
      </c>
      <c r="G121" s="207"/>
      <c r="H121" s="314"/>
      <c r="I121" s="205"/>
    </row>
    <row r="122" spans="1:9" s="274" customFormat="1" ht="12.75" hidden="1" customHeight="1" x14ac:dyDescent="0.2">
      <c r="A122" s="204"/>
      <c r="B122" s="205"/>
      <c r="C122" s="228"/>
      <c r="D122" s="242" t="s">
        <v>276</v>
      </c>
      <c r="E122" s="207"/>
      <c r="F122" s="346"/>
      <c r="G122" s="207"/>
      <c r="H122" s="273"/>
      <c r="I122" s="335"/>
    </row>
    <row r="123" spans="1:9" s="274" customFormat="1" ht="12.75" hidden="1" customHeight="1" x14ac:dyDescent="0.2">
      <c r="A123" s="204"/>
      <c r="B123" s="205"/>
      <c r="C123" s="228"/>
      <c r="D123" s="293" t="s">
        <v>349</v>
      </c>
      <c r="E123" s="207"/>
      <c r="F123" s="346"/>
      <c r="G123" s="207"/>
      <c r="H123" s="273"/>
      <c r="I123" s="335"/>
    </row>
    <row r="124" spans="1:9" s="274" customFormat="1" ht="12.75" customHeight="1" x14ac:dyDescent="0.2">
      <c r="A124" s="208">
        <f>A117+1</f>
        <v>12</v>
      </c>
      <c r="B124" s="209" t="s">
        <v>185</v>
      </c>
      <c r="C124" s="229" t="s">
        <v>218</v>
      </c>
      <c r="D124" s="294" t="str">
        <f>$D$5</f>
        <v>FTE JUL 23</v>
      </c>
      <c r="E124" s="210">
        <f>'3381'!I$133</f>
        <v>771366.85</v>
      </c>
      <c r="F124" s="345"/>
      <c r="G124" s="210">
        <f>SUBTOTAL(109,E124:F132)</f>
        <v>771574.85</v>
      </c>
      <c r="H124" s="314"/>
      <c r="I124" s="205"/>
    </row>
    <row r="125" spans="1:9" s="274" customFormat="1" ht="12.75" hidden="1" customHeight="1" x14ac:dyDescent="0.2">
      <c r="A125" s="208"/>
      <c r="B125" s="209"/>
      <c r="C125" s="229"/>
      <c r="D125" s="243" t="s">
        <v>302</v>
      </c>
      <c r="E125" s="210"/>
      <c r="F125" s="345"/>
      <c r="G125" s="210"/>
      <c r="H125" s="314"/>
      <c r="I125" s="205"/>
    </row>
    <row r="126" spans="1:9" s="274" customFormat="1" ht="12.75" hidden="1" customHeight="1" x14ac:dyDescent="0.2">
      <c r="A126" s="208"/>
      <c r="B126" s="209"/>
      <c r="C126" s="229"/>
      <c r="D126" s="393" t="s">
        <v>370</v>
      </c>
      <c r="E126" s="210"/>
      <c r="F126" s="345"/>
      <c r="G126" s="210"/>
      <c r="H126" s="273"/>
      <c r="I126" s="241"/>
    </row>
    <row r="127" spans="1:9" s="274" customFormat="1" ht="12.75" hidden="1" customHeight="1" x14ac:dyDescent="0.2">
      <c r="A127" s="208"/>
      <c r="B127" s="209"/>
      <c r="C127" s="229"/>
      <c r="D127" s="243" t="s">
        <v>304</v>
      </c>
      <c r="E127" s="210"/>
      <c r="F127" s="345"/>
      <c r="G127" s="210"/>
      <c r="H127" s="314"/>
      <c r="I127" s="205"/>
    </row>
    <row r="128" spans="1:9" s="274" customFormat="1" ht="12.75" hidden="1" customHeight="1" x14ac:dyDescent="0.2">
      <c r="A128" s="208"/>
      <c r="B128" s="209"/>
      <c r="C128" s="229"/>
      <c r="D128" s="243" t="s">
        <v>303</v>
      </c>
      <c r="E128" s="210"/>
      <c r="F128" s="345"/>
      <c r="G128" s="210"/>
      <c r="H128" s="314"/>
      <c r="I128" s="205"/>
    </row>
    <row r="129" spans="1:16" s="274" customFormat="1" ht="12.75" customHeight="1" x14ac:dyDescent="0.2">
      <c r="A129" s="208"/>
      <c r="B129" s="209"/>
      <c r="C129" s="229"/>
      <c r="D129" s="243" t="s">
        <v>314</v>
      </c>
      <c r="E129" s="210"/>
      <c r="F129" s="345">
        <v>208</v>
      </c>
      <c r="G129" s="210"/>
      <c r="H129" s="314"/>
      <c r="I129" s="205"/>
    </row>
    <row r="130" spans="1:16" s="274" customFormat="1" ht="12.75" hidden="1" customHeight="1" x14ac:dyDescent="0.2">
      <c r="A130" s="208"/>
      <c r="B130" s="209"/>
      <c r="C130" s="229"/>
      <c r="D130" s="243" t="s">
        <v>276</v>
      </c>
      <c r="E130" s="210"/>
      <c r="F130" s="345"/>
      <c r="G130" s="210"/>
      <c r="H130" s="273"/>
      <c r="I130" s="335"/>
    </row>
    <row r="131" spans="1:16" s="274" customFormat="1" ht="12.75" hidden="1" customHeight="1" x14ac:dyDescent="0.2">
      <c r="A131" s="208"/>
      <c r="B131" s="209"/>
      <c r="C131" s="229"/>
      <c r="D131" s="243" t="s">
        <v>363</v>
      </c>
      <c r="E131" s="210"/>
      <c r="F131" s="345"/>
      <c r="G131" s="210"/>
      <c r="H131" s="273"/>
      <c r="I131" s="337"/>
    </row>
    <row r="132" spans="1:16" ht="12.75" hidden="1" customHeight="1" x14ac:dyDescent="0.2">
      <c r="A132" s="208"/>
      <c r="B132" s="209"/>
      <c r="C132" s="229"/>
      <c r="D132" s="295" t="s">
        <v>349</v>
      </c>
      <c r="E132" s="210"/>
      <c r="F132" s="345"/>
      <c r="G132" s="210"/>
      <c r="H132" s="315"/>
      <c r="I132" s="205"/>
    </row>
    <row r="133" spans="1:16" s="274" customFormat="1" ht="12.75" customHeight="1" x14ac:dyDescent="0.2">
      <c r="A133" s="204">
        <f>A124+1</f>
        <v>13</v>
      </c>
      <c r="B133" s="205" t="s">
        <v>186</v>
      </c>
      <c r="C133" s="228" t="s">
        <v>220</v>
      </c>
      <c r="D133" s="292" t="str">
        <f>$D$5</f>
        <v>FTE JUL 23</v>
      </c>
      <c r="E133" s="207">
        <f>'3382'!I$133</f>
        <v>193847.6</v>
      </c>
      <c r="F133" s="346"/>
      <c r="G133" s="207">
        <f>SUBTOTAL(109,E133:F141)</f>
        <v>193900.6</v>
      </c>
      <c r="H133" s="314"/>
      <c r="I133" s="205"/>
      <c r="P133" s="336"/>
    </row>
    <row r="134" spans="1:16" s="274" customFormat="1" ht="12.75" hidden="1" customHeight="1" x14ac:dyDescent="0.2">
      <c r="A134" s="204"/>
      <c r="B134" s="205"/>
      <c r="C134" s="228"/>
      <c r="D134" s="242" t="s">
        <v>302</v>
      </c>
      <c r="E134" s="207"/>
      <c r="F134" s="346"/>
      <c r="G134" s="207"/>
      <c r="H134" s="314"/>
      <c r="I134" s="205"/>
    </row>
    <row r="135" spans="1:16" s="274" customFormat="1" ht="12.75" hidden="1" customHeight="1" x14ac:dyDescent="0.2">
      <c r="A135" s="204"/>
      <c r="B135" s="205"/>
      <c r="C135" s="228"/>
      <c r="D135" s="359" t="s">
        <v>370</v>
      </c>
      <c r="E135" s="207"/>
      <c r="F135" s="346"/>
      <c r="G135" s="207"/>
      <c r="H135" s="273"/>
      <c r="I135" s="241"/>
    </row>
    <row r="136" spans="1:16" s="274" customFormat="1" ht="12.75" hidden="1" customHeight="1" x14ac:dyDescent="0.2">
      <c r="A136" s="204"/>
      <c r="B136" s="205"/>
      <c r="C136" s="228"/>
      <c r="D136" s="242" t="s">
        <v>304</v>
      </c>
      <c r="E136" s="207"/>
      <c r="F136" s="346"/>
      <c r="G136" s="207"/>
      <c r="H136" s="314"/>
      <c r="I136" s="205"/>
    </row>
    <row r="137" spans="1:16" s="274" customFormat="1" ht="12.75" hidden="1" customHeight="1" x14ac:dyDescent="0.2">
      <c r="A137" s="204"/>
      <c r="B137" s="205"/>
      <c r="C137" s="228"/>
      <c r="D137" s="242" t="s">
        <v>303</v>
      </c>
      <c r="E137" s="207"/>
      <c r="F137" s="346"/>
      <c r="G137" s="207"/>
      <c r="H137" s="314"/>
      <c r="I137" s="205"/>
    </row>
    <row r="138" spans="1:16" s="274" customFormat="1" ht="12.75" customHeight="1" x14ac:dyDescent="0.2">
      <c r="A138" s="204"/>
      <c r="B138" s="205"/>
      <c r="C138" s="228"/>
      <c r="D138" s="242" t="s">
        <v>314</v>
      </c>
      <c r="E138" s="207"/>
      <c r="F138" s="346">
        <v>53</v>
      </c>
      <c r="G138" s="207"/>
      <c r="H138" s="314"/>
      <c r="I138" s="205"/>
    </row>
    <row r="139" spans="1:16" s="274" customFormat="1" ht="12.75" hidden="1" customHeight="1" x14ac:dyDescent="0.2">
      <c r="A139" s="204"/>
      <c r="B139" s="205"/>
      <c r="C139" s="228"/>
      <c r="D139" s="242" t="s">
        <v>276</v>
      </c>
      <c r="E139" s="207"/>
      <c r="F139" s="346"/>
      <c r="G139" s="207"/>
      <c r="H139" s="273"/>
      <c r="I139" s="335"/>
    </row>
    <row r="140" spans="1:16" s="274" customFormat="1" ht="12.75" hidden="1" customHeight="1" x14ac:dyDescent="0.2">
      <c r="A140" s="204"/>
      <c r="B140" s="205"/>
      <c r="C140" s="228"/>
      <c r="D140" s="242" t="s">
        <v>348</v>
      </c>
      <c r="E140" s="207"/>
      <c r="F140" s="346"/>
      <c r="G140" s="207"/>
      <c r="H140" s="314"/>
      <c r="I140" s="335"/>
    </row>
    <row r="141" spans="1:16" ht="12.75" hidden="1" customHeight="1" x14ac:dyDescent="0.2">
      <c r="A141" s="204"/>
      <c r="B141" s="205"/>
      <c r="C141" s="241"/>
      <c r="D141" s="293" t="s">
        <v>349</v>
      </c>
      <c r="E141" s="207"/>
      <c r="F141" s="346"/>
      <c r="G141" s="207"/>
      <c r="H141" s="315"/>
      <c r="I141" s="205"/>
    </row>
    <row r="142" spans="1:16" s="274" customFormat="1" ht="12.75" customHeight="1" x14ac:dyDescent="0.2">
      <c r="A142" s="208">
        <f>A133+1</f>
        <v>14</v>
      </c>
      <c r="B142" s="209" t="s">
        <v>187</v>
      </c>
      <c r="C142" s="229" t="s">
        <v>222</v>
      </c>
      <c r="D142" s="294" t="str">
        <f>$D$5</f>
        <v>FTE JUL 23</v>
      </c>
      <c r="E142" s="210">
        <f>'3391'!I$133</f>
        <v>26761.88</v>
      </c>
      <c r="F142" s="345"/>
      <c r="G142" s="210">
        <f>SUBTOTAL(109,E142:F150)</f>
        <v>26768.880000000001</v>
      </c>
      <c r="H142" s="314"/>
      <c r="I142" s="302"/>
    </row>
    <row r="143" spans="1:16" s="274" customFormat="1" ht="12.75" hidden="1" customHeight="1" x14ac:dyDescent="0.2">
      <c r="A143" s="208"/>
      <c r="B143" s="209"/>
      <c r="C143" s="229"/>
      <c r="D143" s="243" t="s">
        <v>302</v>
      </c>
      <c r="E143" s="210"/>
      <c r="F143" s="345"/>
      <c r="G143" s="210"/>
      <c r="H143" s="314"/>
      <c r="I143" s="302"/>
    </row>
    <row r="144" spans="1:16" s="274" customFormat="1" ht="12.75" hidden="1" customHeight="1" x14ac:dyDescent="0.2">
      <c r="A144" s="208"/>
      <c r="B144" s="209"/>
      <c r="C144" s="229"/>
      <c r="D144" s="243" t="s">
        <v>372</v>
      </c>
      <c r="E144" s="210"/>
      <c r="F144" s="345"/>
      <c r="G144" s="210"/>
      <c r="H144" s="273"/>
      <c r="I144" s="241"/>
    </row>
    <row r="145" spans="1:9" s="274" customFormat="1" ht="12.75" hidden="1" customHeight="1" x14ac:dyDescent="0.2">
      <c r="A145" s="208"/>
      <c r="B145" s="209"/>
      <c r="C145" s="229"/>
      <c r="D145" s="393" t="s">
        <v>370</v>
      </c>
      <c r="E145" s="210"/>
      <c r="F145" s="345"/>
      <c r="G145" s="210"/>
      <c r="H145" s="273"/>
      <c r="I145" s="241"/>
    </row>
    <row r="146" spans="1:9" s="274" customFormat="1" ht="12.75" hidden="1" customHeight="1" x14ac:dyDescent="0.2">
      <c r="A146" s="208"/>
      <c r="B146" s="209"/>
      <c r="C146" s="229"/>
      <c r="D146" s="243" t="s">
        <v>304</v>
      </c>
      <c r="E146" s="210"/>
      <c r="F146" s="345"/>
      <c r="G146" s="210"/>
      <c r="H146" s="314"/>
      <c r="I146" s="302"/>
    </row>
    <row r="147" spans="1:9" s="274" customFormat="1" ht="12.75" hidden="1" customHeight="1" x14ac:dyDescent="0.2">
      <c r="A147" s="208"/>
      <c r="B147" s="209"/>
      <c r="C147" s="229"/>
      <c r="D147" s="243" t="s">
        <v>303</v>
      </c>
      <c r="E147" s="210"/>
      <c r="F147" s="345"/>
      <c r="G147" s="210"/>
      <c r="H147" s="314"/>
      <c r="I147" s="302"/>
    </row>
    <row r="148" spans="1:9" s="274" customFormat="1" ht="12.75" customHeight="1" x14ac:dyDescent="0.2">
      <c r="A148" s="208"/>
      <c r="B148" s="209"/>
      <c r="C148" s="229"/>
      <c r="D148" s="243" t="s">
        <v>314</v>
      </c>
      <c r="E148" s="210"/>
      <c r="F148" s="345">
        <v>7</v>
      </c>
      <c r="G148" s="210"/>
      <c r="H148" s="314"/>
      <c r="I148" s="302"/>
    </row>
    <row r="149" spans="1:9" s="274" customFormat="1" ht="12.75" hidden="1" customHeight="1" x14ac:dyDescent="0.2">
      <c r="A149" s="208"/>
      <c r="B149" s="209"/>
      <c r="C149" s="229"/>
      <c r="D149" s="243" t="s">
        <v>276</v>
      </c>
      <c r="E149" s="210"/>
      <c r="F149" s="345"/>
      <c r="G149" s="210"/>
      <c r="H149" s="273"/>
      <c r="I149" s="335"/>
    </row>
    <row r="150" spans="1:9" s="274" customFormat="1" ht="12.75" hidden="1" customHeight="1" x14ac:dyDescent="0.2">
      <c r="A150" s="208"/>
      <c r="B150" s="209"/>
      <c r="C150" s="229"/>
      <c r="D150" s="295" t="s">
        <v>349</v>
      </c>
      <c r="E150" s="210"/>
      <c r="F150" s="345"/>
      <c r="G150" s="210"/>
      <c r="H150" s="273"/>
      <c r="I150" s="335"/>
    </row>
    <row r="151" spans="1:9" s="274" customFormat="1" ht="12.75" customHeight="1" x14ac:dyDescent="0.2">
      <c r="A151" s="204">
        <f>A142+1</f>
        <v>15</v>
      </c>
      <c r="B151" s="205" t="s">
        <v>188</v>
      </c>
      <c r="C151" s="228" t="s">
        <v>223</v>
      </c>
      <c r="D151" s="292" t="str">
        <f>$D$5</f>
        <v>FTE JUL 23</v>
      </c>
      <c r="E151" s="207">
        <f>'3394'!I$133</f>
        <v>147922.46</v>
      </c>
      <c r="F151" s="346"/>
      <c r="G151" s="207">
        <f>SUBTOTAL(109,E151:F160)</f>
        <v>147962.46</v>
      </c>
      <c r="H151" s="314"/>
      <c r="I151" s="302"/>
    </row>
    <row r="152" spans="1:9" s="274" customFormat="1" ht="12.75" hidden="1" customHeight="1" x14ac:dyDescent="0.2">
      <c r="A152" s="204"/>
      <c r="B152" s="205"/>
      <c r="C152" s="228"/>
      <c r="D152" s="242" t="s">
        <v>302</v>
      </c>
      <c r="E152" s="207"/>
      <c r="F152" s="346"/>
      <c r="G152" s="207"/>
      <c r="H152" s="314"/>
      <c r="I152" s="302"/>
    </row>
    <row r="153" spans="1:9" s="274" customFormat="1" ht="12.75" hidden="1" customHeight="1" x14ac:dyDescent="0.2">
      <c r="A153" s="204"/>
      <c r="B153" s="205"/>
      <c r="C153" s="228"/>
      <c r="D153" s="359" t="s">
        <v>370</v>
      </c>
      <c r="E153" s="207"/>
      <c r="F153" s="346"/>
      <c r="G153" s="207"/>
      <c r="H153" s="273"/>
      <c r="I153" s="241"/>
    </row>
    <row r="154" spans="1:9" s="274" customFormat="1" ht="12.75" hidden="1" customHeight="1" x14ac:dyDescent="0.2">
      <c r="A154" s="204"/>
      <c r="B154" s="205"/>
      <c r="C154" s="228"/>
      <c r="D154" s="242" t="s">
        <v>304</v>
      </c>
      <c r="E154" s="207"/>
      <c r="F154" s="346"/>
      <c r="G154" s="207"/>
      <c r="H154" s="314"/>
      <c r="I154" s="302"/>
    </row>
    <row r="155" spans="1:9" s="274" customFormat="1" ht="12.75" hidden="1" customHeight="1" x14ac:dyDescent="0.2">
      <c r="A155" s="204"/>
      <c r="B155" s="205"/>
      <c r="C155" s="228"/>
      <c r="D155" s="242" t="s">
        <v>303</v>
      </c>
      <c r="E155" s="207"/>
      <c r="F155" s="346"/>
      <c r="G155" s="207"/>
      <c r="H155" s="314"/>
      <c r="I155" s="302"/>
    </row>
    <row r="156" spans="1:9" s="274" customFormat="1" ht="12.75" customHeight="1" x14ac:dyDescent="0.2">
      <c r="A156" s="204"/>
      <c r="B156" s="205"/>
      <c r="C156" s="228"/>
      <c r="D156" s="242" t="s">
        <v>314</v>
      </c>
      <c r="E156" s="207"/>
      <c r="F156" s="346">
        <v>40</v>
      </c>
      <c r="G156" s="207"/>
      <c r="H156" s="314"/>
      <c r="I156" s="302"/>
    </row>
    <row r="157" spans="1:9" s="274" customFormat="1" ht="12.75" hidden="1" customHeight="1" x14ac:dyDescent="0.2">
      <c r="A157" s="204"/>
      <c r="B157" s="205"/>
      <c r="C157" s="228"/>
      <c r="D157" s="242" t="s">
        <v>276</v>
      </c>
      <c r="E157" s="207"/>
      <c r="F157" s="346"/>
      <c r="G157" s="207"/>
      <c r="H157" s="273"/>
      <c r="I157" s="335"/>
    </row>
    <row r="158" spans="1:9" s="274" customFormat="1" ht="12.75" hidden="1" customHeight="1" x14ac:dyDescent="0.2">
      <c r="A158" s="204"/>
      <c r="B158" s="205"/>
      <c r="C158" s="228"/>
      <c r="D158" s="242" t="s">
        <v>363</v>
      </c>
      <c r="E158" s="207"/>
      <c r="F158" s="346"/>
      <c r="G158" s="207"/>
      <c r="H158" s="314"/>
      <c r="I158" s="337"/>
    </row>
    <row r="159" spans="1:9" s="274" customFormat="1" ht="12.75" hidden="1" customHeight="1" x14ac:dyDescent="0.2">
      <c r="A159" s="204"/>
      <c r="B159" s="205"/>
      <c r="C159" s="228"/>
      <c r="D159" s="293" t="s">
        <v>422</v>
      </c>
      <c r="E159" s="207"/>
      <c r="F159" s="346">
        <v>0</v>
      </c>
      <c r="G159" s="207"/>
      <c r="H159" s="314"/>
      <c r="I159" s="337"/>
    </row>
    <row r="160" spans="1:9" s="274" customFormat="1" ht="12.75" hidden="1" customHeight="1" x14ac:dyDescent="0.2">
      <c r="A160" s="204"/>
      <c r="B160" s="205"/>
      <c r="C160" s="228"/>
      <c r="D160" s="293" t="s">
        <v>423</v>
      </c>
      <c r="E160" s="207"/>
      <c r="F160" s="346">
        <v>0</v>
      </c>
      <c r="G160" s="207"/>
      <c r="H160" s="314"/>
      <c r="I160" s="302"/>
    </row>
    <row r="161" spans="1:11" s="274" customFormat="1" ht="12.75" customHeight="1" x14ac:dyDescent="0.2">
      <c r="A161" s="208">
        <f>A151+1</f>
        <v>16</v>
      </c>
      <c r="B161" s="209" t="s">
        <v>189</v>
      </c>
      <c r="C161" s="276" t="s">
        <v>310</v>
      </c>
      <c r="D161" s="294" t="str">
        <f>$D$5</f>
        <v>FTE JUL 23</v>
      </c>
      <c r="E161" s="210">
        <f>'3395'!I$133</f>
        <v>369350.33</v>
      </c>
      <c r="F161" s="345"/>
      <c r="G161" s="210">
        <f>SUBTOTAL(109,E161:F169)</f>
        <v>368963.66</v>
      </c>
      <c r="H161" s="314"/>
      <c r="I161" s="302"/>
    </row>
    <row r="162" spans="1:11" s="274" customFormat="1" ht="12.75" hidden="1" customHeight="1" x14ac:dyDescent="0.2">
      <c r="A162" s="208"/>
      <c r="B162" s="209"/>
      <c r="C162" s="229"/>
      <c r="D162" s="243" t="s">
        <v>302</v>
      </c>
      <c r="E162" s="210"/>
      <c r="F162" s="345"/>
      <c r="G162" s="210"/>
      <c r="H162" s="314"/>
      <c r="I162" s="302"/>
    </row>
    <row r="163" spans="1:11" s="274" customFormat="1" ht="12.75" hidden="1" customHeight="1" x14ac:dyDescent="0.2">
      <c r="A163" s="208"/>
      <c r="B163" s="209"/>
      <c r="C163" s="229"/>
      <c r="D163" s="393" t="s">
        <v>370</v>
      </c>
      <c r="E163" s="210"/>
      <c r="F163" s="345"/>
      <c r="G163" s="210"/>
      <c r="H163" s="273"/>
      <c r="I163" s="241"/>
    </row>
    <row r="164" spans="1:11" s="274" customFormat="1" ht="12.75" hidden="1" customHeight="1" x14ac:dyDescent="0.2">
      <c r="A164" s="208"/>
      <c r="B164" s="209"/>
      <c r="C164" s="229"/>
      <c r="D164" s="243" t="s">
        <v>304</v>
      </c>
      <c r="E164" s="210"/>
      <c r="F164" s="345"/>
      <c r="G164" s="210"/>
      <c r="H164" s="314"/>
      <c r="I164" s="302"/>
    </row>
    <row r="165" spans="1:11" s="274" customFormat="1" ht="12.75" hidden="1" customHeight="1" x14ac:dyDescent="0.2">
      <c r="A165" s="208"/>
      <c r="B165" s="209"/>
      <c r="C165" s="229"/>
      <c r="D165" s="243" t="s">
        <v>303</v>
      </c>
      <c r="E165" s="210"/>
      <c r="F165" s="345"/>
      <c r="G165" s="210"/>
      <c r="H165" s="314"/>
      <c r="I165" s="302"/>
    </row>
    <row r="166" spans="1:11" s="274" customFormat="1" ht="12.75" customHeight="1" x14ac:dyDescent="0.2">
      <c r="A166" s="208"/>
      <c r="B166" s="209"/>
      <c r="C166" s="229"/>
      <c r="D166" s="243" t="s">
        <v>314</v>
      </c>
      <c r="E166" s="210"/>
      <c r="F166" s="345">
        <v>101</v>
      </c>
      <c r="G166" s="210"/>
      <c r="H166" s="314"/>
      <c r="I166" s="302"/>
    </row>
    <row r="167" spans="1:11" s="274" customFormat="1" ht="12.75" hidden="1" customHeight="1" x14ac:dyDescent="0.2">
      <c r="A167" s="208"/>
      <c r="B167" s="209"/>
      <c r="C167" s="229"/>
      <c r="D167" s="243" t="s">
        <v>276</v>
      </c>
      <c r="E167" s="210"/>
      <c r="F167" s="345"/>
      <c r="G167" s="210"/>
      <c r="H167" s="273"/>
      <c r="I167" s="335"/>
    </row>
    <row r="168" spans="1:11" s="274" customFormat="1" ht="12.75" customHeight="1" x14ac:dyDescent="0.2">
      <c r="A168" s="208"/>
      <c r="B168" s="209"/>
      <c r="C168" s="229"/>
      <c r="D168" s="332" t="s">
        <v>518</v>
      </c>
      <c r="E168" s="210"/>
      <c r="F168" s="345">
        <v>-467.14</v>
      </c>
      <c r="G168" s="210"/>
      <c r="H168" s="314"/>
      <c r="I168" s="337"/>
    </row>
    <row r="169" spans="1:11" ht="12.75" customHeight="1" x14ac:dyDescent="0.2">
      <c r="A169" s="349"/>
      <c r="B169" s="209"/>
      <c r="C169" s="229"/>
      <c r="D169" s="332" t="s">
        <v>519</v>
      </c>
      <c r="E169" s="210"/>
      <c r="F169" s="345">
        <v>-20.53</v>
      </c>
      <c r="G169" s="210"/>
      <c r="H169" s="315"/>
      <c r="I169" s="350"/>
    </row>
    <row r="170" spans="1:11" s="274" customFormat="1" ht="12.75" customHeight="1" x14ac:dyDescent="0.2">
      <c r="A170" s="204">
        <f>A161+1</f>
        <v>17</v>
      </c>
      <c r="B170" s="205" t="s">
        <v>190</v>
      </c>
      <c r="C170" s="275" t="s">
        <v>245</v>
      </c>
      <c r="D170" s="292" t="str">
        <f>$D$5</f>
        <v>FTE JUL 23</v>
      </c>
      <c r="E170" s="207">
        <f>'3396'!I$133</f>
        <v>511586.76</v>
      </c>
      <c r="F170" s="346"/>
      <c r="G170" s="207">
        <f>SUBTOTAL(109,E170:F177)</f>
        <v>511735.76</v>
      </c>
      <c r="H170" s="314"/>
      <c r="I170" s="302"/>
      <c r="K170" s="336"/>
    </row>
    <row r="171" spans="1:11" s="274" customFormat="1" ht="12.75" hidden="1" customHeight="1" x14ac:dyDescent="0.2">
      <c r="A171" s="204"/>
      <c r="B171" s="205"/>
      <c r="C171" s="275"/>
      <c r="D171" s="242" t="s">
        <v>302</v>
      </c>
      <c r="E171" s="207"/>
      <c r="F171" s="346"/>
      <c r="G171" s="207"/>
      <c r="H171" s="314"/>
      <c r="I171" s="302"/>
    </row>
    <row r="172" spans="1:11" s="274" customFormat="1" ht="12.75" hidden="1" customHeight="1" x14ac:dyDescent="0.2">
      <c r="A172" s="204"/>
      <c r="B172" s="205"/>
      <c r="C172" s="275"/>
      <c r="D172" s="242" t="s">
        <v>304</v>
      </c>
      <c r="E172" s="207"/>
      <c r="F172" s="346"/>
      <c r="G172" s="207"/>
      <c r="H172" s="314"/>
    </row>
    <row r="173" spans="1:11" s="274" customFormat="1" ht="12.75" hidden="1" customHeight="1" x14ac:dyDescent="0.2">
      <c r="A173" s="204"/>
      <c r="B173" s="205"/>
      <c r="C173" s="275"/>
      <c r="D173" s="242" t="s">
        <v>303</v>
      </c>
      <c r="E173" s="207"/>
      <c r="F173" s="346"/>
      <c r="G173" s="207"/>
      <c r="H173" s="314"/>
    </row>
    <row r="174" spans="1:11" s="274" customFormat="1" ht="12.75" customHeight="1" x14ac:dyDescent="0.2">
      <c r="A174" s="204"/>
      <c r="B174" s="205"/>
      <c r="C174" s="275"/>
      <c r="D174" s="242" t="s">
        <v>314</v>
      </c>
      <c r="E174" s="207"/>
      <c r="F174" s="346">
        <v>149</v>
      </c>
      <c r="G174" s="207"/>
      <c r="H174" s="314"/>
    </row>
    <row r="175" spans="1:11" s="274" customFormat="1" ht="12.75" hidden="1" customHeight="1" x14ac:dyDescent="0.2">
      <c r="A175" s="204"/>
      <c r="B175" s="205"/>
      <c r="C175" s="228"/>
      <c r="D175" s="242" t="s">
        <v>276</v>
      </c>
      <c r="E175" s="207"/>
      <c r="F175" s="346"/>
      <c r="G175" s="207"/>
      <c r="H175" s="273"/>
      <c r="I175" s="335"/>
    </row>
    <row r="176" spans="1:11" s="274" customFormat="1" ht="12.75" hidden="1" customHeight="1" x14ac:dyDescent="0.2">
      <c r="A176" s="204"/>
      <c r="B176" s="205"/>
      <c r="C176" s="228"/>
      <c r="D176" s="242" t="s">
        <v>363</v>
      </c>
      <c r="E176" s="207"/>
      <c r="F176" s="346"/>
      <c r="G176" s="207"/>
      <c r="H176" s="314"/>
      <c r="I176" s="337"/>
    </row>
    <row r="177" spans="1:9" s="274" customFormat="1" ht="12.75" hidden="1" customHeight="1" x14ac:dyDescent="0.2">
      <c r="A177" s="204"/>
      <c r="B177" s="205"/>
      <c r="C177" s="228"/>
      <c r="D177" s="293" t="s">
        <v>349</v>
      </c>
      <c r="E177" s="207"/>
      <c r="F177" s="346"/>
      <c r="G177" s="207"/>
      <c r="H177" s="314"/>
      <c r="I177" s="302"/>
    </row>
    <row r="178" spans="1:9" s="274" customFormat="1" ht="12.75" customHeight="1" x14ac:dyDescent="0.2">
      <c r="A178" s="208">
        <f>A170+1</f>
        <v>18</v>
      </c>
      <c r="B178" s="209" t="s">
        <v>191</v>
      </c>
      <c r="C178" s="229" t="s">
        <v>213</v>
      </c>
      <c r="D178" s="294" t="str">
        <f>$D$5</f>
        <v>FTE JUL 23</v>
      </c>
      <c r="E178" s="210">
        <f>'3398'!I$133</f>
        <v>94144.34</v>
      </c>
      <c r="F178" s="345"/>
      <c r="G178" s="210">
        <f>SUBTOTAL(109,E178:F184)</f>
        <v>94171.34</v>
      </c>
      <c r="H178" s="314"/>
      <c r="I178" s="302"/>
    </row>
    <row r="179" spans="1:9" s="274" customFormat="1" ht="12.75" hidden="1" customHeight="1" x14ac:dyDescent="0.2">
      <c r="A179" s="208"/>
      <c r="B179" s="209"/>
      <c r="C179" s="229"/>
      <c r="D179" s="243" t="s">
        <v>302</v>
      </c>
      <c r="E179" s="210"/>
      <c r="F179" s="345"/>
      <c r="G179" s="210"/>
      <c r="H179" s="314"/>
      <c r="I179" s="302"/>
    </row>
    <row r="180" spans="1:9" s="274" customFormat="1" ht="12.75" hidden="1" customHeight="1" x14ac:dyDescent="0.2">
      <c r="A180" s="208"/>
      <c r="B180" s="209"/>
      <c r="C180" s="229"/>
      <c r="D180" s="243" t="s">
        <v>304</v>
      </c>
      <c r="E180" s="210"/>
      <c r="F180" s="345"/>
      <c r="G180" s="210"/>
      <c r="H180" s="314"/>
    </row>
    <row r="181" spans="1:9" s="274" customFormat="1" ht="12.75" hidden="1" customHeight="1" x14ac:dyDescent="0.2">
      <c r="A181" s="208"/>
      <c r="B181" s="209"/>
      <c r="C181" s="229"/>
      <c r="D181" s="243" t="s">
        <v>303</v>
      </c>
      <c r="E181" s="210"/>
      <c r="F181" s="345"/>
      <c r="G181" s="210"/>
      <c r="H181" s="314"/>
      <c r="I181" s="197"/>
    </row>
    <row r="182" spans="1:9" ht="12.75" customHeight="1" x14ac:dyDescent="0.2">
      <c r="A182" s="208"/>
      <c r="B182" s="209"/>
      <c r="C182" s="239"/>
      <c r="D182" s="243" t="s">
        <v>314</v>
      </c>
      <c r="E182" s="210"/>
      <c r="F182" s="345">
        <v>27</v>
      </c>
      <c r="G182" s="210"/>
      <c r="H182" s="315"/>
    </row>
    <row r="183" spans="1:9" s="274" customFormat="1" ht="12.75" hidden="1" customHeight="1" x14ac:dyDescent="0.2">
      <c r="A183" s="208"/>
      <c r="B183" s="209"/>
      <c r="C183" s="229"/>
      <c r="D183" s="243" t="s">
        <v>276</v>
      </c>
      <c r="E183" s="210"/>
      <c r="F183" s="345"/>
      <c r="G183" s="210"/>
      <c r="H183" s="273"/>
      <c r="I183" s="335"/>
    </row>
    <row r="184" spans="1:9" ht="12.75" hidden="1" customHeight="1" x14ac:dyDescent="0.2">
      <c r="A184" s="208"/>
      <c r="B184" s="209"/>
      <c r="C184" s="239"/>
      <c r="D184" s="295" t="s">
        <v>349</v>
      </c>
      <c r="E184" s="210"/>
      <c r="F184" s="345"/>
      <c r="G184" s="210"/>
      <c r="H184" s="315"/>
      <c r="I184" s="302"/>
    </row>
    <row r="185" spans="1:9" s="274" customFormat="1" ht="12.75" customHeight="1" x14ac:dyDescent="0.2">
      <c r="A185" s="204">
        <f>A178+1</f>
        <v>19</v>
      </c>
      <c r="B185" s="205" t="s">
        <v>192</v>
      </c>
      <c r="C185" s="228" t="s">
        <v>207</v>
      </c>
      <c r="D185" s="292" t="str">
        <f>$D$5</f>
        <v>FTE JUL 23</v>
      </c>
      <c r="E185" s="207">
        <f>'3400'!I$133</f>
        <v>77471.75</v>
      </c>
      <c r="F185" s="346"/>
      <c r="G185" s="207">
        <f>SUBTOTAL(109,E185:F192)</f>
        <v>77490.75</v>
      </c>
      <c r="H185" s="314"/>
      <c r="I185" s="302"/>
    </row>
    <row r="186" spans="1:9" s="274" customFormat="1" ht="12.75" hidden="1" customHeight="1" x14ac:dyDescent="0.2">
      <c r="A186" s="204"/>
      <c r="B186" s="205"/>
      <c r="C186" s="228"/>
      <c r="D186" s="242" t="s">
        <v>302</v>
      </c>
      <c r="E186" s="207"/>
      <c r="F186" s="346"/>
      <c r="G186" s="207"/>
      <c r="H186" s="314"/>
      <c r="I186" s="302"/>
    </row>
    <row r="187" spans="1:9" s="274" customFormat="1" ht="12.75" hidden="1" customHeight="1" x14ac:dyDescent="0.2">
      <c r="A187" s="204"/>
      <c r="B187" s="205"/>
      <c r="C187" s="228"/>
      <c r="D187" s="359" t="s">
        <v>370</v>
      </c>
      <c r="E187" s="207"/>
      <c r="F187" s="346"/>
      <c r="G187" s="207"/>
      <c r="H187" s="273"/>
      <c r="I187" s="241"/>
    </row>
    <row r="188" spans="1:9" s="274" customFormat="1" ht="12.75" hidden="1" customHeight="1" x14ac:dyDescent="0.2">
      <c r="A188" s="204"/>
      <c r="B188" s="205"/>
      <c r="C188" s="228"/>
      <c r="D188" s="242" t="s">
        <v>304</v>
      </c>
      <c r="E188" s="207"/>
      <c r="F188" s="346"/>
      <c r="G188" s="207"/>
      <c r="H188" s="314"/>
    </row>
    <row r="189" spans="1:9" s="274" customFormat="1" ht="12.75" hidden="1" customHeight="1" x14ac:dyDescent="0.2">
      <c r="A189" s="204"/>
      <c r="B189" s="205"/>
      <c r="C189" s="228"/>
      <c r="D189" s="242" t="s">
        <v>303</v>
      </c>
      <c r="E189" s="207"/>
      <c r="F189" s="346"/>
      <c r="G189" s="207"/>
      <c r="H189" s="314"/>
    </row>
    <row r="190" spans="1:9" s="274" customFormat="1" ht="12.75" customHeight="1" x14ac:dyDescent="0.2">
      <c r="A190" s="204"/>
      <c r="B190" s="205"/>
      <c r="C190" s="228"/>
      <c r="D190" s="242" t="s">
        <v>314</v>
      </c>
      <c r="E190" s="207"/>
      <c r="F190" s="346">
        <v>19</v>
      </c>
      <c r="G190" s="207"/>
      <c r="H190" s="314"/>
      <c r="I190" s="205"/>
    </row>
    <row r="191" spans="1:9" s="274" customFormat="1" ht="12.75" hidden="1" customHeight="1" x14ac:dyDescent="0.2">
      <c r="A191" s="204"/>
      <c r="B191" s="205"/>
      <c r="C191" s="228"/>
      <c r="D191" s="242" t="s">
        <v>276</v>
      </c>
      <c r="E191" s="207"/>
      <c r="F191" s="346"/>
      <c r="G191" s="207"/>
      <c r="H191" s="273"/>
      <c r="I191" s="335"/>
    </row>
    <row r="192" spans="1:9" s="274" customFormat="1" ht="12.75" hidden="1" customHeight="1" x14ac:dyDescent="0.2">
      <c r="A192" s="204"/>
      <c r="B192" s="205"/>
      <c r="C192" s="228"/>
      <c r="D192" s="293" t="s">
        <v>349</v>
      </c>
      <c r="E192" s="207"/>
      <c r="F192" s="346"/>
      <c r="G192" s="207"/>
      <c r="H192" s="273"/>
      <c r="I192" s="335"/>
    </row>
    <row r="193" spans="1:9" s="274" customFormat="1" ht="12.75" customHeight="1" x14ac:dyDescent="0.2">
      <c r="A193" s="208">
        <f>A185+1</f>
        <v>20</v>
      </c>
      <c r="B193" s="209" t="s">
        <v>193</v>
      </c>
      <c r="C193" s="229" t="s">
        <v>224</v>
      </c>
      <c r="D193" s="294" t="str">
        <f>$D$5</f>
        <v>FTE JUL 23</v>
      </c>
      <c r="E193" s="210">
        <f>'3401'!I$133</f>
        <v>237827.66</v>
      </c>
      <c r="F193" s="345"/>
      <c r="G193" s="210">
        <f>SUBTOTAL(109,E193:F203)</f>
        <v>237888.66</v>
      </c>
      <c r="H193" s="314"/>
      <c r="I193" s="205"/>
    </row>
    <row r="194" spans="1:9" s="274" customFormat="1" ht="12.75" hidden="1" customHeight="1" x14ac:dyDescent="0.2">
      <c r="A194" s="208"/>
      <c r="B194" s="209"/>
      <c r="C194" s="229"/>
      <c r="D194" s="243" t="s">
        <v>302</v>
      </c>
      <c r="E194" s="210"/>
      <c r="F194" s="345"/>
      <c r="G194" s="210"/>
      <c r="H194" s="314"/>
      <c r="I194" s="205"/>
    </row>
    <row r="195" spans="1:9" s="274" customFormat="1" ht="12.75" hidden="1" customHeight="1" x14ac:dyDescent="0.2">
      <c r="A195" s="208"/>
      <c r="B195" s="209"/>
      <c r="C195" s="229"/>
      <c r="D195" s="393" t="s">
        <v>385</v>
      </c>
      <c r="E195" s="210"/>
      <c r="F195" s="345"/>
      <c r="G195" s="210"/>
      <c r="H195" s="314"/>
      <c r="I195" s="205"/>
    </row>
    <row r="196" spans="1:9" s="274" customFormat="1" ht="12.75" hidden="1" customHeight="1" x14ac:dyDescent="0.2">
      <c r="A196" s="208"/>
      <c r="B196" s="209"/>
      <c r="C196" s="229"/>
      <c r="D196" s="243" t="s">
        <v>372</v>
      </c>
      <c r="E196" s="210"/>
      <c r="F196" s="345"/>
      <c r="G196" s="210"/>
      <c r="H196" s="314"/>
      <c r="I196" s="205"/>
    </row>
    <row r="197" spans="1:9" s="274" customFormat="1" ht="12.75" hidden="1" customHeight="1" x14ac:dyDescent="0.2">
      <c r="A197" s="208"/>
      <c r="B197" s="209"/>
      <c r="C197" s="229"/>
      <c r="D197" s="243" t="s">
        <v>373</v>
      </c>
      <c r="E197" s="210"/>
      <c r="F197" s="345"/>
      <c r="G197" s="210"/>
      <c r="H197" s="314"/>
      <c r="I197" s="205"/>
    </row>
    <row r="198" spans="1:9" s="274" customFormat="1" ht="12.75" hidden="1" customHeight="1" x14ac:dyDescent="0.2">
      <c r="A198" s="208"/>
      <c r="B198" s="209"/>
      <c r="C198" s="229"/>
      <c r="D198" s="243" t="s">
        <v>304</v>
      </c>
      <c r="E198" s="210"/>
      <c r="F198" s="345"/>
      <c r="G198" s="210"/>
      <c r="H198" s="314"/>
      <c r="I198" s="205"/>
    </row>
    <row r="199" spans="1:9" s="274" customFormat="1" ht="12.75" hidden="1" customHeight="1" x14ac:dyDescent="0.2">
      <c r="A199" s="208"/>
      <c r="B199" s="209"/>
      <c r="C199" s="229"/>
      <c r="D199" s="243" t="s">
        <v>303</v>
      </c>
      <c r="E199" s="210"/>
      <c r="F199" s="345"/>
      <c r="G199" s="210"/>
      <c r="H199" s="314"/>
      <c r="I199" s="205"/>
    </row>
    <row r="200" spans="1:9" s="274" customFormat="1" ht="12.75" customHeight="1" x14ac:dyDescent="0.2">
      <c r="A200" s="208"/>
      <c r="B200" s="209"/>
      <c r="C200" s="229"/>
      <c r="D200" s="243" t="s">
        <v>314</v>
      </c>
      <c r="E200" s="210"/>
      <c r="F200" s="345">
        <v>61</v>
      </c>
      <c r="G200" s="210"/>
      <c r="H200" s="314"/>
      <c r="I200" s="205"/>
    </row>
    <row r="201" spans="1:9" s="274" customFormat="1" ht="12.75" hidden="1" customHeight="1" x14ac:dyDescent="0.2">
      <c r="A201" s="208"/>
      <c r="B201" s="209"/>
      <c r="C201" s="229"/>
      <c r="D201" s="243" t="s">
        <v>276</v>
      </c>
      <c r="E201" s="210"/>
      <c r="F201" s="345"/>
      <c r="G201" s="210"/>
      <c r="H201" s="273"/>
      <c r="I201" s="335"/>
    </row>
    <row r="202" spans="1:9" s="274" customFormat="1" ht="12.75" hidden="1" customHeight="1" x14ac:dyDescent="0.2">
      <c r="A202" s="208"/>
      <c r="B202" s="209"/>
      <c r="C202" s="239"/>
      <c r="D202" s="332" t="s">
        <v>364</v>
      </c>
      <c r="E202" s="210"/>
      <c r="F202" s="345"/>
      <c r="G202" s="210"/>
      <c r="H202" s="314"/>
      <c r="I202" s="340"/>
    </row>
    <row r="203" spans="1:9" s="274" customFormat="1" ht="12.75" hidden="1" customHeight="1" x14ac:dyDescent="0.2">
      <c r="A203" s="208"/>
      <c r="B203" s="209"/>
      <c r="C203" s="229"/>
      <c r="D203" s="295" t="s">
        <v>349</v>
      </c>
      <c r="E203" s="210"/>
      <c r="F203" s="345"/>
      <c r="G203" s="210"/>
      <c r="H203" s="273"/>
      <c r="I203" s="335"/>
    </row>
    <row r="204" spans="1:9" s="274" customFormat="1" ht="12.75" customHeight="1" x14ac:dyDescent="0.2">
      <c r="A204" s="204">
        <f>A193+1</f>
        <v>21</v>
      </c>
      <c r="B204" s="205" t="s">
        <v>194</v>
      </c>
      <c r="C204" s="228" t="s">
        <v>225</v>
      </c>
      <c r="D204" s="292" t="str">
        <f>$D$5</f>
        <v>FTE JUL 23</v>
      </c>
      <c r="E204" s="207">
        <f>'3413'!I$133</f>
        <v>260556.29</v>
      </c>
      <c r="F204" s="346"/>
      <c r="G204" s="207">
        <f>SUBTOTAL(109,E204:F211)</f>
        <v>260625.29</v>
      </c>
      <c r="H204" s="314"/>
      <c r="I204" s="205"/>
    </row>
    <row r="205" spans="1:9" s="274" customFormat="1" ht="12.75" hidden="1" customHeight="1" x14ac:dyDescent="0.2">
      <c r="A205" s="204"/>
      <c r="B205" s="205"/>
      <c r="C205" s="228"/>
      <c r="D205" s="242" t="s">
        <v>302</v>
      </c>
      <c r="E205" s="207"/>
      <c r="F205" s="346"/>
      <c r="G205" s="207"/>
      <c r="H205" s="314"/>
      <c r="I205" s="205"/>
    </row>
    <row r="206" spans="1:9" s="274" customFormat="1" ht="12.75" hidden="1" customHeight="1" x14ac:dyDescent="0.2">
      <c r="A206" s="204"/>
      <c r="B206" s="205"/>
      <c r="C206" s="228"/>
      <c r="D206" s="359" t="s">
        <v>370</v>
      </c>
      <c r="E206" s="207"/>
      <c r="F206" s="346"/>
      <c r="G206" s="207"/>
      <c r="H206" s="273"/>
      <c r="I206" s="241"/>
    </row>
    <row r="207" spans="1:9" s="274" customFormat="1" ht="12.75" hidden="1" customHeight="1" x14ac:dyDescent="0.2">
      <c r="A207" s="204"/>
      <c r="B207" s="205"/>
      <c r="C207" s="228"/>
      <c r="D207" s="242" t="s">
        <v>304</v>
      </c>
      <c r="E207" s="207"/>
      <c r="F207" s="346"/>
      <c r="G207" s="207"/>
      <c r="H207" s="314"/>
    </row>
    <row r="208" spans="1:9" s="274" customFormat="1" ht="12.75" hidden="1" customHeight="1" x14ac:dyDescent="0.2">
      <c r="A208" s="204"/>
      <c r="B208" s="205"/>
      <c r="C208" s="228"/>
      <c r="D208" s="242" t="s">
        <v>303</v>
      </c>
      <c r="E208" s="207"/>
      <c r="F208" s="346"/>
      <c r="G208" s="207"/>
      <c r="H208" s="314"/>
    </row>
    <row r="209" spans="1:9" s="274" customFormat="1" ht="12.75" customHeight="1" x14ac:dyDescent="0.2">
      <c r="A209" s="204"/>
      <c r="B209" s="205"/>
      <c r="C209" s="228"/>
      <c r="D209" s="242" t="s">
        <v>314</v>
      </c>
      <c r="E209" s="207"/>
      <c r="F209" s="346">
        <v>69</v>
      </c>
      <c r="G209" s="207"/>
      <c r="H209" s="314"/>
    </row>
    <row r="210" spans="1:9" s="274" customFormat="1" ht="12.75" hidden="1" customHeight="1" x14ac:dyDescent="0.2">
      <c r="A210" s="204"/>
      <c r="B210" s="205"/>
      <c r="C210" s="228"/>
      <c r="D210" s="242" t="s">
        <v>276</v>
      </c>
      <c r="E210" s="207"/>
      <c r="F210" s="346"/>
      <c r="G210" s="207"/>
      <c r="H210" s="273"/>
      <c r="I210" s="335"/>
    </row>
    <row r="211" spans="1:9" s="274" customFormat="1" ht="12.75" hidden="1" customHeight="1" x14ac:dyDescent="0.2">
      <c r="A211" s="204"/>
      <c r="B211" s="205"/>
      <c r="C211" s="228"/>
      <c r="D211" s="293" t="s">
        <v>349</v>
      </c>
      <c r="E211" s="207"/>
      <c r="F211" s="346"/>
      <c r="G211" s="207"/>
      <c r="H211" s="273"/>
      <c r="I211" s="335"/>
    </row>
    <row r="212" spans="1:9" s="274" customFormat="1" ht="12.75" customHeight="1" x14ac:dyDescent="0.2">
      <c r="A212" s="208">
        <f>A204+1</f>
        <v>22</v>
      </c>
      <c r="B212" s="209" t="s">
        <v>195</v>
      </c>
      <c r="C212" s="229" t="s">
        <v>226</v>
      </c>
      <c r="D212" s="294" t="str">
        <f>$D$5</f>
        <v>FTE JUL 23</v>
      </c>
      <c r="E212" s="210">
        <f>'3421'!I$133</f>
        <v>217310.76</v>
      </c>
      <c r="F212" s="345"/>
      <c r="G212" s="210">
        <f>SUBTOTAL(109,E212:F222)</f>
        <v>217369.76</v>
      </c>
      <c r="H212" s="314"/>
    </row>
    <row r="213" spans="1:9" s="274" customFormat="1" ht="12.75" hidden="1" customHeight="1" x14ac:dyDescent="0.2">
      <c r="A213" s="208"/>
      <c r="B213" s="209"/>
      <c r="C213" s="229"/>
      <c r="D213" s="243" t="s">
        <v>302</v>
      </c>
      <c r="E213" s="210"/>
      <c r="F213" s="345"/>
      <c r="G213" s="210"/>
      <c r="H213" s="314"/>
    </row>
    <row r="214" spans="1:9" s="274" customFormat="1" ht="12.75" hidden="1" customHeight="1" x14ac:dyDescent="0.2">
      <c r="A214" s="208"/>
      <c r="B214" s="209"/>
      <c r="C214" s="229"/>
      <c r="D214" s="393" t="s">
        <v>385</v>
      </c>
      <c r="E214" s="210"/>
      <c r="F214" s="345"/>
      <c r="G214" s="210"/>
      <c r="H214" s="314"/>
      <c r="I214" s="205"/>
    </row>
    <row r="215" spans="1:9" s="274" customFormat="1" ht="12.75" hidden="1" customHeight="1" x14ac:dyDescent="0.2">
      <c r="A215" s="208"/>
      <c r="B215" s="209"/>
      <c r="C215" s="229"/>
      <c r="D215" s="243" t="s">
        <v>372</v>
      </c>
      <c r="E215" s="210"/>
      <c r="F215" s="345"/>
      <c r="G215" s="210"/>
      <c r="H215" s="314"/>
      <c r="I215" s="205"/>
    </row>
    <row r="216" spans="1:9" s="274" customFormat="1" ht="12.75" hidden="1" customHeight="1" x14ac:dyDescent="0.2">
      <c r="A216" s="208"/>
      <c r="B216" s="209"/>
      <c r="C216" s="229"/>
      <c r="D216" s="243" t="s">
        <v>373</v>
      </c>
      <c r="E216" s="210"/>
      <c r="F216" s="345"/>
      <c r="G216" s="210"/>
      <c r="H216" s="314"/>
      <c r="I216" s="205"/>
    </row>
    <row r="217" spans="1:9" s="274" customFormat="1" ht="12.75" hidden="1" customHeight="1" x14ac:dyDescent="0.2">
      <c r="A217" s="208"/>
      <c r="B217" s="209"/>
      <c r="C217" s="229"/>
      <c r="D217" s="243" t="s">
        <v>304</v>
      </c>
      <c r="E217" s="210"/>
      <c r="F217" s="345"/>
      <c r="G217" s="210"/>
      <c r="H217" s="314"/>
    </row>
    <row r="218" spans="1:9" s="274" customFormat="1" ht="12.75" hidden="1" customHeight="1" x14ac:dyDescent="0.2">
      <c r="A218" s="208"/>
      <c r="B218" s="209"/>
      <c r="C218" s="229"/>
      <c r="D218" s="243" t="s">
        <v>303</v>
      </c>
      <c r="E218" s="210"/>
      <c r="F218" s="345"/>
      <c r="G218" s="210"/>
      <c r="H218" s="314"/>
      <c r="I218" s="205"/>
    </row>
    <row r="219" spans="1:9" s="274" customFormat="1" ht="12.75" customHeight="1" x14ac:dyDescent="0.2">
      <c r="A219" s="208"/>
      <c r="B219" s="209"/>
      <c r="C219" s="229"/>
      <c r="D219" s="243" t="s">
        <v>314</v>
      </c>
      <c r="E219" s="210"/>
      <c r="F219" s="345">
        <v>59</v>
      </c>
      <c r="G219" s="210"/>
      <c r="H219" s="314"/>
    </row>
    <row r="220" spans="1:9" s="274" customFormat="1" ht="12.75" hidden="1" customHeight="1" x14ac:dyDescent="0.2">
      <c r="A220" s="208"/>
      <c r="B220" s="209"/>
      <c r="C220" s="229"/>
      <c r="D220" s="243" t="s">
        <v>276</v>
      </c>
      <c r="E220" s="210"/>
      <c r="F220" s="345"/>
      <c r="G220" s="210"/>
      <c r="H220" s="273"/>
      <c r="I220" s="335"/>
    </row>
    <row r="221" spans="1:9" s="274" customFormat="1" ht="12.75" hidden="1" customHeight="1" x14ac:dyDescent="0.2">
      <c r="A221" s="208"/>
      <c r="B221" s="209"/>
      <c r="C221" s="239"/>
      <c r="D221" s="332" t="s">
        <v>364</v>
      </c>
      <c r="E221" s="210"/>
      <c r="F221" s="345"/>
      <c r="G221" s="210"/>
      <c r="H221" s="314"/>
      <c r="I221" s="340"/>
    </row>
    <row r="222" spans="1:9" s="274" customFormat="1" ht="12.75" hidden="1" customHeight="1" x14ac:dyDescent="0.2">
      <c r="A222" s="208"/>
      <c r="B222" s="209"/>
      <c r="C222" s="229"/>
      <c r="D222" s="295" t="s">
        <v>349</v>
      </c>
      <c r="E222" s="210"/>
      <c r="F222" s="345"/>
      <c r="G222" s="210"/>
      <c r="H222" s="273"/>
      <c r="I222" s="335"/>
    </row>
    <row r="223" spans="1:9" s="274" customFormat="1" ht="12.75" customHeight="1" x14ac:dyDescent="0.2">
      <c r="A223" s="204">
        <f>A212+1</f>
        <v>23</v>
      </c>
      <c r="B223" s="205" t="s">
        <v>196</v>
      </c>
      <c r="C223" s="228" t="s">
        <v>228</v>
      </c>
      <c r="D223" s="292" t="str">
        <f>$D$5</f>
        <v>FTE JUL 23</v>
      </c>
      <c r="E223" s="207">
        <f>'3431'!I$133</f>
        <v>722549.02</v>
      </c>
      <c r="F223" s="346"/>
      <c r="G223" s="207">
        <f>SUBTOTAL(109,E223:F232)</f>
        <v>722750.02</v>
      </c>
      <c r="H223" s="314"/>
    </row>
    <row r="224" spans="1:9" s="274" customFormat="1" ht="12.75" hidden="1" customHeight="1" x14ac:dyDescent="0.2">
      <c r="A224" s="204"/>
      <c r="B224" s="205"/>
      <c r="C224" s="228"/>
      <c r="D224" s="242" t="s">
        <v>302</v>
      </c>
      <c r="E224" s="207"/>
      <c r="F224" s="346"/>
      <c r="G224" s="207"/>
      <c r="H224" s="314"/>
    </row>
    <row r="225" spans="1:9" s="274" customFormat="1" ht="12.75" hidden="1" customHeight="1" x14ac:dyDescent="0.2">
      <c r="A225" s="204"/>
      <c r="B225" s="205"/>
      <c r="C225" s="228"/>
      <c r="D225" s="359" t="s">
        <v>371</v>
      </c>
      <c r="E225" s="207"/>
      <c r="F225" s="346"/>
      <c r="G225" s="207"/>
      <c r="H225" s="314"/>
      <c r="I225" s="205"/>
    </row>
    <row r="226" spans="1:9" s="274" customFormat="1" ht="12.75" hidden="1" customHeight="1" x14ac:dyDescent="0.2">
      <c r="A226" s="204"/>
      <c r="B226" s="205"/>
      <c r="C226" s="228"/>
      <c r="D226" s="242" t="s">
        <v>304</v>
      </c>
      <c r="E226" s="207"/>
      <c r="F226" s="346"/>
      <c r="G226" s="207"/>
      <c r="H226" s="314"/>
    </row>
    <row r="227" spans="1:9" s="274" customFormat="1" ht="12.75" hidden="1" customHeight="1" x14ac:dyDescent="0.2">
      <c r="A227" s="204"/>
      <c r="B227" s="205"/>
      <c r="C227" s="228"/>
      <c r="D227" s="242" t="s">
        <v>359</v>
      </c>
      <c r="E227" s="207"/>
      <c r="F227" s="346"/>
      <c r="G227" s="207"/>
      <c r="H227" s="314"/>
      <c r="I227" s="205"/>
    </row>
    <row r="228" spans="1:9" s="274" customFormat="1" ht="12.75" customHeight="1" x14ac:dyDescent="0.2">
      <c r="A228" s="204"/>
      <c r="B228" s="205"/>
      <c r="C228" s="228"/>
      <c r="D228" s="242" t="s">
        <v>314</v>
      </c>
      <c r="E228" s="207"/>
      <c r="F228" s="346">
        <v>201</v>
      </c>
      <c r="G228" s="207"/>
      <c r="H228" s="314"/>
      <c r="I228" s="205"/>
    </row>
    <row r="229" spans="1:9" s="274" customFormat="1" ht="12.75" hidden="1" customHeight="1" x14ac:dyDescent="0.2">
      <c r="A229" s="204"/>
      <c r="B229" s="205"/>
      <c r="C229" s="228"/>
      <c r="D229" s="242" t="s">
        <v>276</v>
      </c>
      <c r="E229" s="207"/>
      <c r="F229" s="346"/>
      <c r="G229" s="207"/>
      <c r="H229" s="314"/>
      <c r="I229" s="335"/>
    </row>
    <row r="230" spans="1:9" s="274" customFormat="1" ht="12.75" hidden="1" customHeight="1" x14ac:dyDescent="0.2">
      <c r="A230" s="204"/>
      <c r="B230" s="205"/>
      <c r="C230" s="228"/>
      <c r="D230" s="242" t="s">
        <v>316</v>
      </c>
      <c r="E230" s="207"/>
      <c r="F230" s="346"/>
      <c r="G230" s="207"/>
      <c r="H230" s="314"/>
      <c r="I230" s="302"/>
    </row>
    <row r="231" spans="1:9" s="274" customFormat="1" ht="12.75" hidden="1" customHeight="1" x14ac:dyDescent="0.2">
      <c r="A231" s="204"/>
      <c r="B231" s="205"/>
      <c r="C231" s="241"/>
      <c r="D231" s="360" t="s">
        <v>364</v>
      </c>
      <c r="E231" s="207"/>
      <c r="F231" s="346"/>
      <c r="G231" s="207"/>
      <c r="H231" s="314"/>
      <c r="I231" s="340"/>
    </row>
    <row r="232" spans="1:9" s="274" customFormat="1" ht="12.75" hidden="1" customHeight="1" x14ac:dyDescent="0.2">
      <c r="A232" s="204"/>
      <c r="B232" s="205"/>
      <c r="C232" s="228"/>
      <c r="D232" s="293" t="s">
        <v>369</v>
      </c>
      <c r="E232" s="207"/>
      <c r="F232" s="346"/>
      <c r="G232" s="207"/>
      <c r="H232" s="314"/>
    </row>
    <row r="233" spans="1:9" s="274" customFormat="1" ht="12.75" customHeight="1" x14ac:dyDescent="0.2">
      <c r="A233" s="208">
        <f>A223+1</f>
        <v>24</v>
      </c>
      <c r="B233" s="209">
        <v>3441</v>
      </c>
      <c r="C233" s="276" t="s">
        <v>246</v>
      </c>
      <c r="D233" s="294" t="str">
        <f>$D$5</f>
        <v>FTE JUL 23</v>
      </c>
      <c r="E233" s="210">
        <f>'3441'!I$133</f>
        <v>378425.46</v>
      </c>
      <c r="F233" s="345"/>
      <c r="G233" s="210">
        <f>SUBTOTAL(109,E233:F241)</f>
        <v>378532.46</v>
      </c>
      <c r="H233" s="314"/>
    </row>
    <row r="234" spans="1:9" s="274" customFormat="1" ht="12.75" hidden="1" customHeight="1" x14ac:dyDescent="0.2">
      <c r="A234" s="208"/>
      <c r="B234" s="209"/>
      <c r="C234" s="276"/>
      <c r="D234" s="243" t="s">
        <v>302</v>
      </c>
      <c r="E234" s="210"/>
      <c r="F234" s="345"/>
      <c r="G234" s="210"/>
      <c r="H234" s="314"/>
    </row>
    <row r="235" spans="1:9" s="274" customFormat="1" ht="12.75" hidden="1" customHeight="1" x14ac:dyDescent="0.2">
      <c r="A235" s="208"/>
      <c r="B235" s="209"/>
      <c r="C235" s="229"/>
      <c r="D235" s="393" t="s">
        <v>370</v>
      </c>
      <c r="E235" s="210"/>
      <c r="F235" s="345"/>
      <c r="G235" s="210"/>
      <c r="H235" s="273"/>
      <c r="I235" s="241"/>
    </row>
    <row r="236" spans="1:9" s="274" customFormat="1" ht="12.75" hidden="1" customHeight="1" x14ac:dyDescent="0.2">
      <c r="A236" s="208"/>
      <c r="B236" s="209"/>
      <c r="C236" s="276"/>
      <c r="D236" s="243" t="s">
        <v>304</v>
      </c>
      <c r="E236" s="210"/>
      <c r="F236" s="345"/>
      <c r="G236" s="210"/>
      <c r="H236" s="314"/>
    </row>
    <row r="237" spans="1:9" s="274" customFormat="1" ht="12.75" hidden="1" customHeight="1" x14ac:dyDescent="0.2">
      <c r="A237" s="208"/>
      <c r="B237" s="209"/>
      <c r="C237" s="229"/>
      <c r="D237" s="243" t="s">
        <v>303</v>
      </c>
      <c r="E237" s="210"/>
      <c r="F237" s="345"/>
      <c r="G237" s="210"/>
      <c r="H237" s="314"/>
    </row>
    <row r="238" spans="1:9" s="274" customFormat="1" ht="12.75" customHeight="1" x14ac:dyDescent="0.2">
      <c r="A238" s="208"/>
      <c r="B238" s="209"/>
      <c r="C238" s="229"/>
      <c r="D238" s="243" t="s">
        <v>314</v>
      </c>
      <c r="E238" s="210"/>
      <c r="F238" s="345">
        <v>107</v>
      </c>
      <c r="G238" s="210"/>
      <c r="H238" s="314"/>
      <c r="I238" s="205"/>
    </row>
    <row r="239" spans="1:9" s="274" customFormat="1" ht="12.75" hidden="1" customHeight="1" x14ac:dyDescent="0.2">
      <c r="A239" s="208"/>
      <c r="B239" s="209"/>
      <c r="C239" s="229"/>
      <c r="D239" s="243" t="s">
        <v>276</v>
      </c>
      <c r="E239" s="210"/>
      <c r="F239" s="345"/>
      <c r="G239" s="210"/>
      <c r="H239" s="273"/>
      <c r="I239" s="335"/>
    </row>
    <row r="240" spans="1:9" s="274" customFormat="1" ht="12.75" hidden="1" customHeight="1" x14ac:dyDescent="0.2">
      <c r="A240" s="208"/>
      <c r="B240" s="209"/>
      <c r="C240" s="229"/>
      <c r="D240" s="243" t="s">
        <v>316</v>
      </c>
      <c r="E240" s="210"/>
      <c r="F240" s="345"/>
      <c r="G240" s="210"/>
      <c r="H240" s="314"/>
    </row>
    <row r="241" spans="1:9" s="274" customFormat="1" ht="12.75" hidden="1" customHeight="1" x14ac:dyDescent="0.2">
      <c r="A241" s="208"/>
      <c r="B241" s="209"/>
      <c r="C241" s="229"/>
      <c r="D241" s="295" t="s">
        <v>349</v>
      </c>
      <c r="E241" s="210"/>
      <c r="F241" s="345"/>
      <c r="G241" s="210"/>
      <c r="H241" s="314"/>
    </row>
    <row r="242" spans="1:9" s="274" customFormat="1" ht="12.75" customHeight="1" x14ac:dyDescent="0.2">
      <c r="A242" s="204">
        <f>A233+1</f>
        <v>25</v>
      </c>
      <c r="B242" s="205">
        <v>3924</v>
      </c>
      <c r="C242" s="275" t="s">
        <v>408</v>
      </c>
      <c r="D242" s="292" t="str">
        <f>$D$5</f>
        <v>FTE JUL 23</v>
      </c>
      <c r="E242" s="207">
        <f>'3924'!I$133</f>
        <v>361321.52</v>
      </c>
      <c r="F242" s="346"/>
      <c r="G242" s="207">
        <f>SUBTOTAL(109,E242:F251)</f>
        <v>361425.52</v>
      </c>
      <c r="H242" s="314"/>
    </row>
    <row r="243" spans="1:9" s="274" customFormat="1" ht="12.75" hidden="1" customHeight="1" x14ac:dyDescent="0.2">
      <c r="A243" s="204"/>
      <c r="B243" s="205"/>
      <c r="C243" s="228"/>
      <c r="D243" s="242" t="s">
        <v>302</v>
      </c>
      <c r="E243" s="207"/>
      <c r="F243" s="346"/>
      <c r="G243" s="207"/>
      <c r="H243" s="314"/>
    </row>
    <row r="244" spans="1:9" s="274" customFormat="1" ht="12.75" hidden="1" customHeight="1" x14ac:dyDescent="0.2">
      <c r="A244" s="204"/>
      <c r="B244" s="205"/>
      <c r="C244" s="228"/>
      <c r="D244" s="359" t="s">
        <v>371</v>
      </c>
      <c r="E244" s="207"/>
      <c r="F244" s="346"/>
      <c r="G244" s="207"/>
      <c r="H244" s="314"/>
      <c r="I244" s="205"/>
    </row>
    <row r="245" spans="1:9" s="274" customFormat="1" ht="12.75" hidden="1" customHeight="1" x14ac:dyDescent="0.2">
      <c r="A245" s="204"/>
      <c r="B245" s="205"/>
      <c r="C245" s="228"/>
      <c r="D245" s="359" t="s">
        <v>370</v>
      </c>
      <c r="E245" s="207"/>
      <c r="F245" s="346"/>
      <c r="G245" s="207"/>
      <c r="H245" s="314"/>
      <c r="I245" s="205"/>
    </row>
    <row r="246" spans="1:9" s="274" customFormat="1" ht="12.75" hidden="1" customHeight="1" x14ac:dyDescent="0.2">
      <c r="A246" s="204"/>
      <c r="B246" s="205"/>
      <c r="C246" s="228"/>
      <c r="D246" s="242" t="s">
        <v>304</v>
      </c>
      <c r="E246" s="207"/>
      <c r="F246" s="346"/>
      <c r="G246" s="207"/>
      <c r="H246" s="314"/>
    </row>
    <row r="247" spans="1:9" s="274" customFormat="1" ht="12.75" hidden="1" customHeight="1" x14ac:dyDescent="0.2">
      <c r="A247" s="204"/>
      <c r="B247" s="205"/>
      <c r="C247" s="228"/>
      <c r="D247" s="242" t="s">
        <v>303</v>
      </c>
      <c r="E247" s="207"/>
      <c r="F247" s="346"/>
      <c r="G247" s="207"/>
      <c r="H247" s="314"/>
    </row>
    <row r="248" spans="1:9" s="274" customFormat="1" ht="12.75" customHeight="1" x14ac:dyDescent="0.2">
      <c r="A248" s="204"/>
      <c r="B248" s="205"/>
      <c r="C248" s="228"/>
      <c r="D248" s="242" t="s">
        <v>314</v>
      </c>
      <c r="E248" s="207"/>
      <c r="F248" s="346">
        <v>104</v>
      </c>
      <c r="G248" s="207"/>
      <c r="H248" s="314"/>
    </row>
    <row r="249" spans="1:9" s="274" customFormat="1" ht="12.75" hidden="1" customHeight="1" x14ac:dyDescent="0.2">
      <c r="A249" s="204"/>
      <c r="B249" s="205"/>
      <c r="C249" s="228"/>
      <c r="D249" s="242" t="s">
        <v>276</v>
      </c>
      <c r="E249" s="207"/>
      <c r="F249" s="346"/>
      <c r="G249" s="207"/>
      <c r="H249" s="314"/>
      <c r="I249" s="335"/>
    </row>
    <row r="250" spans="1:9" s="274" customFormat="1" ht="12.75" hidden="1" customHeight="1" x14ac:dyDescent="0.2">
      <c r="A250" s="204"/>
      <c r="B250" s="205"/>
      <c r="C250" s="241"/>
      <c r="D250" s="360" t="s">
        <v>364</v>
      </c>
      <c r="E250" s="207"/>
      <c r="F250" s="346"/>
      <c r="G250" s="207"/>
      <c r="H250" s="314"/>
      <c r="I250" s="340"/>
    </row>
    <row r="251" spans="1:9" s="274" customFormat="1" ht="12.75" hidden="1" customHeight="1" x14ac:dyDescent="0.2">
      <c r="A251" s="204"/>
      <c r="B251" s="205"/>
      <c r="C251" s="228"/>
      <c r="D251" s="293" t="s">
        <v>424</v>
      </c>
      <c r="E251" s="207"/>
      <c r="F251" s="346">
        <v>0</v>
      </c>
      <c r="G251" s="207"/>
      <c r="H251" s="314"/>
      <c r="I251" s="335"/>
    </row>
    <row r="252" spans="1:9" s="274" customFormat="1" ht="12.75" customHeight="1" x14ac:dyDescent="0.2">
      <c r="A252" s="208">
        <f>A242+1</f>
        <v>26</v>
      </c>
      <c r="B252" s="209" t="s">
        <v>197</v>
      </c>
      <c r="C252" s="229" t="s">
        <v>209</v>
      </c>
      <c r="D252" s="294" t="str">
        <f>$D$5</f>
        <v>FTE JUL 23</v>
      </c>
      <c r="E252" s="210">
        <f>'3941'!I$133</f>
        <v>182821.5</v>
      </c>
      <c r="F252" s="345"/>
      <c r="G252" s="210">
        <f>SUBTOTAL(109,E252:F261)</f>
        <v>182870.5</v>
      </c>
      <c r="H252" s="314"/>
    </row>
    <row r="253" spans="1:9" s="274" customFormat="1" ht="12.75" hidden="1" customHeight="1" x14ac:dyDescent="0.2">
      <c r="A253" s="208"/>
      <c r="B253" s="209"/>
      <c r="C253" s="229"/>
      <c r="D253" s="243" t="s">
        <v>302</v>
      </c>
      <c r="E253" s="210"/>
      <c r="F253" s="345"/>
      <c r="G253" s="210"/>
      <c r="H253" s="314"/>
    </row>
    <row r="254" spans="1:9" s="274" customFormat="1" ht="12.75" hidden="1" customHeight="1" x14ac:dyDescent="0.2">
      <c r="A254" s="208"/>
      <c r="B254" s="209"/>
      <c r="C254" s="229"/>
      <c r="D254" s="393" t="s">
        <v>371</v>
      </c>
      <c r="E254" s="210"/>
      <c r="F254" s="345"/>
      <c r="G254" s="210"/>
      <c r="H254" s="314"/>
      <c r="I254" s="205"/>
    </row>
    <row r="255" spans="1:9" s="274" customFormat="1" ht="12.75" hidden="1" customHeight="1" x14ac:dyDescent="0.2">
      <c r="A255" s="208"/>
      <c r="B255" s="209"/>
      <c r="C255" s="229"/>
      <c r="D255" s="243" t="s">
        <v>304</v>
      </c>
      <c r="E255" s="210"/>
      <c r="F255" s="345"/>
      <c r="G255" s="210"/>
      <c r="H255" s="314"/>
    </row>
    <row r="256" spans="1:9" s="274" customFormat="1" ht="12.75" hidden="1" customHeight="1" x14ac:dyDescent="0.2">
      <c r="A256" s="208"/>
      <c r="B256" s="209"/>
      <c r="C256" s="229"/>
      <c r="D256" s="243" t="s">
        <v>303</v>
      </c>
      <c r="E256" s="210"/>
      <c r="F256" s="345"/>
      <c r="G256" s="210"/>
      <c r="H256" s="314"/>
    </row>
    <row r="257" spans="1:9" s="274" customFormat="1" ht="12.75" customHeight="1" x14ac:dyDescent="0.2">
      <c r="A257" s="208"/>
      <c r="B257" s="209"/>
      <c r="C257" s="229"/>
      <c r="D257" s="243" t="s">
        <v>314</v>
      </c>
      <c r="E257" s="210"/>
      <c r="F257" s="345">
        <v>49</v>
      </c>
      <c r="G257" s="210"/>
      <c r="H257" s="314"/>
    </row>
    <row r="258" spans="1:9" s="274" customFormat="1" ht="12.75" hidden="1" customHeight="1" x14ac:dyDescent="0.2">
      <c r="A258" s="208"/>
      <c r="B258" s="209"/>
      <c r="C258" s="229"/>
      <c r="D258" s="243" t="s">
        <v>276</v>
      </c>
      <c r="E258" s="210"/>
      <c r="F258" s="345"/>
      <c r="G258" s="210"/>
      <c r="H258" s="273"/>
      <c r="I258" s="335"/>
    </row>
    <row r="259" spans="1:9" s="274" customFormat="1" ht="12.75" hidden="1" customHeight="1" x14ac:dyDescent="0.2">
      <c r="A259" s="208"/>
      <c r="B259" s="209"/>
      <c r="C259" s="229"/>
      <c r="D259" s="243" t="s">
        <v>344</v>
      </c>
      <c r="E259" s="210"/>
      <c r="F259" s="345"/>
      <c r="G259" s="210"/>
      <c r="H259" s="273"/>
      <c r="I259" s="335"/>
    </row>
    <row r="260" spans="1:9" s="274" customFormat="1" ht="12.75" hidden="1" customHeight="1" x14ac:dyDescent="0.2">
      <c r="A260" s="208"/>
      <c r="B260" s="209"/>
      <c r="C260" s="229"/>
      <c r="D260" s="243" t="s">
        <v>364</v>
      </c>
      <c r="E260" s="210"/>
      <c r="F260" s="345"/>
      <c r="G260" s="210"/>
      <c r="H260" s="273"/>
      <c r="I260" s="335"/>
    </row>
    <row r="261" spans="1:9" s="274" customFormat="1" ht="12.75" hidden="1" customHeight="1" x14ac:dyDescent="0.2">
      <c r="A261" s="208"/>
      <c r="B261" s="209"/>
      <c r="C261" s="229"/>
      <c r="D261" s="243" t="s">
        <v>349</v>
      </c>
      <c r="E261" s="210"/>
      <c r="F261" s="345"/>
      <c r="G261" s="210"/>
      <c r="H261" s="314"/>
    </row>
    <row r="262" spans="1:9" s="274" customFormat="1" ht="12.75" customHeight="1" x14ac:dyDescent="0.2">
      <c r="A262" s="204">
        <f>A252+1</f>
        <v>27</v>
      </c>
      <c r="B262" s="205" t="s">
        <v>198</v>
      </c>
      <c r="C262" s="228" t="s">
        <v>219</v>
      </c>
      <c r="D262" s="292" t="str">
        <f>$D$5</f>
        <v>FTE JUL 23</v>
      </c>
      <c r="E262" s="207">
        <f>'3961'!I$133</f>
        <v>245513.56</v>
      </c>
      <c r="F262" s="346"/>
      <c r="G262" s="207">
        <f>SUBTOTAL(109,E262:F269)</f>
        <v>245581.56</v>
      </c>
      <c r="H262" s="314"/>
    </row>
    <row r="263" spans="1:9" s="274" customFormat="1" ht="12.75" hidden="1" customHeight="1" x14ac:dyDescent="0.2">
      <c r="A263" s="204"/>
      <c r="B263" s="205"/>
      <c r="C263" s="228"/>
      <c r="D263" s="242" t="s">
        <v>302</v>
      </c>
      <c r="E263" s="207"/>
      <c r="F263" s="346"/>
      <c r="G263" s="207"/>
      <c r="H263" s="314"/>
    </row>
    <row r="264" spans="1:9" s="274" customFormat="1" ht="12.75" hidden="1" customHeight="1" x14ac:dyDescent="0.2">
      <c r="A264" s="204"/>
      <c r="B264" s="205"/>
      <c r="C264" s="228"/>
      <c r="D264" s="359" t="s">
        <v>370</v>
      </c>
      <c r="E264" s="207"/>
      <c r="F264" s="346"/>
      <c r="G264" s="207"/>
      <c r="H264" s="314"/>
      <c r="I264" s="205"/>
    </row>
    <row r="265" spans="1:9" s="274" customFormat="1" ht="12.75" hidden="1" customHeight="1" x14ac:dyDescent="0.2">
      <c r="A265" s="204"/>
      <c r="B265" s="205"/>
      <c r="C265" s="228"/>
      <c r="D265" s="242" t="s">
        <v>304</v>
      </c>
      <c r="E265" s="207"/>
      <c r="F265" s="346"/>
      <c r="G265" s="207"/>
      <c r="H265" s="314"/>
    </row>
    <row r="266" spans="1:9" s="274" customFormat="1" ht="12.75" hidden="1" customHeight="1" x14ac:dyDescent="0.2">
      <c r="A266" s="204"/>
      <c r="B266" s="205"/>
      <c r="C266" s="228"/>
      <c r="D266" s="242" t="s">
        <v>303</v>
      </c>
      <c r="E266" s="207"/>
      <c r="F266" s="346"/>
      <c r="G266" s="207"/>
      <c r="H266" s="314"/>
    </row>
    <row r="267" spans="1:9" s="274" customFormat="1" ht="12.75" customHeight="1" x14ac:dyDescent="0.2">
      <c r="A267" s="204"/>
      <c r="B267" s="205"/>
      <c r="C267" s="228"/>
      <c r="D267" s="242" t="s">
        <v>314</v>
      </c>
      <c r="E267" s="207"/>
      <c r="F267" s="346">
        <v>68</v>
      </c>
      <c r="G267" s="207"/>
      <c r="H267" s="314"/>
      <c r="I267" s="197"/>
    </row>
    <row r="268" spans="1:9" s="274" customFormat="1" ht="12.75" hidden="1" customHeight="1" x14ac:dyDescent="0.2">
      <c r="A268" s="204"/>
      <c r="B268" s="205"/>
      <c r="C268" s="228"/>
      <c r="D268" s="242" t="s">
        <v>276</v>
      </c>
      <c r="E268" s="207"/>
      <c r="F268" s="346"/>
      <c r="G268" s="207"/>
      <c r="H268" s="314"/>
      <c r="I268" s="335"/>
    </row>
    <row r="269" spans="1:9" ht="12.75" hidden="1" customHeight="1" x14ac:dyDescent="0.2">
      <c r="A269" s="204"/>
      <c r="B269" s="205"/>
      <c r="C269" s="241"/>
      <c r="D269" s="293" t="s">
        <v>367</v>
      </c>
      <c r="E269" s="207"/>
      <c r="F269" s="346"/>
      <c r="G269" s="207"/>
      <c r="H269" s="315"/>
      <c r="I269" s="274"/>
    </row>
    <row r="270" spans="1:9" s="274" customFormat="1" ht="12.75" customHeight="1" x14ac:dyDescent="0.2">
      <c r="A270" s="208">
        <f>A262+1</f>
        <v>28</v>
      </c>
      <c r="B270" s="209" t="s">
        <v>199</v>
      </c>
      <c r="C270" s="229" t="s">
        <v>345</v>
      </c>
      <c r="D270" s="294" t="str">
        <f>$D$5</f>
        <v>FTE JUL 23</v>
      </c>
      <c r="E270" s="210">
        <f>'3971'!I$133</f>
        <v>403654.84</v>
      </c>
      <c r="F270" s="345"/>
      <c r="G270" s="210">
        <f>SUBTOTAL(109,E270:F277)</f>
        <v>403763.84</v>
      </c>
      <c r="H270" s="314"/>
    </row>
    <row r="271" spans="1:9" s="274" customFormat="1" ht="12.75" hidden="1" customHeight="1" x14ac:dyDescent="0.2">
      <c r="A271" s="208"/>
      <c r="B271" s="209"/>
      <c r="C271" s="229"/>
      <c r="D271" s="243" t="s">
        <v>302</v>
      </c>
      <c r="E271" s="210"/>
      <c r="F271" s="345"/>
      <c r="G271" s="210"/>
      <c r="H271" s="314"/>
    </row>
    <row r="272" spans="1:9" s="274" customFormat="1" ht="12.75" hidden="1" customHeight="1" x14ac:dyDescent="0.2">
      <c r="A272" s="208"/>
      <c r="B272" s="209"/>
      <c r="C272" s="229"/>
      <c r="D272" s="393" t="s">
        <v>385</v>
      </c>
      <c r="E272" s="210"/>
      <c r="F272" s="345"/>
      <c r="G272" s="210"/>
      <c r="H272" s="314"/>
      <c r="I272" s="205"/>
    </row>
    <row r="273" spans="1:9" s="274" customFormat="1" ht="12.75" hidden="1" customHeight="1" x14ac:dyDescent="0.2">
      <c r="A273" s="208"/>
      <c r="B273" s="209"/>
      <c r="C273" s="229"/>
      <c r="D273" s="243" t="s">
        <v>304</v>
      </c>
      <c r="E273" s="210"/>
      <c r="F273" s="345"/>
      <c r="G273" s="210"/>
      <c r="H273" s="314"/>
    </row>
    <row r="274" spans="1:9" s="274" customFormat="1" ht="12.75" hidden="1" customHeight="1" x14ac:dyDescent="0.2">
      <c r="A274" s="208"/>
      <c r="B274" s="209"/>
      <c r="C274" s="229"/>
      <c r="D274" s="243" t="s">
        <v>303</v>
      </c>
      <c r="E274" s="210"/>
      <c r="F274" s="345"/>
      <c r="G274" s="210"/>
      <c r="H274" s="314"/>
    </row>
    <row r="275" spans="1:9" s="274" customFormat="1" ht="12.75" customHeight="1" x14ac:dyDescent="0.2">
      <c r="A275" s="208"/>
      <c r="B275" s="209"/>
      <c r="C275" s="229"/>
      <c r="D275" s="243" t="s">
        <v>314</v>
      </c>
      <c r="E275" s="210"/>
      <c r="F275" s="345">
        <v>109</v>
      </c>
      <c r="G275" s="210"/>
      <c r="H275" s="314"/>
    </row>
    <row r="276" spans="1:9" s="274" customFormat="1" ht="12.75" hidden="1" customHeight="1" x14ac:dyDescent="0.2">
      <c r="A276" s="208"/>
      <c r="B276" s="209"/>
      <c r="C276" s="229"/>
      <c r="D276" s="243" t="s">
        <v>276</v>
      </c>
      <c r="E276" s="210"/>
      <c r="F276" s="345"/>
      <c r="G276" s="210"/>
      <c r="H276" s="273"/>
      <c r="I276" s="335"/>
    </row>
    <row r="277" spans="1:9" s="274" customFormat="1" ht="12.75" hidden="1" customHeight="1" x14ac:dyDescent="0.2">
      <c r="A277" s="208"/>
      <c r="B277" s="209"/>
      <c r="C277" s="229"/>
      <c r="D277" s="295" t="s">
        <v>375</v>
      </c>
      <c r="E277" s="210"/>
      <c r="F277" s="345"/>
      <c r="G277" s="210"/>
      <c r="H277" s="314"/>
    </row>
    <row r="278" spans="1:9" s="274" customFormat="1" ht="12.75" customHeight="1" x14ac:dyDescent="0.2">
      <c r="A278" s="204">
        <f>A270+1</f>
        <v>29</v>
      </c>
      <c r="B278" s="205" t="s">
        <v>200</v>
      </c>
      <c r="C278" s="228" t="s">
        <v>237</v>
      </c>
      <c r="D278" s="292" t="str">
        <f>$D$5</f>
        <v>FTE JUL 23</v>
      </c>
      <c r="E278" s="383">
        <f>'4001'!I$133</f>
        <v>510855.5</v>
      </c>
      <c r="F278" s="346"/>
      <c r="G278" s="207">
        <f>SUBTOTAL(109,E278:F286)</f>
        <v>510997.5</v>
      </c>
      <c r="H278" s="314"/>
    </row>
    <row r="279" spans="1:9" s="274" customFormat="1" ht="12.75" hidden="1" customHeight="1" x14ac:dyDescent="0.2">
      <c r="A279" s="204"/>
      <c r="B279" s="205"/>
      <c r="C279" s="228"/>
      <c r="D279" s="242" t="s">
        <v>302</v>
      </c>
      <c r="E279" s="207"/>
      <c r="F279" s="346"/>
      <c r="G279" s="207"/>
      <c r="H279" s="314"/>
    </row>
    <row r="280" spans="1:9" s="274" customFormat="1" ht="12.75" hidden="1" customHeight="1" x14ac:dyDescent="0.2">
      <c r="A280" s="204"/>
      <c r="B280" s="205"/>
      <c r="C280" s="228"/>
      <c r="D280" s="359" t="s">
        <v>371</v>
      </c>
      <c r="E280" s="207"/>
      <c r="F280" s="346"/>
      <c r="G280" s="207"/>
      <c r="H280" s="314"/>
      <c r="I280" s="205"/>
    </row>
    <row r="281" spans="1:9" s="274" customFormat="1" ht="12.75" hidden="1" customHeight="1" x14ac:dyDescent="0.2">
      <c r="A281" s="204"/>
      <c r="B281" s="205"/>
      <c r="C281" s="228"/>
      <c r="D281" s="242" t="s">
        <v>304</v>
      </c>
      <c r="E281" s="207"/>
      <c r="F281" s="346"/>
      <c r="G281" s="207"/>
      <c r="H281" s="314"/>
    </row>
    <row r="282" spans="1:9" s="274" customFormat="1" ht="12.75" hidden="1" customHeight="1" x14ac:dyDescent="0.2">
      <c r="A282" s="204"/>
      <c r="B282" s="205"/>
      <c r="C282" s="228"/>
      <c r="D282" s="242" t="s">
        <v>303</v>
      </c>
      <c r="E282" s="207"/>
      <c r="F282" s="346"/>
      <c r="G282" s="207"/>
      <c r="H282" s="314"/>
    </row>
    <row r="283" spans="1:9" s="274" customFormat="1" ht="12.75" customHeight="1" x14ac:dyDescent="0.2">
      <c r="A283" s="204"/>
      <c r="B283" s="205"/>
      <c r="C283" s="228"/>
      <c r="D283" s="242" t="s">
        <v>314</v>
      </c>
      <c r="E283" s="207"/>
      <c r="F283" s="346">
        <v>142</v>
      </c>
      <c r="G283" s="207"/>
      <c r="H283" s="314"/>
    </row>
    <row r="284" spans="1:9" s="274" customFormat="1" ht="12.75" hidden="1" customHeight="1" x14ac:dyDescent="0.2">
      <c r="A284" s="204"/>
      <c r="B284" s="205"/>
      <c r="C284" s="228"/>
      <c r="D284" s="242" t="s">
        <v>276</v>
      </c>
      <c r="E284" s="207"/>
      <c r="F284" s="346"/>
      <c r="G284" s="207"/>
      <c r="H284" s="273"/>
      <c r="I284" s="335"/>
    </row>
    <row r="285" spans="1:9" s="274" customFormat="1" ht="12.75" hidden="1" customHeight="1" x14ac:dyDescent="0.2">
      <c r="A285" s="204"/>
      <c r="B285" s="205"/>
      <c r="C285" s="228"/>
      <c r="D285" s="242" t="s">
        <v>364</v>
      </c>
      <c r="E285" s="207"/>
      <c r="F285" s="346"/>
      <c r="G285" s="207"/>
      <c r="H285" s="314"/>
      <c r="I285" s="335"/>
    </row>
    <row r="286" spans="1:9" s="274" customFormat="1" ht="12.75" hidden="1" customHeight="1" x14ac:dyDescent="0.2">
      <c r="A286" s="204"/>
      <c r="B286" s="205"/>
      <c r="C286" s="228"/>
      <c r="D286" s="293" t="s">
        <v>349</v>
      </c>
      <c r="E286" s="207"/>
      <c r="F286" s="346"/>
      <c r="G286" s="207"/>
      <c r="H286" s="314"/>
    </row>
    <row r="287" spans="1:9" s="274" customFormat="1" ht="12.75" customHeight="1" x14ac:dyDescent="0.2">
      <c r="A287" s="208">
        <f>A278+1</f>
        <v>30</v>
      </c>
      <c r="B287" s="209">
        <v>4002</v>
      </c>
      <c r="C287" s="229" t="s">
        <v>236</v>
      </c>
      <c r="D287" s="294" t="str">
        <f>$D$5</f>
        <v>FTE JUL 23</v>
      </c>
      <c r="E287" s="210">
        <f>'4002'!I$133</f>
        <v>835353.87</v>
      </c>
      <c r="F287" s="345"/>
      <c r="G287" s="210">
        <f>SUBTOTAL(109,E287:F296)</f>
        <v>835579.87</v>
      </c>
      <c r="H287" s="314"/>
    </row>
    <row r="288" spans="1:9" s="274" customFormat="1" ht="12.75" hidden="1" customHeight="1" x14ac:dyDescent="0.2">
      <c r="A288" s="208"/>
      <c r="B288" s="209"/>
      <c r="C288" s="229"/>
      <c r="D288" s="243" t="s">
        <v>302</v>
      </c>
      <c r="E288" s="210"/>
      <c r="F288" s="345"/>
      <c r="G288" s="210"/>
      <c r="H288" s="314"/>
    </row>
    <row r="289" spans="1:9" s="274" customFormat="1" ht="12.75" hidden="1" customHeight="1" x14ac:dyDescent="0.2">
      <c r="A289" s="208"/>
      <c r="B289" s="209"/>
      <c r="C289" s="229"/>
      <c r="D289" s="393" t="s">
        <v>371</v>
      </c>
      <c r="E289" s="210"/>
      <c r="F289" s="345"/>
      <c r="G289" s="210"/>
      <c r="H289" s="314"/>
      <c r="I289" s="205"/>
    </row>
    <row r="290" spans="1:9" s="274" customFormat="1" ht="12.75" hidden="1" customHeight="1" x14ac:dyDescent="0.2">
      <c r="A290" s="208"/>
      <c r="B290" s="209"/>
      <c r="C290" s="229"/>
      <c r="D290" s="243" t="s">
        <v>304</v>
      </c>
      <c r="E290" s="210"/>
      <c r="F290" s="345"/>
      <c r="G290" s="210"/>
      <c r="H290" s="314"/>
    </row>
    <row r="291" spans="1:9" s="274" customFormat="1" ht="12.75" hidden="1" customHeight="1" x14ac:dyDescent="0.2">
      <c r="A291" s="208"/>
      <c r="B291" s="209"/>
      <c r="C291" s="229"/>
      <c r="D291" s="243" t="s">
        <v>303</v>
      </c>
      <c r="E291" s="210"/>
      <c r="F291" s="345"/>
      <c r="G291" s="210"/>
      <c r="H291" s="314"/>
    </row>
    <row r="292" spans="1:9" s="274" customFormat="1" ht="12.75" customHeight="1" x14ac:dyDescent="0.2">
      <c r="A292" s="208"/>
      <c r="B292" s="209"/>
      <c r="C292" s="229"/>
      <c r="D292" s="243" t="s">
        <v>314</v>
      </c>
      <c r="E292" s="210"/>
      <c r="F292" s="345">
        <v>226</v>
      </c>
      <c r="G292" s="210"/>
      <c r="H292" s="314"/>
    </row>
    <row r="293" spans="1:9" s="274" customFormat="1" ht="12.75" hidden="1" customHeight="1" x14ac:dyDescent="0.2">
      <c r="A293" s="208"/>
      <c r="B293" s="209"/>
      <c r="C293" s="229"/>
      <c r="D293" s="243" t="s">
        <v>276</v>
      </c>
      <c r="E293" s="210"/>
      <c r="F293" s="345"/>
      <c r="G293" s="210"/>
      <c r="H293" s="314"/>
    </row>
    <row r="294" spans="1:9" s="274" customFormat="1" ht="12.75" hidden="1" customHeight="1" x14ac:dyDescent="0.2">
      <c r="A294" s="208"/>
      <c r="B294" s="209"/>
      <c r="C294" s="229"/>
      <c r="D294" s="243" t="s">
        <v>363</v>
      </c>
      <c r="E294" s="210"/>
      <c r="F294" s="345"/>
      <c r="G294" s="210"/>
      <c r="H294" s="314"/>
      <c r="I294" s="337"/>
    </row>
    <row r="295" spans="1:9" s="274" customFormat="1" ht="12.75" hidden="1" customHeight="1" x14ac:dyDescent="0.2">
      <c r="A295" s="208"/>
      <c r="B295" s="209"/>
      <c r="C295" s="229"/>
      <c r="D295" s="243" t="s">
        <v>364</v>
      </c>
      <c r="E295" s="210"/>
      <c r="F295" s="345"/>
      <c r="G295" s="210"/>
      <c r="H295" s="314"/>
      <c r="I295" s="337"/>
    </row>
    <row r="296" spans="1:9" s="274" customFormat="1" ht="12.75" hidden="1" customHeight="1" x14ac:dyDescent="0.2">
      <c r="A296" s="208"/>
      <c r="B296" s="209"/>
      <c r="C296" s="229"/>
      <c r="D296" s="243" t="s">
        <v>360</v>
      </c>
      <c r="E296" s="210"/>
      <c r="F296" s="345"/>
      <c r="G296" s="210"/>
      <c r="H296" s="314"/>
    </row>
    <row r="297" spans="1:9" s="274" customFormat="1" ht="12.75" customHeight="1" x14ac:dyDescent="0.2">
      <c r="A297" s="204">
        <f>A287+1</f>
        <v>31</v>
      </c>
      <c r="B297" s="205">
        <v>4012</v>
      </c>
      <c r="C297" s="228" t="s">
        <v>239</v>
      </c>
      <c r="D297" s="292" t="str">
        <f>$D$5</f>
        <v>FTE JUL 23</v>
      </c>
      <c r="E297" s="207">
        <f>'4012'!I$133</f>
        <v>476626.69</v>
      </c>
      <c r="F297" s="346"/>
      <c r="G297" s="207">
        <f>SUBTOTAL(109,E297:F304)</f>
        <v>476763.69</v>
      </c>
      <c r="H297" s="314"/>
    </row>
    <row r="298" spans="1:9" s="274" customFormat="1" ht="12.75" hidden="1" customHeight="1" x14ac:dyDescent="0.2">
      <c r="A298" s="204"/>
      <c r="B298" s="205"/>
      <c r="C298" s="228"/>
      <c r="D298" s="242" t="s">
        <v>302</v>
      </c>
      <c r="E298" s="207"/>
      <c r="F298" s="346"/>
      <c r="G298" s="207"/>
      <c r="H298" s="314"/>
    </row>
    <row r="299" spans="1:9" s="274" customFormat="1" ht="12.75" hidden="1" customHeight="1" x14ac:dyDescent="0.2">
      <c r="A299" s="204"/>
      <c r="B299" s="205"/>
      <c r="C299" s="228"/>
      <c r="D299" s="242" t="s">
        <v>304</v>
      </c>
      <c r="E299" s="207"/>
      <c r="F299" s="346"/>
      <c r="G299" s="207"/>
      <c r="H299" s="314"/>
    </row>
    <row r="300" spans="1:9" s="274" customFormat="1" ht="12.75" hidden="1" customHeight="1" x14ac:dyDescent="0.2">
      <c r="A300" s="204"/>
      <c r="B300" s="205"/>
      <c r="C300" s="228"/>
      <c r="D300" s="242" t="s">
        <v>359</v>
      </c>
      <c r="E300" s="207"/>
      <c r="F300" s="346"/>
      <c r="G300" s="207"/>
      <c r="H300" s="314"/>
    </row>
    <row r="301" spans="1:9" s="274" customFormat="1" ht="12.75" customHeight="1" x14ac:dyDescent="0.2">
      <c r="A301" s="204"/>
      <c r="B301" s="205"/>
      <c r="C301" s="228"/>
      <c r="D301" s="242" t="s">
        <v>314</v>
      </c>
      <c r="E301" s="207"/>
      <c r="F301" s="346">
        <v>137</v>
      </c>
      <c r="G301" s="207"/>
      <c r="H301" s="314"/>
    </row>
    <row r="302" spans="1:9" s="274" customFormat="1" ht="12.75" hidden="1" customHeight="1" x14ac:dyDescent="0.2">
      <c r="A302" s="204"/>
      <c r="B302" s="205"/>
      <c r="C302" s="228"/>
      <c r="D302" s="242" t="s">
        <v>276</v>
      </c>
      <c r="E302" s="207"/>
      <c r="F302" s="346"/>
      <c r="G302" s="207"/>
      <c r="H302" s="273"/>
      <c r="I302" s="335"/>
    </row>
    <row r="303" spans="1:9" s="274" customFormat="1" ht="12.75" hidden="1" customHeight="1" x14ac:dyDescent="0.2">
      <c r="A303" s="204"/>
      <c r="B303" s="205"/>
      <c r="C303" s="228"/>
      <c r="D303" s="242" t="s">
        <v>316</v>
      </c>
      <c r="E303" s="207"/>
      <c r="F303" s="346"/>
      <c r="G303" s="207"/>
      <c r="H303" s="314"/>
      <c r="I303" s="324"/>
    </row>
    <row r="304" spans="1:9" s="274" customFormat="1" ht="12.75" hidden="1" customHeight="1" x14ac:dyDescent="0.2">
      <c r="A304" s="204"/>
      <c r="B304" s="205"/>
      <c r="C304" s="228"/>
      <c r="D304" s="293" t="s">
        <v>349</v>
      </c>
      <c r="E304" s="207"/>
      <c r="F304" s="346"/>
      <c r="G304" s="207"/>
      <c r="H304" s="314"/>
      <c r="I304" s="324"/>
    </row>
    <row r="305" spans="1:9" s="274" customFormat="1" ht="12.75" customHeight="1" x14ac:dyDescent="0.2">
      <c r="A305" s="208">
        <f>A297+1</f>
        <v>32</v>
      </c>
      <c r="B305" s="209">
        <v>4013</v>
      </c>
      <c r="C305" s="229" t="s">
        <v>241</v>
      </c>
      <c r="D305" s="294" t="str">
        <f>$D$5</f>
        <v>FTE JUL 23</v>
      </c>
      <c r="E305" s="210">
        <f>'4013'!I$133</f>
        <v>716951.2</v>
      </c>
      <c r="F305" s="345"/>
      <c r="G305" s="210">
        <f>SUBTOTAL(109,E305:F313)</f>
        <v>717163.2</v>
      </c>
      <c r="H305" s="314"/>
    </row>
    <row r="306" spans="1:9" s="274" customFormat="1" ht="12.75" hidden="1" customHeight="1" x14ac:dyDescent="0.2">
      <c r="A306" s="208"/>
      <c r="B306" s="209"/>
      <c r="C306" s="229"/>
      <c r="D306" s="243" t="s">
        <v>302</v>
      </c>
      <c r="E306" s="210"/>
      <c r="F306" s="345"/>
      <c r="G306" s="210"/>
      <c r="H306" s="314"/>
    </row>
    <row r="307" spans="1:9" s="274" customFormat="1" ht="12.75" hidden="1" customHeight="1" x14ac:dyDescent="0.2">
      <c r="A307" s="208"/>
      <c r="B307" s="209"/>
      <c r="C307" s="229"/>
      <c r="D307" s="393" t="s">
        <v>371</v>
      </c>
      <c r="E307" s="210"/>
      <c r="F307" s="345"/>
      <c r="G307" s="210"/>
      <c r="H307" s="314"/>
      <c r="I307" s="205"/>
    </row>
    <row r="308" spans="1:9" s="274" customFormat="1" ht="12.75" hidden="1" customHeight="1" x14ac:dyDescent="0.2">
      <c r="A308" s="208"/>
      <c r="B308" s="209"/>
      <c r="C308" s="229"/>
      <c r="D308" s="243" t="s">
        <v>304</v>
      </c>
      <c r="E308" s="210"/>
      <c r="F308" s="345"/>
      <c r="G308" s="210"/>
      <c r="H308" s="314"/>
    </row>
    <row r="309" spans="1:9" s="274" customFormat="1" ht="12.75" hidden="1" customHeight="1" x14ac:dyDescent="0.2">
      <c r="A309" s="208"/>
      <c r="B309" s="209"/>
      <c r="C309" s="229"/>
      <c r="D309" s="243" t="s">
        <v>359</v>
      </c>
      <c r="E309" s="210"/>
      <c r="F309" s="345"/>
      <c r="G309" s="210"/>
      <c r="H309" s="314"/>
    </row>
    <row r="310" spans="1:9" s="274" customFormat="1" ht="12.75" customHeight="1" x14ac:dyDescent="0.2">
      <c r="A310" s="208"/>
      <c r="B310" s="209"/>
      <c r="C310" s="229"/>
      <c r="D310" s="243" t="s">
        <v>314</v>
      </c>
      <c r="E310" s="210"/>
      <c r="F310" s="345">
        <v>212</v>
      </c>
      <c r="G310" s="210"/>
      <c r="H310" s="314"/>
    </row>
    <row r="311" spans="1:9" s="274" customFormat="1" ht="12.75" hidden="1" customHeight="1" x14ac:dyDescent="0.2">
      <c r="A311" s="208"/>
      <c r="B311" s="209"/>
      <c r="C311" s="229"/>
      <c r="D311" s="243" t="s">
        <v>276</v>
      </c>
      <c r="E311" s="210"/>
      <c r="F311" s="345"/>
      <c r="G311" s="210"/>
      <c r="H311" s="314"/>
    </row>
    <row r="312" spans="1:9" s="274" customFormat="1" ht="12.75" hidden="1" customHeight="1" x14ac:dyDescent="0.2">
      <c r="A312" s="208"/>
      <c r="B312" s="209"/>
      <c r="C312" s="229"/>
      <c r="D312" s="243" t="s">
        <v>364</v>
      </c>
      <c r="E312" s="210"/>
      <c r="F312" s="345"/>
      <c r="G312" s="210"/>
      <c r="H312" s="314"/>
      <c r="I312" s="337"/>
    </row>
    <row r="313" spans="1:9" s="274" customFormat="1" ht="12.75" hidden="1" customHeight="1" x14ac:dyDescent="0.2">
      <c r="A313" s="208"/>
      <c r="B313" s="209"/>
      <c r="C313" s="229"/>
      <c r="D313" s="243" t="s">
        <v>349</v>
      </c>
      <c r="E313" s="210"/>
      <c r="F313" s="345"/>
      <c r="G313" s="210"/>
      <c r="H313" s="314"/>
    </row>
    <row r="314" spans="1:9" s="274" customFormat="1" ht="12.75" customHeight="1" x14ac:dyDescent="0.2">
      <c r="A314" s="204">
        <f>A305+1</f>
        <v>33</v>
      </c>
      <c r="B314" s="205">
        <v>4020</v>
      </c>
      <c r="C314" s="275" t="s">
        <v>351</v>
      </c>
      <c r="D314" s="292" t="str">
        <f>$D$5</f>
        <v>FTE JUL 23</v>
      </c>
      <c r="E314" s="207">
        <f>'4020'!I$133</f>
        <v>942020.11</v>
      </c>
      <c r="F314" s="346"/>
      <c r="G314" s="207">
        <f>SUBTOTAL(109,E314:F322)</f>
        <v>942279.11</v>
      </c>
      <c r="H314" s="314"/>
    </row>
    <row r="315" spans="1:9" s="274" customFormat="1" ht="12.75" hidden="1" customHeight="1" x14ac:dyDescent="0.2">
      <c r="A315" s="204"/>
      <c r="B315" s="205"/>
      <c r="C315" s="228"/>
      <c r="D315" s="242" t="s">
        <v>302</v>
      </c>
      <c r="E315" s="207"/>
      <c r="F315" s="346"/>
      <c r="G315" s="207"/>
      <c r="H315" s="314"/>
    </row>
    <row r="316" spans="1:9" s="274" customFormat="1" ht="12.75" hidden="1" customHeight="1" x14ac:dyDescent="0.2">
      <c r="A316" s="204"/>
      <c r="B316" s="205"/>
      <c r="C316" s="228"/>
      <c r="D316" s="359" t="s">
        <v>370</v>
      </c>
      <c r="E316" s="207"/>
      <c r="F316" s="346"/>
      <c r="G316" s="207"/>
      <c r="H316" s="314"/>
      <c r="I316" s="205"/>
    </row>
    <row r="317" spans="1:9" s="274" customFormat="1" ht="12.75" hidden="1" customHeight="1" x14ac:dyDescent="0.2">
      <c r="A317" s="204"/>
      <c r="B317" s="205"/>
      <c r="C317" s="228"/>
      <c r="D317" s="242" t="s">
        <v>304</v>
      </c>
      <c r="E317" s="207"/>
      <c r="F317" s="346"/>
      <c r="G317" s="207"/>
      <c r="H317" s="314"/>
    </row>
    <row r="318" spans="1:9" s="274" customFormat="1" ht="12.75" hidden="1" customHeight="1" x14ac:dyDescent="0.2">
      <c r="A318" s="204"/>
      <c r="B318" s="205"/>
      <c r="C318" s="228"/>
      <c r="D318" s="242" t="s">
        <v>359</v>
      </c>
      <c r="E318" s="207"/>
      <c r="F318" s="346"/>
      <c r="G318" s="207"/>
      <c r="H318" s="314"/>
    </row>
    <row r="319" spans="1:9" s="274" customFormat="1" ht="12.75" customHeight="1" x14ac:dyDescent="0.2">
      <c r="A319" s="204"/>
      <c r="B319" s="205"/>
      <c r="C319" s="228"/>
      <c r="D319" s="242" t="s">
        <v>314</v>
      </c>
      <c r="E319" s="207"/>
      <c r="F319" s="346">
        <v>259</v>
      </c>
      <c r="G319" s="207"/>
      <c r="H319" s="314"/>
    </row>
    <row r="320" spans="1:9" s="274" customFormat="1" ht="12.75" hidden="1" customHeight="1" x14ac:dyDescent="0.2">
      <c r="A320" s="204"/>
      <c r="B320" s="205"/>
      <c r="C320" s="228"/>
      <c r="D320" s="242" t="s">
        <v>276</v>
      </c>
      <c r="E320" s="207"/>
      <c r="F320" s="346"/>
      <c r="G320" s="207"/>
      <c r="H320" s="273"/>
      <c r="I320" s="335"/>
    </row>
    <row r="321" spans="1:9" s="274" customFormat="1" ht="12.75" hidden="1" customHeight="1" x14ac:dyDescent="0.2">
      <c r="A321" s="204"/>
      <c r="B321" s="205"/>
      <c r="C321" s="228"/>
      <c r="D321" s="242" t="s">
        <v>363</v>
      </c>
      <c r="E321" s="207"/>
      <c r="F321" s="346"/>
      <c r="G321" s="207"/>
      <c r="H321" s="314"/>
      <c r="I321" s="337"/>
    </row>
    <row r="322" spans="1:9" s="274" customFormat="1" ht="12.75" hidden="1" customHeight="1" x14ac:dyDescent="0.2">
      <c r="A322" s="204"/>
      <c r="B322" s="205"/>
      <c r="C322" s="228"/>
      <c r="D322" s="293" t="s">
        <v>349</v>
      </c>
      <c r="E322" s="207"/>
      <c r="F322" s="346"/>
      <c r="G322" s="207"/>
      <c r="H322" s="314"/>
    </row>
    <row r="323" spans="1:9" s="274" customFormat="1" ht="12.75" customHeight="1" x14ac:dyDescent="0.2">
      <c r="A323" s="208">
        <f>A314+1</f>
        <v>34</v>
      </c>
      <c r="B323" s="209">
        <v>4030</v>
      </c>
      <c r="C323" s="229" t="s">
        <v>340</v>
      </c>
      <c r="D323" s="294" t="str">
        <f>$D$5</f>
        <v>FTE JUL 23</v>
      </c>
      <c r="E323" s="210">
        <f>'4030'!I$133</f>
        <v>251916.51</v>
      </c>
      <c r="F323" s="345"/>
      <c r="G323" s="210">
        <f>SUBTOTAL(109,E323:F332)</f>
        <v>251985.51</v>
      </c>
      <c r="H323" s="314"/>
    </row>
    <row r="324" spans="1:9" s="274" customFormat="1" ht="12.75" hidden="1" customHeight="1" x14ac:dyDescent="0.2">
      <c r="A324" s="208"/>
      <c r="B324" s="209"/>
      <c r="C324" s="229"/>
      <c r="D324" s="243" t="s">
        <v>302</v>
      </c>
      <c r="E324" s="210"/>
      <c r="F324" s="345"/>
      <c r="G324" s="210"/>
      <c r="H324" s="314"/>
    </row>
    <row r="325" spans="1:9" s="274" customFormat="1" ht="12.75" hidden="1" customHeight="1" x14ac:dyDescent="0.2">
      <c r="A325" s="208"/>
      <c r="B325" s="209"/>
      <c r="C325" s="229"/>
      <c r="D325" s="393" t="s">
        <v>371</v>
      </c>
      <c r="E325" s="210"/>
      <c r="F325" s="345"/>
      <c r="G325" s="210"/>
      <c r="H325" s="314"/>
      <c r="I325" s="205"/>
    </row>
    <row r="326" spans="1:9" s="274" customFormat="1" ht="12.75" hidden="1" customHeight="1" x14ac:dyDescent="0.2">
      <c r="A326" s="208"/>
      <c r="B326" s="209"/>
      <c r="C326" s="229"/>
      <c r="D326" s="393" t="s">
        <v>370</v>
      </c>
      <c r="E326" s="210"/>
      <c r="F326" s="345"/>
      <c r="G326" s="210"/>
      <c r="H326" s="314"/>
      <c r="I326" s="205"/>
    </row>
    <row r="327" spans="1:9" s="274" customFormat="1" ht="12.75" hidden="1" customHeight="1" x14ac:dyDescent="0.2">
      <c r="A327" s="208"/>
      <c r="B327" s="209"/>
      <c r="C327" s="229"/>
      <c r="D327" s="243" t="s">
        <v>304</v>
      </c>
      <c r="E327" s="210"/>
      <c r="F327" s="345"/>
      <c r="G327" s="210"/>
      <c r="H327" s="314"/>
    </row>
    <row r="328" spans="1:9" s="274" customFormat="1" ht="12.75" hidden="1" customHeight="1" x14ac:dyDescent="0.2">
      <c r="A328" s="208"/>
      <c r="B328" s="209"/>
      <c r="C328" s="229"/>
      <c r="D328" s="243" t="s">
        <v>303</v>
      </c>
      <c r="E328" s="210"/>
      <c r="F328" s="345"/>
      <c r="G328" s="210"/>
      <c r="H328" s="314"/>
    </row>
    <row r="329" spans="1:9" s="274" customFormat="1" ht="12.75" customHeight="1" x14ac:dyDescent="0.2">
      <c r="A329" s="208"/>
      <c r="B329" s="209"/>
      <c r="C329" s="229"/>
      <c r="D329" s="243" t="s">
        <v>314</v>
      </c>
      <c r="E329" s="210"/>
      <c r="F329" s="345">
        <v>69</v>
      </c>
      <c r="G329" s="210"/>
      <c r="H329" s="314"/>
    </row>
    <row r="330" spans="1:9" s="274" customFormat="1" ht="12.75" hidden="1" customHeight="1" x14ac:dyDescent="0.2">
      <c r="A330" s="208"/>
      <c r="B330" s="209"/>
      <c r="C330" s="229"/>
      <c r="D330" s="243" t="s">
        <v>276</v>
      </c>
      <c r="E330" s="210"/>
      <c r="F330" s="345"/>
      <c r="G330" s="210"/>
      <c r="H330" s="314"/>
    </row>
    <row r="331" spans="1:9" s="274" customFormat="1" ht="12.75" hidden="1" customHeight="1" x14ac:dyDescent="0.2">
      <c r="A331" s="208"/>
      <c r="B331" s="209"/>
      <c r="C331" s="229"/>
      <c r="D331" s="243" t="s">
        <v>364</v>
      </c>
      <c r="E331" s="210"/>
      <c r="F331" s="345"/>
      <c r="G331" s="210"/>
      <c r="H331" s="314"/>
      <c r="I331" s="337"/>
    </row>
    <row r="332" spans="1:9" s="274" customFormat="1" ht="12.75" hidden="1" customHeight="1" x14ac:dyDescent="0.2">
      <c r="A332" s="208"/>
      <c r="B332" s="209"/>
      <c r="C332" s="229"/>
      <c r="D332" s="243" t="s">
        <v>349</v>
      </c>
      <c r="E332" s="210"/>
      <c r="F332" s="345"/>
      <c r="G332" s="210"/>
      <c r="H332" s="314"/>
    </row>
    <row r="333" spans="1:9" s="274" customFormat="1" ht="12.75" customHeight="1" x14ac:dyDescent="0.2">
      <c r="A333" s="204">
        <f>A323+1</f>
        <v>35</v>
      </c>
      <c r="B333" s="205">
        <v>4031</v>
      </c>
      <c r="C333" s="275" t="s">
        <v>356</v>
      </c>
      <c r="D333" s="292" t="str">
        <f>$D$5</f>
        <v>FTE JUL 23</v>
      </c>
      <c r="E333" s="207">
        <f>'4031'!I$133</f>
        <v>334169.11</v>
      </c>
      <c r="F333" s="346"/>
      <c r="G333" s="207">
        <f>SUBTOTAL(109,E333:F342)</f>
        <v>334261.11</v>
      </c>
      <c r="H333" s="314"/>
    </row>
    <row r="334" spans="1:9" s="274" customFormat="1" ht="12.75" hidden="1" customHeight="1" x14ac:dyDescent="0.2">
      <c r="A334" s="204"/>
      <c r="B334" s="205"/>
      <c r="C334" s="228"/>
      <c r="D334" s="242" t="s">
        <v>302</v>
      </c>
      <c r="E334" s="207"/>
      <c r="F334" s="346"/>
      <c r="G334" s="207"/>
      <c r="H334" s="314"/>
    </row>
    <row r="335" spans="1:9" s="274" customFormat="1" ht="12.75" hidden="1" customHeight="1" x14ac:dyDescent="0.2">
      <c r="A335" s="204"/>
      <c r="B335" s="205"/>
      <c r="C335" s="228"/>
      <c r="D335" s="359" t="s">
        <v>371</v>
      </c>
      <c r="E335" s="207"/>
      <c r="F335" s="346"/>
      <c r="G335" s="207"/>
      <c r="H335" s="314"/>
      <c r="I335" s="205"/>
    </row>
    <row r="336" spans="1:9" s="274" customFormat="1" ht="12.75" hidden="1" customHeight="1" x14ac:dyDescent="0.2">
      <c r="A336" s="204"/>
      <c r="B336" s="205"/>
      <c r="C336" s="228"/>
      <c r="D336" s="359" t="s">
        <v>370</v>
      </c>
      <c r="E336" s="207"/>
      <c r="F336" s="346"/>
      <c r="G336" s="207"/>
      <c r="H336" s="314"/>
      <c r="I336" s="205"/>
    </row>
    <row r="337" spans="1:9" s="274" customFormat="1" ht="12.75" hidden="1" customHeight="1" x14ac:dyDescent="0.2">
      <c r="A337" s="204"/>
      <c r="B337" s="205"/>
      <c r="C337" s="228"/>
      <c r="D337" s="242" t="s">
        <v>304</v>
      </c>
      <c r="E337" s="207"/>
      <c r="F337" s="346"/>
      <c r="G337" s="207"/>
      <c r="H337" s="314"/>
    </row>
    <row r="338" spans="1:9" s="274" customFormat="1" ht="12.75" hidden="1" customHeight="1" x14ac:dyDescent="0.2">
      <c r="A338" s="204"/>
      <c r="B338" s="205"/>
      <c r="C338" s="228"/>
      <c r="D338" s="242" t="s">
        <v>303</v>
      </c>
      <c r="E338" s="207"/>
      <c r="F338" s="346"/>
      <c r="G338" s="207"/>
      <c r="H338" s="314"/>
    </row>
    <row r="339" spans="1:9" s="274" customFormat="1" ht="12.75" customHeight="1" x14ac:dyDescent="0.2">
      <c r="A339" s="204"/>
      <c r="B339" s="205"/>
      <c r="C339" s="228"/>
      <c r="D339" s="242" t="s">
        <v>314</v>
      </c>
      <c r="E339" s="207"/>
      <c r="F339" s="346">
        <v>92</v>
      </c>
      <c r="G339" s="207"/>
      <c r="H339" s="314"/>
      <c r="I339" s="205"/>
    </row>
    <row r="340" spans="1:9" s="274" customFormat="1" ht="12.75" hidden="1" customHeight="1" x14ac:dyDescent="0.2">
      <c r="A340" s="204"/>
      <c r="B340" s="205"/>
      <c r="C340" s="228"/>
      <c r="D340" s="242" t="s">
        <v>276</v>
      </c>
      <c r="E340" s="207"/>
      <c r="F340" s="346"/>
      <c r="G340" s="207"/>
      <c r="H340" s="314"/>
      <c r="I340" s="335"/>
    </row>
    <row r="341" spans="1:9" s="274" customFormat="1" ht="12.75" hidden="1" customHeight="1" x14ac:dyDescent="0.2">
      <c r="A341" s="204"/>
      <c r="B341" s="205"/>
      <c r="C341" s="228"/>
      <c r="D341" s="242" t="s">
        <v>364</v>
      </c>
      <c r="E341" s="207"/>
      <c r="F341" s="346"/>
      <c r="G341" s="207"/>
      <c r="H341" s="314"/>
      <c r="I341" s="337"/>
    </row>
    <row r="342" spans="1:9" s="274" customFormat="1" ht="12.75" hidden="1" customHeight="1" x14ac:dyDescent="0.2">
      <c r="A342" s="204"/>
      <c r="B342" s="205"/>
      <c r="C342" s="228"/>
      <c r="D342" s="293" t="s">
        <v>349</v>
      </c>
      <c r="E342" s="207"/>
      <c r="F342" s="346"/>
      <c r="G342" s="207"/>
      <c r="H342" s="314"/>
    </row>
    <row r="343" spans="1:9" s="274" customFormat="1" ht="12.75" customHeight="1" x14ac:dyDescent="0.2">
      <c r="A343" s="208">
        <f>A333+1</f>
        <v>36</v>
      </c>
      <c r="B343" s="209">
        <v>4041</v>
      </c>
      <c r="C343" s="229" t="s">
        <v>243</v>
      </c>
      <c r="D343" s="294" t="str">
        <f>$D$5</f>
        <v>FTE JUL 23</v>
      </c>
      <c r="E343" s="210">
        <f>'4041'!I$133</f>
        <v>55469.86</v>
      </c>
      <c r="F343" s="345"/>
      <c r="G343" s="210">
        <f>SUBTOTAL(109,E343:F353)</f>
        <v>55485.86</v>
      </c>
      <c r="H343" s="314"/>
    </row>
    <row r="344" spans="1:9" s="274" customFormat="1" ht="12.75" hidden="1" customHeight="1" x14ac:dyDescent="0.2">
      <c r="A344" s="208"/>
      <c r="B344" s="209"/>
      <c r="C344" s="229"/>
      <c r="D344" s="243" t="s">
        <v>302</v>
      </c>
      <c r="E344" s="210"/>
      <c r="F344" s="345"/>
      <c r="G344" s="210"/>
      <c r="H344" s="314"/>
    </row>
    <row r="345" spans="1:9" s="274" customFormat="1" ht="12.75" hidden="1" customHeight="1" x14ac:dyDescent="0.2">
      <c r="A345" s="208"/>
      <c r="B345" s="209"/>
      <c r="C345" s="229"/>
      <c r="D345" s="393" t="s">
        <v>371</v>
      </c>
      <c r="E345" s="210"/>
      <c r="F345" s="345"/>
      <c r="G345" s="210"/>
      <c r="H345" s="314"/>
      <c r="I345" s="205"/>
    </row>
    <row r="346" spans="1:9" s="274" customFormat="1" ht="12.75" hidden="1" customHeight="1" x14ac:dyDescent="0.2">
      <c r="A346" s="208"/>
      <c r="B346" s="209"/>
      <c r="C346" s="229"/>
      <c r="D346" s="393" t="s">
        <v>370</v>
      </c>
      <c r="E346" s="210"/>
      <c r="F346" s="345"/>
      <c r="G346" s="210"/>
      <c r="H346" s="314"/>
      <c r="I346" s="205"/>
    </row>
    <row r="347" spans="1:9" s="274" customFormat="1" ht="12.75" hidden="1" customHeight="1" x14ac:dyDescent="0.2">
      <c r="A347" s="208"/>
      <c r="B347" s="209"/>
      <c r="C347" s="229"/>
      <c r="D347" s="243" t="s">
        <v>304</v>
      </c>
      <c r="E347" s="210"/>
      <c r="F347" s="345"/>
      <c r="G347" s="210"/>
      <c r="H347" s="314"/>
    </row>
    <row r="348" spans="1:9" s="274" customFormat="1" ht="12.75" hidden="1" customHeight="1" x14ac:dyDescent="0.2">
      <c r="A348" s="208"/>
      <c r="B348" s="209"/>
      <c r="C348" s="229"/>
      <c r="D348" s="243" t="s">
        <v>303</v>
      </c>
      <c r="E348" s="210"/>
      <c r="F348" s="345"/>
      <c r="G348" s="210"/>
      <c r="H348" s="314"/>
    </row>
    <row r="349" spans="1:9" s="274" customFormat="1" ht="12.75" customHeight="1" x14ac:dyDescent="0.2">
      <c r="A349" s="208"/>
      <c r="B349" s="209"/>
      <c r="C349" s="229"/>
      <c r="D349" s="243" t="s">
        <v>314</v>
      </c>
      <c r="E349" s="210"/>
      <c r="F349" s="345">
        <v>16</v>
      </c>
      <c r="G349" s="210"/>
      <c r="H349" s="314"/>
    </row>
    <row r="350" spans="1:9" s="274" customFormat="1" ht="12.75" hidden="1" customHeight="1" x14ac:dyDescent="0.2">
      <c r="A350" s="208"/>
      <c r="B350" s="209"/>
      <c r="C350" s="229"/>
      <c r="D350" s="243" t="s">
        <v>276</v>
      </c>
      <c r="E350" s="210"/>
      <c r="F350" s="345"/>
      <c r="G350" s="210"/>
      <c r="H350" s="314"/>
    </row>
    <row r="351" spans="1:9" s="274" customFormat="1" ht="12.75" hidden="1" customHeight="1" x14ac:dyDescent="0.2">
      <c r="A351" s="208"/>
      <c r="B351" s="209"/>
      <c r="C351" s="229"/>
      <c r="D351" s="243" t="s">
        <v>316</v>
      </c>
      <c r="E351" s="210"/>
      <c r="F351" s="345"/>
      <c r="G351" s="210"/>
      <c r="H351" s="314"/>
    </row>
    <row r="352" spans="1:9" s="274" customFormat="1" ht="12.75" hidden="1" customHeight="1" x14ac:dyDescent="0.2">
      <c r="A352" s="208"/>
      <c r="B352" s="209"/>
      <c r="C352" s="229"/>
      <c r="D352" s="243" t="s">
        <v>364</v>
      </c>
      <c r="E352" s="210"/>
      <c r="F352" s="345"/>
      <c r="G352" s="210"/>
      <c r="H352" s="314"/>
      <c r="I352" s="337"/>
    </row>
    <row r="353" spans="1:9" s="274" customFormat="1" ht="12.75" hidden="1" customHeight="1" x14ac:dyDescent="0.2">
      <c r="A353" s="208"/>
      <c r="B353" s="209"/>
      <c r="C353" s="229"/>
      <c r="D353" s="243" t="s">
        <v>349</v>
      </c>
      <c r="E353" s="210"/>
      <c r="F353" s="345"/>
      <c r="G353" s="210"/>
      <c r="H353" s="314"/>
    </row>
    <row r="354" spans="1:9" s="274" customFormat="1" ht="12.75" customHeight="1" x14ac:dyDescent="0.2">
      <c r="A354" s="204">
        <f>A343+1</f>
        <v>37</v>
      </c>
      <c r="B354" s="277">
        <v>4050</v>
      </c>
      <c r="C354" s="278" t="s">
        <v>234</v>
      </c>
      <c r="D354" s="292" t="str">
        <f>$D$5</f>
        <v>FTE JUL 23</v>
      </c>
      <c r="E354" s="207">
        <f>'4050'!I$133</f>
        <v>574381.96</v>
      </c>
      <c r="F354" s="346"/>
      <c r="G354" s="207">
        <f>SUBTOTAL(109,E354:F360)</f>
        <v>574543.96</v>
      </c>
      <c r="H354" s="314"/>
    </row>
    <row r="355" spans="1:9" s="274" customFormat="1" ht="12.75" hidden="1" customHeight="1" x14ac:dyDescent="0.2">
      <c r="A355" s="204"/>
      <c r="B355" s="277"/>
      <c r="C355" s="278"/>
      <c r="D355" s="242" t="s">
        <v>302</v>
      </c>
      <c r="E355" s="207"/>
      <c r="F355" s="346"/>
      <c r="G355" s="207"/>
      <c r="H355" s="314"/>
    </row>
    <row r="356" spans="1:9" s="274" customFormat="1" ht="12.75" hidden="1" customHeight="1" x14ac:dyDescent="0.2">
      <c r="A356" s="204"/>
      <c r="B356" s="277"/>
      <c r="C356" s="278"/>
      <c r="D356" s="242" t="s">
        <v>304</v>
      </c>
      <c r="E356" s="207"/>
      <c r="F356" s="346"/>
      <c r="G356" s="207"/>
      <c r="H356" s="314"/>
    </row>
    <row r="357" spans="1:9" s="274" customFormat="1" ht="12.75" hidden="1" customHeight="1" x14ac:dyDescent="0.2">
      <c r="A357" s="204"/>
      <c r="B357" s="205"/>
      <c r="C357" s="228"/>
      <c r="D357" s="242" t="s">
        <v>303</v>
      </c>
      <c r="E357" s="207"/>
      <c r="F357" s="346"/>
      <c r="G357" s="207"/>
      <c r="H357" s="314"/>
    </row>
    <row r="358" spans="1:9" s="274" customFormat="1" ht="12.75" customHeight="1" x14ac:dyDescent="0.2">
      <c r="A358" s="204"/>
      <c r="B358" s="205"/>
      <c r="C358" s="228"/>
      <c r="D358" s="242" t="s">
        <v>314</v>
      </c>
      <c r="E358" s="207"/>
      <c r="F358" s="346">
        <v>162</v>
      </c>
      <c r="G358" s="207"/>
      <c r="H358" s="314"/>
    </row>
    <row r="359" spans="1:9" s="274" customFormat="1" ht="12.75" hidden="1" customHeight="1" x14ac:dyDescent="0.2">
      <c r="A359" s="204"/>
      <c r="B359" s="205"/>
      <c r="C359" s="228"/>
      <c r="D359" s="242" t="s">
        <v>276</v>
      </c>
      <c r="E359" s="207"/>
      <c r="F359" s="346"/>
      <c r="G359" s="207"/>
      <c r="H359" s="314"/>
      <c r="I359" s="335"/>
    </row>
    <row r="360" spans="1:9" s="274" customFormat="1" ht="12.75" hidden="1" customHeight="1" x14ac:dyDescent="0.2">
      <c r="A360" s="204"/>
      <c r="B360" s="205"/>
      <c r="C360" s="228"/>
      <c r="D360" s="293" t="s">
        <v>349</v>
      </c>
      <c r="E360" s="207"/>
      <c r="F360" s="346"/>
      <c r="G360" s="207"/>
      <c r="H360" s="314"/>
    </row>
    <row r="361" spans="1:9" s="274" customFormat="1" ht="12.75" customHeight="1" x14ac:dyDescent="0.2">
      <c r="A361" s="208">
        <f>A354+1</f>
        <v>38</v>
      </c>
      <c r="B361" s="209">
        <v>4051</v>
      </c>
      <c r="C361" s="229" t="s">
        <v>232</v>
      </c>
      <c r="D361" s="294" t="str">
        <f>$D$5</f>
        <v>FTE JUL 23</v>
      </c>
      <c r="E361" s="210">
        <f>'4051'!I$133</f>
        <v>603203.79</v>
      </c>
      <c r="F361" s="345"/>
      <c r="G361" s="210">
        <f>SUBTOTAL(109,E361:F369)</f>
        <v>603368.79</v>
      </c>
      <c r="H361" s="314"/>
    </row>
    <row r="362" spans="1:9" s="274" customFormat="1" ht="12.75" hidden="1" customHeight="1" x14ac:dyDescent="0.2">
      <c r="A362" s="208"/>
      <c r="B362" s="209"/>
      <c r="C362" s="229"/>
      <c r="D362" s="243" t="s">
        <v>302</v>
      </c>
      <c r="E362" s="210"/>
      <c r="F362" s="345"/>
      <c r="G362" s="210"/>
      <c r="H362" s="314"/>
    </row>
    <row r="363" spans="1:9" s="274" customFormat="1" ht="12.75" hidden="1" customHeight="1" x14ac:dyDescent="0.2">
      <c r="A363" s="208"/>
      <c r="B363" s="209"/>
      <c r="C363" s="229"/>
      <c r="D363" s="243" t="s">
        <v>304</v>
      </c>
      <c r="E363" s="210"/>
      <c r="F363" s="345"/>
      <c r="G363" s="210"/>
      <c r="H363" s="314"/>
    </row>
    <row r="364" spans="1:9" s="274" customFormat="1" ht="12.75" hidden="1" customHeight="1" x14ac:dyDescent="0.2">
      <c r="A364" s="208"/>
      <c r="B364" s="209"/>
      <c r="C364" s="229"/>
      <c r="D364" s="243" t="s">
        <v>303</v>
      </c>
      <c r="E364" s="210"/>
      <c r="F364" s="345"/>
      <c r="G364" s="210"/>
      <c r="H364" s="314"/>
    </row>
    <row r="365" spans="1:9" s="274" customFormat="1" ht="12.75" customHeight="1" x14ac:dyDescent="0.2">
      <c r="A365" s="208"/>
      <c r="B365" s="209"/>
      <c r="C365" s="229"/>
      <c r="D365" s="243" t="s">
        <v>314</v>
      </c>
      <c r="E365" s="210"/>
      <c r="F365" s="345">
        <v>165</v>
      </c>
      <c r="G365" s="210"/>
      <c r="H365" s="314"/>
    </row>
    <row r="366" spans="1:9" s="274" customFormat="1" ht="12.75" hidden="1" customHeight="1" x14ac:dyDescent="0.2">
      <c r="A366" s="208"/>
      <c r="B366" s="209"/>
      <c r="C366" s="229"/>
      <c r="D366" s="243" t="s">
        <v>276</v>
      </c>
      <c r="E366" s="210"/>
      <c r="F366" s="345"/>
      <c r="G366" s="210"/>
      <c r="H366" s="314"/>
    </row>
    <row r="367" spans="1:9" s="274" customFormat="1" ht="12.75" hidden="1" customHeight="1" x14ac:dyDescent="0.2">
      <c r="A367" s="208"/>
      <c r="B367" s="209"/>
      <c r="C367" s="229"/>
      <c r="D367" s="243" t="s">
        <v>316</v>
      </c>
      <c r="E367" s="210"/>
      <c r="F367" s="345"/>
      <c r="G367" s="210"/>
      <c r="H367" s="314"/>
    </row>
    <row r="368" spans="1:9" s="274" customFormat="1" ht="12.75" hidden="1" customHeight="1" x14ac:dyDescent="0.2">
      <c r="A368" s="208"/>
      <c r="B368" s="209"/>
      <c r="C368" s="229"/>
      <c r="D368" s="243" t="s">
        <v>363</v>
      </c>
      <c r="E368" s="210"/>
      <c r="F368" s="345"/>
      <c r="G368" s="210"/>
      <c r="H368" s="314"/>
      <c r="I368" s="337"/>
    </row>
    <row r="369" spans="1:9" s="274" customFormat="1" ht="12.75" hidden="1" customHeight="1" x14ac:dyDescent="0.2">
      <c r="A369" s="208"/>
      <c r="B369" s="209"/>
      <c r="C369" s="229"/>
      <c r="D369" s="243" t="s">
        <v>361</v>
      </c>
      <c r="E369" s="210"/>
      <c r="F369" s="345"/>
      <c r="G369" s="210"/>
      <c r="H369" s="314"/>
    </row>
    <row r="370" spans="1:9" s="274" customFormat="1" ht="12.75" customHeight="1" x14ac:dyDescent="0.2">
      <c r="A370" s="204">
        <f>A361+1</f>
        <v>39</v>
      </c>
      <c r="B370" s="277">
        <v>4061</v>
      </c>
      <c r="C370" s="279" t="s">
        <v>353</v>
      </c>
      <c r="D370" s="292" t="str">
        <f>$D$5</f>
        <v>FTE JUL 23</v>
      </c>
      <c r="E370" s="207">
        <f>'4061'!I$133</f>
        <v>746335.93</v>
      </c>
      <c r="F370" s="346"/>
      <c r="G370" s="207">
        <f>SUBTOTAL(109,E370:F378)</f>
        <v>746396.91</v>
      </c>
      <c r="H370" s="314"/>
    </row>
    <row r="371" spans="1:9" s="274" customFormat="1" ht="12.75" hidden="1" customHeight="1" x14ac:dyDescent="0.2">
      <c r="A371" s="204"/>
      <c r="B371" s="277"/>
      <c r="C371" s="278"/>
      <c r="D371" s="242" t="s">
        <v>302</v>
      </c>
      <c r="E371" s="207"/>
      <c r="F371" s="346"/>
      <c r="G371" s="207"/>
      <c r="H371" s="314"/>
    </row>
    <row r="372" spans="1:9" s="274" customFormat="1" ht="12.75" hidden="1" customHeight="1" x14ac:dyDescent="0.2">
      <c r="A372" s="204"/>
      <c r="B372" s="205"/>
      <c r="C372" s="228"/>
      <c r="D372" s="359" t="s">
        <v>370</v>
      </c>
      <c r="E372" s="207"/>
      <c r="F372" s="346"/>
      <c r="G372" s="207"/>
      <c r="H372" s="314"/>
      <c r="I372" s="205"/>
    </row>
    <row r="373" spans="1:9" s="274" customFormat="1" ht="12.75" hidden="1" customHeight="1" x14ac:dyDescent="0.2">
      <c r="A373" s="204"/>
      <c r="B373" s="277"/>
      <c r="C373" s="278"/>
      <c r="D373" s="242" t="s">
        <v>302</v>
      </c>
      <c r="E373" s="207"/>
      <c r="F373" s="346"/>
      <c r="G373" s="207"/>
      <c r="H373" s="314"/>
    </row>
    <row r="374" spans="1:9" s="274" customFormat="1" ht="12.75" hidden="1" customHeight="1" x14ac:dyDescent="0.2">
      <c r="A374" s="204"/>
      <c r="B374" s="277"/>
      <c r="C374" s="278"/>
      <c r="D374" s="242" t="s">
        <v>304</v>
      </c>
      <c r="E374" s="207"/>
      <c r="F374" s="346"/>
      <c r="G374" s="207"/>
      <c r="H374" s="314"/>
    </row>
    <row r="375" spans="1:9" s="274" customFormat="1" ht="12.75" hidden="1" customHeight="1" x14ac:dyDescent="0.2">
      <c r="A375" s="204"/>
      <c r="B375" s="205"/>
      <c r="C375" s="228"/>
      <c r="D375" s="242" t="s">
        <v>303</v>
      </c>
      <c r="E375" s="207"/>
      <c r="F375" s="346"/>
      <c r="G375" s="207"/>
      <c r="H375" s="314"/>
      <c r="I375" s="205"/>
    </row>
    <row r="376" spans="1:9" s="274" customFormat="1" ht="12.75" customHeight="1" x14ac:dyDescent="0.2">
      <c r="A376" s="204"/>
      <c r="B376" s="205"/>
      <c r="C376" s="228"/>
      <c r="D376" s="242" t="s">
        <v>314</v>
      </c>
      <c r="E376" s="207"/>
      <c r="F376" s="346">
        <v>207</v>
      </c>
      <c r="G376" s="207"/>
      <c r="H376" s="314"/>
    </row>
    <row r="377" spans="1:9" s="274" customFormat="1" ht="12.75" hidden="1" customHeight="1" x14ac:dyDescent="0.2">
      <c r="A377" s="204"/>
      <c r="B377" s="205"/>
      <c r="C377" s="228"/>
      <c r="D377" s="242" t="s">
        <v>276</v>
      </c>
      <c r="E377" s="207"/>
      <c r="F377" s="346"/>
      <c r="G377" s="207"/>
      <c r="H377" s="314"/>
      <c r="I377" s="335"/>
    </row>
    <row r="378" spans="1:9" s="274" customFormat="1" ht="12.75" customHeight="1" x14ac:dyDescent="0.2">
      <c r="A378" s="204"/>
      <c r="B378" s="205"/>
      <c r="C378" s="228"/>
      <c r="D378" s="477" t="s">
        <v>520</v>
      </c>
      <c r="E378" s="476"/>
      <c r="F378" s="346">
        <v>-146.02000000000001</v>
      </c>
      <c r="G378" s="207"/>
      <c r="H378" s="314"/>
      <c r="I378" s="335"/>
    </row>
    <row r="379" spans="1:9" s="274" customFormat="1" ht="12.75" customHeight="1" x14ac:dyDescent="0.2">
      <c r="A379" s="208">
        <f>A370+1</f>
        <v>40</v>
      </c>
      <c r="B379" s="209">
        <v>4080</v>
      </c>
      <c r="C379" s="229" t="s">
        <v>256</v>
      </c>
      <c r="D379" s="294" t="str">
        <f>$D$5</f>
        <v>FTE JUL 23</v>
      </c>
      <c r="E379" s="210">
        <f>'4080'!I$133</f>
        <v>196900.81</v>
      </c>
      <c r="F379" s="345"/>
      <c r="G379" s="210">
        <f>SUBTOTAL(109,E379:F385)</f>
        <v>196957.81</v>
      </c>
      <c r="H379" s="314"/>
    </row>
    <row r="380" spans="1:9" s="274" customFormat="1" ht="12.75" hidden="1" customHeight="1" x14ac:dyDescent="0.2">
      <c r="A380" s="208"/>
      <c r="B380" s="209"/>
      <c r="C380" s="229"/>
      <c r="D380" s="243" t="s">
        <v>302</v>
      </c>
      <c r="E380" s="210"/>
      <c r="F380" s="345"/>
      <c r="G380" s="210"/>
      <c r="H380" s="314"/>
    </row>
    <row r="381" spans="1:9" s="274" customFormat="1" ht="12.75" hidden="1" customHeight="1" x14ac:dyDescent="0.2">
      <c r="A381" s="208"/>
      <c r="B381" s="209"/>
      <c r="C381" s="229"/>
      <c r="D381" s="243" t="s">
        <v>304</v>
      </c>
      <c r="E381" s="210"/>
      <c r="F381" s="345"/>
      <c r="G381" s="210"/>
      <c r="H381" s="314"/>
    </row>
    <row r="382" spans="1:9" s="274" customFormat="1" ht="12.75" hidden="1" customHeight="1" x14ac:dyDescent="0.2">
      <c r="A382" s="208"/>
      <c r="B382" s="209"/>
      <c r="C382" s="229"/>
      <c r="D382" s="243" t="s">
        <v>303</v>
      </c>
      <c r="E382" s="210"/>
      <c r="F382" s="345"/>
      <c r="G382" s="210"/>
      <c r="H382" s="314"/>
    </row>
    <row r="383" spans="1:9" s="274" customFormat="1" ht="12.75" customHeight="1" x14ac:dyDescent="0.2">
      <c r="A383" s="208"/>
      <c r="B383" s="209"/>
      <c r="C383" s="229"/>
      <c r="D383" s="243" t="s">
        <v>314</v>
      </c>
      <c r="E383" s="210"/>
      <c r="F383" s="345">
        <v>57</v>
      </c>
      <c r="G383" s="210"/>
      <c r="H383" s="314"/>
    </row>
    <row r="384" spans="1:9" s="274" customFormat="1" ht="12.75" hidden="1" customHeight="1" x14ac:dyDescent="0.2">
      <c r="A384" s="208"/>
      <c r="B384" s="209"/>
      <c r="C384" s="229"/>
      <c r="D384" s="243" t="s">
        <v>276</v>
      </c>
      <c r="E384" s="210"/>
      <c r="F384" s="345"/>
      <c r="G384" s="210"/>
      <c r="H384" s="314"/>
    </row>
    <row r="385" spans="1:12" s="274" customFormat="1" ht="12.75" hidden="1" customHeight="1" x14ac:dyDescent="0.2">
      <c r="A385" s="208"/>
      <c r="B385" s="209"/>
      <c r="C385" s="229"/>
      <c r="D385" s="243" t="s">
        <v>349</v>
      </c>
      <c r="E385" s="210"/>
      <c r="F385" s="345"/>
      <c r="G385" s="210"/>
      <c r="H385" s="314"/>
    </row>
    <row r="386" spans="1:12" s="274" customFormat="1" ht="12.75" customHeight="1" x14ac:dyDescent="0.2">
      <c r="A386" s="204">
        <f>1+A379</f>
        <v>41</v>
      </c>
      <c r="B386" s="277">
        <v>4081</v>
      </c>
      <c r="C386" s="279" t="s">
        <v>252</v>
      </c>
      <c r="D386" s="292" t="str">
        <f>$D$5</f>
        <v>FTE JUL 23</v>
      </c>
      <c r="E386" s="207">
        <f>'4081'!I$133</f>
        <v>95446.46</v>
      </c>
      <c r="F386" s="346"/>
      <c r="G386" s="207">
        <f>SUBTOTAL(109,E386:F394)</f>
        <v>95474.46</v>
      </c>
      <c r="H386" s="314"/>
      <c r="L386" s="336"/>
    </row>
    <row r="387" spans="1:12" s="274" customFormat="1" ht="12.75" hidden="1" customHeight="1" x14ac:dyDescent="0.2">
      <c r="A387" s="204"/>
      <c r="B387" s="277"/>
      <c r="C387" s="279"/>
      <c r="D387" s="242" t="s">
        <v>302</v>
      </c>
      <c r="E387" s="207"/>
      <c r="F387" s="346"/>
      <c r="G387" s="207"/>
      <c r="H387" s="314"/>
    </row>
    <row r="388" spans="1:12" s="274" customFormat="1" ht="12.75" hidden="1" customHeight="1" x14ac:dyDescent="0.2">
      <c r="A388" s="204"/>
      <c r="B388" s="205"/>
      <c r="C388" s="228"/>
      <c r="D388" s="359" t="s">
        <v>371</v>
      </c>
      <c r="E388" s="207"/>
      <c r="F388" s="346"/>
      <c r="G388" s="207"/>
      <c r="H388" s="314"/>
      <c r="I388" s="205"/>
    </row>
    <row r="389" spans="1:12" s="274" customFormat="1" ht="12.75" hidden="1" customHeight="1" x14ac:dyDescent="0.2">
      <c r="A389" s="204"/>
      <c r="B389" s="277"/>
      <c r="C389" s="279"/>
      <c r="D389" s="242" t="s">
        <v>304</v>
      </c>
      <c r="E389" s="207"/>
      <c r="F389" s="346"/>
      <c r="G389" s="207"/>
      <c r="H389" s="314"/>
    </row>
    <row r="390" spans="1:12" s="274" customFormat="1" ht="12.75" hidden="1" customHeight="1" x14ac:dyDescent="0.2">
      <c r="A390" s="204"/>
      <c r="B390" s="277"/>
      <c r="C390" s="279"/>
      <c r="D390" s="242" t="s">
        <v>303</v>
      </c>
      <c r="E390" s="207"/>
      <c r="F390" s="346"/>
      <c r="G390" s="207"/>
      <c r="H390" s="314"/>
    </row>
    <row r="391" spans="1:12" s="274" customFormat="1" ht="12.75" customHeight="1" x14ac:dyDescent="0.2">
      <c r="A391" s="204"/>
      <c r="B391" s="277"/>
      <c r="C391" s="279"/>
      <c r="D391" s="242" t="s">
        <v>314</v>
      </c>
      <c r="E391" s="207"/>
      <c r="F391" s="346">
        <v>28</v>
      </c>
      <c r="G391" s="207"/>
      <c r="H391" s="314"/>
    </row>
    <row r="392" spans="1:12" s="274" customFormat="1" ht="12.75" hidden="1" customHeight="1" x14ac:dyDescent="0.2">
      <c r="A392" s="204"/>
      <c r="B392" s="205"/>
      <c r="C392" s="228"/>
      <c r="D392" s="242" t="s">
        <v>276</v>
      </c>
      <c r="E392" s="207"/>
      <c r="F392" s="346"/>
      <c r="G392" s="207"/>
      <c r="H392" s="314"/>
      <c r="I392" s="335"/>
    </row>
    <row r="393" spans="1:12" s="274" customFormat="1" ht="12.75" hidden="1" customHeight="1" x14ac:dyDescent="0.2">
      <c r="A393" s="204"/>
      <c r="B393" s="205"/>
      <c r="C393" s="228"/>
      <c r="D393" s="242" t="s">
        <v>364</v>
      </c>
      <c r="E393" s="207"/>
      <c r="F393" s="346"/>
      <c r="G393" s="207"/>
      <c r="H393" s="314"/>
      <c r="I393" s="337"/>
    </row>
    <row r="394" spans="1:12" s="274" customFormat="1" ht="12.75" hidden="1" customHeight="1" x14ac:dyDescent="0.2">
      <c r="A394" s="204"/>
      <c r="B394" s="205"/>
      <c r="C394" s="228"/>
      <c r="D394" s="293" t="s">
        <v>349</v>
      </c>
      <c r="E394" s="207"/>
      <c r="F394" s="346"/>
      <c r="G394" s="207"/>
      <c r="H394" s="314"/>
      <c r="I394" s="335"/>
    </row>
    <row r="395" spans="1:12" s="274" customFormat="1" ht="12.75" customHeight="1" x14ac:dyDescent="0.2">
      <c r="A395" s="208">
        <f>1+A386</f>
        <v>42</v>
      </c>
      <c r="B395" s="209">
        <v>4090</v>
      </c>
      <c r="C395" s="229" t="s">
        <v>298</v>
      </c>
      <c r="D395" s="294" t="str">
        <f>$D$5</f>
        <v>FTE JUL 23</v>
      </c>
      <c r="E395" s="210">
        <f>'4090'!I$133</f>
        <v>232657.82</v>
      </c>
      <c r="F395" s="345"/>
      <c r="G395" s="210">
        <f>SUBTOTAL(109,E395:F404)</f>
        <v>231834.58000000002</v>
      </c>
      <c r="H395" s="314"/>
      <c r="L395" s="336"/>
    </row>
    <row r="396" spans="1:12" s="274" customFormat="1" ht="12.75" hidden="1" customHeight="1" x14ac:dyDescent="0.2">
      <c r="A396" s="208"/>
      <c r="B396" s="209"/>
      <c r="C396" s="229"/>
      <c r="D396" s="243" t="s">
        <v>302</v>
      </c>
      <c r="E396" s="210"/>
      <c r="F396" s="345"/>
      <c r="G396" s="210"/>
      <c r="H396" s="314"/>
    </row>
    <row r="397" spans="1:12" s="274" customFormat="1" ht="12.75" hidden="1" customHeight="1" x14ac:dyDescent="0.2">
      <c r="A397" s="208"/>
      <c r="B397" s="209"/>
      <c r="C397" s="229"/>
      <c r="D397" s="393" t="s">
        <v>371</v>
      </c>
      <c r="E397" s="210"/>
      <c r="F397" s="345"/>
      <c r="G397" s="210"/>
      <c r="H397" s="314"/>
      <c r="I397" s="205"/>
    </row>
    <row r="398" spans="1:12" s="274" customFormat="1" ht="12.75" hidden="1" customHeight="1" x14ac:dyDescent="0.2">
      <c r="A398" s="208"/>
      <c r="B398" s="209"/>
      <c r="C398" s="229"/>
      <c r="D398" s="393" t="s">
        <v>370</v>
      </c>
      <c r="E398" s="210"/>
      <c r="F398" s="345"/>
      <c r="G398" s="210"/>
      <c r="H398" s="314"/>
      <c r="I398" s="205"/>
    </row>
    <row r="399" spans="1:12" s="274" customFormat="1" ht="12.75" hidden="1" customHeight="1" x14ac:dyDescent="0.2">
      <c r="A399" s="208"/>
      <c r="B399" s="209"/>
      <c r="C399" s="229"/>
      <c r="D399" s="243" t="s">
        <v>304</v>
      </c>
      <c r="E399" s="210"/>
      <c r="F399" s="345"/>
      <c r="G399" s="210"/>
      <c r="H399" s="314"/>
    </row>
    <row r="400" spans="1:12" s="274" customFormat="1" ht="12.75" hidden="1" customHeight="1" x14ac:dyDescent="0.2">
      <c r="A400" s="208"/>
      <c r="B400" s="209"/>
      <c r="C400" s="229"/>
      <c r="D400" s="243" t="s">
        <v>303</v>
      </c>
      <c r="E400" s="210"/>
      <c r="F400" s="345"/>
      <c r="G400" s="210"/>
      <c r="H400" s="314"/>
    </row>
    <row r="401" spans="1:13" s="274" customFormat="1" ht="12.75" customHeight="1" x14ac:dyDescent="0.2">
      <c r="A401" s="208"/>
      <c r="B401" s="209"/>
      <c r="C401" s="229"/>
      <c r="D401" s="243" t="s">
        <v>314</v>
      </c>
      <c r="E401" s="210"/>
      <c r="F401" s="345">
        <v>69</v>
      </c>
      <c r="G401" s="210"/>
      <c r="H401" s="314"/>
    </row>
    <row r="402" spans="1:13" s="274" customFormat="1" ht="12.75" hidden="1" customHeight="1" x14ac:dyDescent="0.2">
      <c r="A402" s="208"/>
      <c r="B402" s="209"/>
      <c r="C402" s="229"/>
      <c r="D402" s="243" t="s">
        <v>276</v>
      </c>
      <c r="E402" s="210"/>
      <c r="F402" s="345"/>
      <c r="G402" s="210"/>
      <c r="H402" s="314"/>
    </row>
    <row r="403" spans="1:13" s="274" customFormat="1" ht="12.75" hidden="1" customHeight="1" x14ac:dyDescent="0.2">
      <c r="A403" s="208"/>
      <c r="B403" s="209"/>
      <c r="C403" s="229"/>
      <c r="D403" s="243" t="s">
        <v>364</v>
      </c>
      <c r="E403" s="210"/>
      <c r="F403" s="345"/>
      <c r="G403" s="210"/>
      <c r="H403" s="314"/>
    </row>
    <row r="404" spans="1:13" s="274" customFormat="1" ht="12.75" customHeight="1" x14ac:dyDescent="0.2">
      <c r="A404" s="208"/>
      <c r="B404" s="209"/>
      <c r="C404" s="229"/>
      <c r="D404" s="243" t="s">
        <v>521</v>
      </c>
      <c r="E404" s="210"/>
      <c r="F404" s="345">
        <v>-892.24</v>
      </c>
      <c r="G404" s="210"/>
      <c r="H404" s="314"/>
    </row>
    <row r="405" spans="1:13" s="274" customFormat="1" ht="12.75" customHeight="1" x14ac:dyDescent="0.2">
      <c r="A405" s="204">
        <f>1+A395</f>
        <v>43</v>
      </c>
      <c r="B405" s="277">
        <v>4091</v>
      </c>
      <c r="C405" s="279" t="s">
        <v>299</v>
      </c>
      <c r="D405" s="292" t="str">
        <f>$D$5</f>
        <v>FTE JUL 23</v>
      </c>
      <c r="E405" s="207">
        <f>'4091'!I$133</f>
        <v>300951.7</v>
      </c>
      <c r="F405" s="346"/>
      <c r="G405" s="207">
        <f>SUBTOTAL(109,E405:F414)</f>
        <v>301034.7</v>
      </c>
      <c r="H405" s="314"/>
      <c r="M405" s="336"/>
    </row>
    <row r="406" spans="1:13" s="274" customFormat="1" ht="12.75" hidden="1" customHeight="1" x14ac:dyDescent="0.2">
      <c r="A406" s="204"/>
      <c r="B406" s="277"/>
      <c r="C406" s="279"/>
      <c r="D406" s="242" t="s">
        <v>302</v>
      </c>
      <c r="E406" s="207"/>
      <c r="F406" s="346"/>
      <c r="G406" s="207"/>
      <c r="H406" s="314"/>
    </row>
    <row r="407" spans="1:13" s="274" customFormat="1" ht="12.75" hidden="1" customHeight="1" x14ac:dyDescent="0.2">
      <c r="A407" s="204"/>
      <c r="B407" s="205"/>
      <c r="C407" s="228"/>
      <c r="D407" s="359" t="s">
        <v>371</v>
      </c>
      <c r="E407" s="207"/>
      <c r="F407" s="346"/>
      <c r="G407" s="207"/>
      <c r="H407" s="314"/>
      <c r="I407" s="205"/>
    </row>
    <row r="408" spans="1:13" s="274" customFormat="1" ht="12.75" hidden="1" customHeight="1" x14ac:dyDescent="0.2">
      <c r="A408" s="204"/>
      <c r="B408" s="277"/>
      <c r="C408" s="279"/>
      <c r="D408" s="242" t="s">
        <v>304</v>
      </c>
      <c r="E408" s="207"/>
      <c r="F408" s="346"/>
      <c r="G408" s="207"/>
      <c r="H408" s="314"/>
    </row>
    <row r="409" spans="1:13" s="274" customFormat="1" ht="12.75" hidden="1" customHeight="1" x14ac:dyDescent="0.2">
      <c r="A409" s="204"/>
      <c r="B409" s="277"/>
      <c r="C409" s="279"/>
      <c r="D409" s="242" t="s">
        <v>303</v>
      </c>
      <c r="E409" s="207"/>
      <c r="F409" s="346"/>
      <c r="G409" s="207"/>
      <c r="H409" s="314"/>
    </row>
    <row r="410" spans="1:13" s="274" customFormat="1" ht="12.75" customHeight="1" x14ac:dyDescent="0.2">
      <c r="A410" s="204"/>
      <c r="B410" s="277"/>
      <c r="C410" s="279"/>
      <c r="D410" s="242" t="s">
        <v>314</v>
      </c>
      <c r="E410" s="207"/>
      <c r="F410" s="346">
        <v>83</v>
      </c>
      <c r="G410" s="207"/>
      <c r="H410" s="314"/>
    </row>
    <row r="411" spans="1:13" s="274" customFormat="1" ht="12.75" hidden="1" customHeight="1" x14ac:dyDescent="0.2">
      <c r="A411" s="204"/>
      <c r="B411" s="205"/>
      <c r="C411" s="228"/>
      <c r="D411" s="242" t="s">
        <v>276</v>
      </c>
      <c r="E411" s="207"/>
      <c r="F411" s="346"/>
      <c r="G411" s="207"/>
      <c r="H411" s="314"/>
      <c r="I411" s="335"/>
    </row>
    <row r="412" spans="1:13" s="274" customFormat="1" ht="12.75" hidden="1" customHeight="1" x14ac:dyDescent="0.2">
      <c r="A412" s="204"/>
      <c r="B412" s="205"/>
      <c r="C412" s="228"/>
      <c r="D412" s="242" t="s">
        <v>364</v>
      </c>
      <c r="E412" s="207"/>
      <c r="F412" s="346"/>
      <c r="G412" s="207"/>
      <c r="H412" s="314"/>
      <c r="I412" s="337"/>
    </row>
    <row r="413" spans="1:13" s="274" customFormat="1" ht="12.75" hidden="1" customHeight="1" x14ac:dyDescent="0.2">
      <c r="A413" s="204"/>
      <c r="B413" s="205"/>
      <c r="C413" s="228"/>
      <c r="D413" s="293" t="s">
        <v>349</v>
      </c>
      <c r="E413" s="207"/>
      <c r="F413" s="346"/>
      <c r="G413" s="207"/>
      <c r="H413" s="314"/>
    </row>
    <row r="414" spans="1:13" s="274" customFormat="1" ht="12.75" hidden="1" customHeight="1" x14ac:dyDescent="0.2">
      <c r="A414" s="204"/>
      <c r="B414" s="205"/>
      <c r="C414" s="228"/>
      <c r="D414" s="293" t="s">
        <v>425</v>
      </c>
      <c r="E414" s="207"/>
      <c r="F414" s="346">
        <v>0</v>
      </c>
      <c r="G414" s="207"/>
      <c r="H414" s="314"/>
    </row>
    <row r="415" spans="1:13" s="274" customFormat="1" ht="12.75" customHeight="1" x14ac:dyDescent="0.2">
      <c r="A415" s="208">
        <f>1+A405</f>
        <v>44</v>
      </c>
      <c r="B415" s="209">
        <v>4100</v>
      </c>
      <c r="C415" s="229" t="s">
        <v>291</v>
      </c>
      <c r="D415" s="294" t="str">
        <f>$D$5</f>
        <v>FTE JUL 23</v>
      </c>
      <c r="E415" s="210">
        <f>'4100'!I$133</f>
        <v>251719.1</v>
      </c>
      <c r="F415" s="345"/>
      <c r="G415" s="210">
        <f>SUBTOTAL(109,E415:F423)</f>
        <v>251736.1</v>
      </c>
      <c r="H415" s="314"/>
    </row>
    <row r="416" spans="1:13" s="274" customFormat="1" ht="12.75" hidden="1" customHeight="1" x14ac:dyDescent="0.2">
      <c r="A416" s="208"/>
      <c r="B416" s="209"/>
      <c r="C416" s="229"/>
      <c r="D416" s="243" t="s">
        <v>302</v>
      </c>
      <c r="E416" s="210"/>
      <c r="F416" s="345"/>
      <c r="G416" s="210"/>
      <c r="H416" s="314"/>
    </row>
    <row r="417" spans="1:9" s="274" customFormat="1" ht="12.75" hidden="1" customHeight="1" x14ac:dyDescent="0.2">
      <c r="A417" s="208"/>
      <c r="B417" s="209"/>
      <c r="C417" s="229"/>
      <c r="D417" s="393" t="s">
        <v>371</v>
      </c>
      <c r="E417" s="210"/>
      <c r="F417" s="345"/>
      <c r="G417" s="210"/>
      <c r="H417" s="314"/>
      <c r="I417" s="205"/>
    </row>
    <row r="418" spans="1:9" s="274" customFormat="1" ht="12.75" hidden="1" customHeight="1" x14ac:dyDescent="0.2">
      <c r="A418" s="208"/>
      <c r="B418" s="209"/>
      <c r="C418" s="229"/>
      <c r="D418" s="243" t="s">
        <v>304</v>
      </c>
      <c r="E418" s="210"/>
      <c r="F418" s="345"/>
      <c r="G418" s="210"/>
      <c r="H418" s="314"/>
    </row>
    <row r="419" spans="1:9" s="274" customFormat="1" ht="12.75" hidden="1" customHeight="1" x14ac:dyDescent="0.2">
      <c r="A419" s="208"/>
      <c r="B419" s="209"/>
      <c r="C419" s="229"/>
      <c r="D419" s="243" t="s">
        <v>303</v>
      </c>
      <c r="E419" s="210"/>
      <c r="F419" s="345"/>
      <c r="G419" s="210"/>
      <c r="H419" s="314"/>
    </row>
    <row r="420" spans="1:9" s="274" customFormat="1" ht="12.75" customHeight="1" x14ac:dyDescent="0.2">
      <c r="A420" s="208"/>
      <c r="B420" s="209"/>
      <c r="C420" s="229"/>
      <c r="D420" s="243" t="s">
        <v>314</v>
      </c>
      <c r="E420" s="210"/>
      <c r="F420" s="345">
        <v>17</v>
      </c>
      <c r="G420" s="210"/>
      <c r="H420" s="314"/>
    </row>
    <row r="421" spans="1:9" s="274" customFormat="1" ht="12.75" hidden="1" customHeight="1" x14ac:dyDescent="0.2">
      <c r="A421" s="208"/>
      <c r="B421" s="209"/>
      <c r="C421" s="229"/>
      <c r="D421" s="243" t="s">
        <v>276</v>
      </c>
      <c r="E421" s="210"/>
      <c r="F421" s="345"/>
      <c r="G421" s="210"/>
      <c r="H421" s="314"/>
    </row>
    <row r="422" spans="1:9" s="274" customFormat="1" ht="12.75" hidden="1" customHeight="1" x14ac:dyDescent="0.2">
      <c r="A422" s="208"/>
      <c r="B422" s="209"/>
      <c r="C422" s="229"/>
      <c r="D422" s="243" t="s">
        <v>364</v>
      </c>
      <c r="E422" s="210"/>
      <c r="F422" s="345"/>
      <c r="G422" s="210"/>
      <c r="H422" s="314"/>
    </row>
    <row r="423" spans="1:9" s="274" customFormat="1" ht="12.75" hidden="1" customHeight="1" x14ac:dyDescent="0.2">
      <c r="A423" s="208"/>
      <c r="B423" s="209"/>
      <c r="C423" s="229"/>
      <c r="D423" s="243" t="s">
        <v>349</v>
      </c>
      <c r="E423" s="210"/>
      <c r="F423" s="345"/>
      <c r="G423" s="210"/>
      <c r="H423" s="314"/>
    </row>
    <row r="424" spans="1:9" s="274" customFormat="1" ht="12.75" customHeight="1" x14ac:dyDescent="0.2">
      <c r="A424" s="204">
        <f>1+A415</f>
        <v>45</v>
      </c>
      <c r="B424" s="277">
        <v>4102</v>
      </c>
      <c r="C424" s="279" t="s">
        <v>306</v>
      </c>
      <c r="D424" s="297" t="str">
        <f>$D$5</f>
        <v>FTE JUL 23</v>
      </c>
      <c r="E424" s="207">
        <f>'4102'!I$133</f>
        <v>118832.36</v>
      </c>
      <c r="F424" s="346"/>
      <c r="G424" s="207">
        <f>SUBTOTAL(109,E424:F431)</f>
        <v>118865.36</v>
      </c>
      <c r="H424" s="314"/>
    </row>
    <row r="425" spans="1:9" s="274" customFormat="1" ht="12.75" hidden="1" customHeight="1" x14ac:dyDescent="0.2">
      <c r="A425" s="204"/>
      <c r="B425" s="277"/>
      <c r="C425" s="279"/>
      <c r="D425" s="242" t="s">
        <v>302</v>
      </c>
      <c r="E425" s="207"/>
      <c r="F425" s="346"/>
      <c r="G425" s="207"/>
      <c r="H425" s="314"/>
    </row>
    <row r="426" spans="1:9" s="274" customFormat="1" ht="12.75" hidden="1" customHeight="1" x14ac:dyDescent="0.2">
      <c r="A426" s="204"/>
      <c r="B426" s="205"/>
      <c r="C426" s="228"/>
      <c r="D426" s="359" t="s">
        <v>370</v>
      </c>
      <c r="E426" s="207"/>
      <c r="F426" s="346"/>
      <c r="G426" s="207"/>
      <c r="H426" s="314"/>
      <c r="I426" s="205"/>
    </row>
    <row r="427" spans="1:9" s="274" customFormat="1" ht="12.75" hidden="1" customHeight="1" x14ac:dyDescent="0.2">
      <c r="A427" s="204"/>
      <c r="B427" s="277"/>
      <c r="C427" s="279"/>
      <c r="D427" s="242" t="s">
        <v>304</v>
      </c>
      <c r="E427" s="207"/>
      <c r="F427" s="346"/>
      <c r="G427" s="207"/>
      <c r="H427" s="314"/>
    </row>
    <row r="428" spans="1:9" s="274" customFormat="1" ht="12.75" hidden="1" customHeight="1" x14ac:dyDescent="0.2">
      <c r="A428" s="204"/>
      <c r="B428" s="277"/>
      <c r="C428" s="279"/>
      <c r="D428" s="242" t="s">
        <v>303</v>
      </c>
      <c r="E428" s="207"/>
      <c r="F428" s="346"/>
      <c r="G428" s="207"/>
      <c r="H428" s="314"/>
    </row>
    <row r="429" spans="1:9" s="274" customFormat="1" ht="12.75" customHeight="1" x14ac:dyDescent="0.2">
      <c r="A429" s="204"/>
      <c r="B429" s="277"/>
      <c r="C429" s="279"/>
      <c r="D429" s="242" t="s">
        <v>314</v>
      </c>
      <c r="E429" s="207"/>
      <c r="F429" s="346">
        <v>33</v>
      </c>
      <c r="G429" s="207"/>
      <c r="H429" s="314"/>
      <c r="I429" s="197"/>
    </row>
    <row r="430" spans="1:9" s="274" customFormat="1" ht="12.75" hidden="1" customHeight="1" x14ac:dyDescent="0.2">
      <c r="A430" s="204"/>
      <c r="B430" s="205"/>
      <c r="C430" s="228"/>
      <c r="D430" s="242" t="s">
        <v>276</v>
      </c>
      <c r="E430" s="207"/>
      <c r="F430" s="346"/>
      <c r="G430" s="207"/>
      <c r="H430" s="314"/>
      <c r="I430" s="335"/>
    </row>
    <row r="431" spans="1:9" s="274" customFormat="1" ht="12.75" hidden="1" customHeight="1" x14ac:dyDescent="0.2">
      <c r="A431" s="204"/>
      <c r="B431" s="205"/>
      <c r="C431" s="228"/>
      <c r="D431" s="293" t="s">
        <v>349</v>
      </c>
      <c r="E431" s="207"/>
      <c r="F431" s="346"/>
      <c r="G431" s="207"/>
      <c r="H431" s="314"/>
      <c r="I431" s="335"/>
    </row>
    <row r="432" spans="1:9" s="274" customFormat="1" ht="12.75" customHeight="1" x14ac:dyDescent="0.2">
      <c r="A432" s="208">
        <f>A424+1</f>
        <v>46</v>
      </c>
      <c r="B432" s="209">
        <v>4103</v>
      </c>
      <c r="C432" s="229" t="s">
        <v>330</v>
      </c>
      <c r="D432" s="294" t="str">
        <f>$D$5</f>
        <v>FTE JUL 23</v>
      </c>
      <c r="E432" s="210">
        <f>'4103'!I$133</f>
        <v>699826.9</v>
      </c>
      <c r="F432" s="345"/>
      <c r="G432" s="210">
        <f>SUBTOTAL(109,E432:F441)</f>
        <v>700026.9</v>
      </c>
      <c r="H432" s="314"/>
    </row>
    <row r="433" spans="1:9" s="274" customFormat="1" ht="12.75" hidden="1" customHeight="1" x14ac:dyDescent="0.2">
      <c r="A433" s="208"/>
      <c r="B433" s="209"/>
      <c r="C433" s="229"/>
      <c r="D433" s="243" t="s">
        <v>302</v>
      </c>
      <c r="E433" s="210"/>
      <c r="F433" s="345"/>
      <c r="G433" s="210"/>
      <c r="H433" s="314"/>
    </row>
    <row r="434" spans="1:9" s="274" customFormat="1" ht="12.75" hidden="1" customHeight="1" x14ac:dyDescent="0.2">
      <c r="A434" s="208"/>
      <c r="B434" s="209"/>
      <c r="C434" s="229"/>
      <c r="D434" s="393" t="s">
        <v>371</v>
      </c>
      <c r="E434" s="210"/>
      <c r="F434" s="345"/>
      <c r="G434" s="210"/>
      <c r="H434" s="314"/>
      <c r="I434" s="205"/>
    </row>
    <row r="435" spans="1:9" s="274" customFormat="1" ht="12.75" hidden="1" customHeight="1" x14ac:dyDescent="0.2">
      <c r="A435" s="208"/>
      <c r="B435" s="209"/>
      <c r="C435" s="229"/>
      <c r="D435" s="393" t="s">
        <v>370</v>
      </c>
      <c r="E435" s="210"/>
      <c r="F435" s="345"/>
      <c r="G435" s="210"/>
      <c r="H435" s="314"/>
      <c r="I435" s="205"/>
    </row>
    <row r="436" spans="1:9" s="274" customFormat="1" ht="12.75" hidden="1" customHeight="1" x14ac:dyDescent="0.2">
      <c r="A436" s="208"/>
      <c r="B436" s="209"/>
      <c r="C436" s="229"/>
      <c r="D436" s="243" t="s">
        <v>304</v>
      </c>
      <c r="E436" s="210"/>
      <c r="F436" s="345"/>
      <c r="G436" s="210"/>
      <c r="H436" s="314"/>
    </row>
    <row r="437" spans="1:9" s="274" customFormat="1" ht="12.75" hidden="1" customHeight="1" x14ac:dyDescent="0.2">
      <c r="A437" s="208"/>
      <c r="B437" s="209"/>
      <c r="C437" s="229"/>
      <c r="D437" s="243" t="s">
        <v>303</v>
      </c>
      <c r="E437" s="210"/>
      <c r="F437" s="345"/>
      <c r="G437" s="210"/>
      <c r="H437" s="314"/>
    </row>
    <row r="438" spans="1:9" s="274" customFormat="1" ht="12.75" customHeight="1" x14ac:dyDescent="0.2">
      <c r="A438" s="208"/>
      <c r="B438" s="209"/>
      <c r="C438" s="229"/>
      <c r="D438" s="243" t="s">
        <v>314</v>
      </c>
      <c r="E438" s="210"/>
      <c r="F438" s="345">
        <v>200</v>
      </c>
      <c r="G438" s="210"/>
      <c r="H438" s="314"/>
    </row>
    <row r="439" spans="1:9" s="274" customFormat="1" ht="12.75" hidden="1" customHeight="1" x14ac:dyDescent="0.2">
      <c r="A439" s="208"/>
      <c r="B439" s="209"/>
      <c r="C439" s="229"/>
      <c r="D439" s="243" t="s">
        <v>276</v>
      </c>
      <c r="E439" s="210"/>
      <c r="F439" s="345"/>
      <c r="G439" s="210"/>
      <c r="H439" s="314"/>
    </row>
    <row r="440" spans="1:9" s="274" customFormat="1" ht="12.75" hidden="1" customHeight="1" x14ac:dyDescent="0.2">
      <c r="A440" s="208"/>
      <c r="B440" s="209"/>
      <c r="C440" s="229"/>
      <c r="D440" s="243" t="s">
        <v>364</v>
      </c>
      <c r="E440" s="210"/>
      <c r="F440" s="345"/>
      <c r="G440" s="210"/>
      <c r="H440" s="314"/>
    </row>
    <row r="441" spans="1:9" s="274" customFormat="1" ht="12.75" hidden="1" customHeight="1" x14ac:dyDescent="0.2">
      <c r="A441" s="208"/>
      <c r="B441" s="209"/>
      <c r="C441" s="229"/>
      <c r="D441" s="243" t="s">
        <v>349</v>
      </c>
      <c r="E441" s="210"/>
      <c r="F441" s="345"/>
      <c r="G441" s="210"/>
      <c r="H441" s="314"/>
    </row>
    <row r="442" spans="1:9" s="274" customFormat="1" ht="12.75" customHeight="1" x14ac:dyDescent="0.2">
      <c r="A442" s="204">
        <f>1+A432</f>
        <v>47</v>
      </c>
      <c r="B442" s="277">
        <v>4111</v>
      </c>
      <c r="C442" s="279" t="s">
        <v>346</v>
      </c>
      <c r="D442" s="297" t="str">
        <f>$D$5</f>
        <v>FTE JUL 23</v>
      </c>
      <c r="E442" s="207">
        <f>'4111'!I$133</f>
        <v>213399.23</v>
      </c>
      <c r="F442" s="346"/>
      <c r="G442" s="207">
        <f>SUBTOTAL(109,E442:F450)</f>
        <v>213461.23</v>
      </c>
      <c r="H442" s="314"/>
    </row>
    <row r="443" spans="1:9" s="274" customFormat="1" ht="12.75" hidden="1" customHeight="1" x14ac:dyDescent="0.2">
      <c r="A443" s="204"/>
      <c r="B443" s="277"/>
      <c r="C443" s="279"/>
      <c r="D443" s="242" t="s">
        <v>302</v>
      </c>
      <c r="E443" s="207"/>
      <c r="F443" s="346"/>
      <c r="G443" s="207"/>
      <c r="H443" s="314"/>
    </row>
    <row r="444" spans="1:9" s="274" customFormat="1" ht="12.75" hidden="1" customHeight="1" x14ac:dyDescent="0.2">
      <c r="A444" s="204"/>
      <c r="B444" s="205"/>
      <c r="C444" s="228"/>
      <c r="D444" s="359" t="s">
        <v>371</v>
      </c>
      <c r="E444" s="207"/>
      <c r="F444" s="346"/>
      <c r="G444" s="207"/>
      <c r="H444" s="314"/>
      <c r="I444" s="205"/>
    </row>
    <row r="445" spans="1:9" s="274" customFormat="1" ht="12.75" hidden="1" customHeight="1" x14ac:dyDescent="0.2">
      <c r="A445" s="204"/>
      <c r="B445" s="277"/>
      <c r="C445" s="279"/>
      <c r="D445" s="242" t="s">
        <v>304</v>
      </c>
      <c r="E445" s="207"/>
      <c r="F445" s="346"/>
      <c r="G445" s="207"/>
      <c r="H445" s="314"/>
    </row>
    <row r="446" spans="1:9" s="274" customFormat="1" ht="12.75" hidden="1" customHeight="1" x14ac:dyDescent="0.2">
      <c r="A446" s="204"/>
      <c r="B446" s="277"/>
      <c r="C446" s="279"/>
      <c r="D446" s="242" t="s">
        <v>303</v>
      </c>
      <c r="E446" s="207"/>
      <c r="F446" s="346"/>
      <c r="G446" s="207"/>
      <c r="H446" s="314"/>
    </row>
    <row r="447" spans="1:9" s="274" customFormat="1" ht="12.75" customHeight="1" x14ac:dyDescent="0.2">
      <c r="A447" s="204"/>
      <c r="B447" s="277"/>
      <c r="C447" s="279"/>
      <c r="D447" s="242" t="s">
        <v>314</v>
      </c>
      <c r="E447" s="207"/>
      <c r="F447" s="346">
        <v>62</v>
      </c>
      <c r="G447" s="207"/>
      <c r="H447" s="314"/>
      <c r="I447" s="197"/>
    </row>
    <row r="448" spans="1:9" s="274" customFormat="1" ht="12.75" hidden="1" customHeight="1" x14ac:dyDescent="0.2">
      <c r="A448" s="204"/>
      <c r="B448" s="205"/>
      <c r="C448" s="228"/>
      <c r="D448" s="242" t="s">
        <v>276</v>
      </c>
      <c r="E448" s="207"/>
      <c r="F448" s="346"/>
      <c r="G448" s="207"/>
      <c r="H448" s="314"/>
      <c r="I448" s="335"/>
    </row>
    <row r="449" spans="1:9" s="274" customFormat="1" ht="12.75" hidden="1" customHeight="1" x14ac:dyDescent="0.2">
      <c r="A449" s="204"/>
      <c r="B449" s="205"/>
      <c r="C449" s="228"/>
      <c r="D449" s="242" t="s">
        <v>364</v>
      </c>
      <c r="E449" s="207"/>
      <c r="F449" s="346"/>
      <c r="G449" s="207"/>
      <c r="H449" s="314"/>
      <c r="I449" s="337"/>
    </row>
    <row r="450" spans="1:9" s="274" customFormat="1" ht="12.75" hidden="1" customHeight="1" x14ac:dyDescent="0.2">
      <c r="A450" s="204"/>
      <c r="B450" s="205"/>
      <c r="C450" s="228"/>
      <c r="D450" s="293" t="s">
        <v>349</v>
      </c>
      <c r="E450" s="207"/>
      <c r="F450" s="346"/>
      <c r="G450" s="207"/>
      <c r="H450" s="314"/>
      <c r="I450" s="335"/>
    </row>
    <row r="451" spans="1:9" s="274" customFormat="1" ht="12.75" customHeight="1" x14ac:dyDescent="0.2">
      <c r="A451" s="208">
        <f>1+A442</f>
        <v>48</v>
      </c>
      <c r="B451" s="401">
        <v>4131</v>
      </c>
      <c r="C451" s="402" t="s">
        <v>405</v>
      </c>
      <c r="D451" s="403" t="str">
        <f>$D$5</f>
        <v>FTE JUL 23</v>
      </c>
      <c r="E451" s="210">
        <f>'4131'!I$133</f>
        <v>25359.53</v>
      </c>
      <c r="F451" s="345"/>
      <c r="G451" s="210">
        <f>SUBTOTAL(109,E451:F459)</f>
        <v>25367.53</v>
      </c>
      <c r="H451" s="314"/>
    </row>
    <row r="452" spans="1:9" s="274" customFormat="1" ht="12.75" hidden="1" customHeight="1" x14ac:dyDescent="0.2">
      <c r="A452" s="208"/>
      <c r="B452" s="401"/>
      <c r="C452" s="402"/>
      <c r="D452" s="243" t="s">
        <v>302</v>
      </c>
      <c r="E452" s="210"/>
      <c r="F452" s="345"/>
      <c r="G452" s="210"/>
      <c r="H452" s="314"/>
    </row>
    <row r="453" spans="1:9" s="274" customFormat="1" ht="12.75" hidden="1" customHeight="1" x14ac:dyDescent="0.2">
      <c r="A453" s="208"/>
      <c r="B453" s="209"/>
      <c r="C453" s="229"/>
      <c r="D453" s="393" t="s">
        <v>371</v>
      </c>
      <c r="E453" s="210"/>
      <c r="F453" s="345"/>
      <c r="G453" s="210"/>
      <c r="H453" s="314"/>
      <c r="I453" s="205"/>
    </row>
    <row r="454" spans="1:9" s="274" customFormat="1" ht="12.75" hidden="1" customHeight="1" x14ac:dyDescent="0.2">
      <c r="A454" s="208"/>
      <c r="B454" s="401"/>
      <c r="C454" s="402"/>
      <c r="D454" s="243" t="s">
        <v>304</v>
      </c>
      <c r="E454" s="210"/>
      <c r="F454" s="345"/>
      <c r="G454" s="210"/>
      <c r="H454" s="314"/>
    </row>
    <row r="455" spans="1:9" s="274" customFormat="1" ht="12.75" hidden="1" customHeight="1" x14ac:dyDescent="0.2">
      <c r="A455" s="208"/>
      <c r="B455" s="401"/>
      <c r="C455" s="402"/>
      <c r="D455" s="243" t="s">
        <v>303</v>
      </c>
      <c r="E455" s="210"/>
      <c r="F455" s="345"/>
      <c r="G455" s="210"/>
      <c r="H455" s="314"/>
    </row>
    <row r="456" spans="1:9" s="274" customFormat="1" ht="12.75" customHeight="1" x14ac:dyDescent="0.2">
      <c r="A456" s="208"/>
      <c r="B456" s="401"/>
      <c r="C456" s="402"/>
      <c r="D456" s="243" t="s">
        <v>314</v>
      </c>
      <c r="E456" s="210"/>
      <c r="F456" s="345">
        <v>8</v>
      </c>
      <c r="G456" s="210"/>
      <c r="H456" s="314"/>
      <c r="I456" s="197"/>
    </row>
    <row r="457" spans="1:9" s="274" customFormat="1" ht="12.75" hidden="1" customHeight="1" x14ac:dyDescent="0.2">
      <c r="A457" s="208"/>
      <c r="B457" s="209"/>
      <c r="C457" s="229"/>
      <c r="D457" s="243" t="s">
        <v>276</v>
      </c>
      <c r="E457" s="210"/>
      <c r="F457" s="345"/>
      <c r="G457" s="210"/>
      <c r="H457" s="314"/>
      <c r="I457" s="335"/>
    </row>
    <row r="458" spans="1:9" s="274" customFormat="1" ht="12.75" hidden="1" customHeight="1" x14ac:dyDescent="0.2">
      <c r="A458" s="208"/>
      <c r="B458" s="209"/>
      <c r="C458" s="229"/>
      <c r="D458" s="243" t="s">
        <v>364</v>
      </c>
      <c r="E458" s="210"/>
      <c r="F458" s="345"/>
      <c r="G458" s="210"/>
      <c r="H458" s="314"/>
      <c r="I458" s="337"/>
    </row>
    <row r="459" spans="1:9" s="274" customFormat="1" ht="12.75" hidden="1" customHeight="1" x14ac:dyDescent="0.2">
      <c r="A459" s="208"/>
      <c r="B459" s="209"/>
      <c r="C459" s="229"/>
      <c r="D459" s="295" t="s">
        <v>349</v>
      </c>
      <c r="E459" s="210"/>
      <c r="F459" s="345"/>
      <c r="G459" s="210"/>
      <c r="H459" s="314"/>
      <c r="I459" s="335"/>
    </row>
    <row r="460" spans="1:9" ht="12.75" customHeight="1" x14ac:dyDescent="0.2">
      <c r="A460" s="201"/>
      <c r="D460" s="298"/>
      <c r="F460" s="347"/>
      <c r="H460" s="315"/>
    </row>
    <row r="461" spans="1:9" ht="12.75" customHeight="1" thickBot="1" x14ac:dyDescent="0.25">
      <c r="B461" s="200"/>
      <c r="C461" s="227"/>
      <c r="D461" s="298" t="s">
        <v>201</v>
      </c>
      <c r="E461" s="212">
        <f>SUBTOTAL(109,E5:E460)</f>
        <v>17559031.779999994</v>
      </c>
      <c r="F461" s="212">
        <f>SUBTOTAL(109,F5:F460)</f>
        <v>2278.91</v>
      </c>
      <c r="G461" s="212">
        <f>ROUND(SUM(G5:G460),2)</f>
        <v>17561310.690000001</v>
      </c>
    </row>
    <row r="462" spans="1:9" ht="12.75" hidden="1" customHeight="1" thickTop="1" x14ac:dyDescent="0.2">
      <c r="B462" s="200"/>
      <c r="C462" s="227"/>
      <c r="G462" s="211">
        <f>ROUND(G461-E461-F461,2)</f>
        <v>0</v>
      </c>
    </row>
    <row r="463" spans="1:9" ht="12.75" hidden="1" customHeight="1" x14ac:dyDescent="0.2">
      <c r="B463" s="200"/>
      <c r="C463" s="227"/>
    </row>
    <row r="464" spans="1:9" ht="12.75" hidden="1" customHeight="1" x14ac:dyDescent="0.2">
      <c r="B464" s="200"/>
      <c r="C464" s="227"/>
    </row>
    <row r="465" spans="1:10" ht="12.75" hidden="1" customHeight="1" x14ac:dyDescent="0.2">
      <c r="B465" s="200"/>
      <c r="C465" s="227"/>
    </row>
    <row r="466" spans="1:10" ht="12.75" customHeight="1" thickTop="1" x14ac:dyDescent="0.2">
      <c r="B466" s="200"/>
      <c r="C466" s="227"/>
    </row>
    <row r="467" spans="1:10" ht="12.75" customHeight="1" x14ac:dyDescent="0.2">
      <c r="B467" s="200"/>
      <c r="C467" s="227"/>
    </row>
    <row r="468" spans="1:10" ht="12.75" customHeight="1" x14ac:dyDescent="0.2">
      <c r="A468" s="284"/>
      <c r="B468" s="200"/>
      <c r="C468" s="255"/>
      <c r="D468" s="284" t="s">
        <v>273</v>
      </c>
      <c r="E468" s="211">
        <f>Consolidated!I134</f>
        <v>17559031.779999994</v>
      </c>
      <c r="G468" s="211">
        <f t="shared" ref="G468:G473" si="0">E468+F468</f>
        <v>17559031.779999994</v>
      </c>
      <c r="J468" s="211"/>
    </row>
    <row r="469" spans="1:10" ht="12.75" hidden="1" customHeight="1" x14ac:dyDescent="0.2">
      <c r="D469" s="206" t="s">
        <v>302</v>
      </c>
      <c r="F469" s="273">
        <f t="shared" ref="F469:F487" si="1">SUM(SUMIF(D$5:D$460,D469,F$5:F$460))</f>
        <v>0</v>
      </c>
      <c r="G469" s="211">
        <f t="shared" si="0"/>
        <v>0</v>
      </c>
      <c r="J469" s="211"/>
    </row>
    <row r="470" spans="1:10" ht="12.75" hidden="1" customHeight="1" x14ac:dyDescent="0.2">
      <c r="D470" s="397" t="s">
        <v>385</v>
      </c>
      <c r="F470" s="273">
        <f t="shared" si="1"/>
        <v>0</v>
      </c>
      <c r="G470" s="211">
        <f t="shared" si="0"/>
        <v>0</v>
      </c>
      <c r="J470" s="211"/>
    </row>
    <row r="471" spans="1:10" ht="12.75" hidden="1" customHeight="1" x14ac:dyDescent="0.2">
      <c r="D471" s="206" t="s">
        <v>372</v>
      </c>
      <c r="F471" s="273">
        <f t="shared" si="1"/>
        <v>0</v>
      </c>
      <c r="G471" s="211">
        <f t="shared" si="0"/>
        <v>0</v>
      </c>
      <c r="J471" s="211"/>
    </row>
    <row r="472" spans="1:10" ht="12.75" hidden="1" customHeight="1" x14ac:dyDescent="0.2">
      <c r="D472" s="206" t="s">
        <v>373</v>
      </c>
      <c r="F472" s="273">
        <f t="shared" si="1"/>
        <v>0</v>
      </c>
      <c r="G472" s="211">
        <f t="shared" si="0"/>
        <v>0</v>
      </c>
      <c r="J472" s="211"/>
    </row>
    <row r="473" spans="1:10" ht="12.75" hidden="1" customHeight="1" x14ac:dyDescent="0.2">
      <c r="D473" s="392" t="s">
        <v>370</v>
      </c>
      <c r="F473" s="273">
        <f t="shared" si="1"/>
        <v>0</v>
      </c>
      <c r="G473" s="211">
        <f t="shared" si="0"/>
        <v>0</v>
      </c>
      <c r="J473" s="211"/>
    </row>
    <row r="474" spans="1:10" ht="12.75" hidden="1" customHeight="1" x14ac:dyDescent="0.2">
      <c r="D474" s="206" t="s">
        <v>304</v>
      </c>
      <c r="F474" s="273">
        <f t="shared" si="1"/>
        <v>0</v>
      </c>
      <c r="G474" s="211">
        <f t="shared" ref="G474:G479" si="2">E474+F474</f>
        <v>0</v>
      </c>
    </row>
    <row r="475" spans="1:10" ht="12.75" hidden="1" customHeight="1" x14ac:dyDescent="0.2">
      <c r="D475" s="206" t="s">
        <v>359</v>
      </c>
      <c r="F475" s="273">
        <f t="shared" si="1"/>
        <v>0</v>
      </c>
      <c r="G475" s="211">
        <f t="shared" si="2"/>
        <v>0</v>
      </c>
    </row>
    <row r="476" spans="1:10" ht="12.75" customHeight="1" x14ac:dyDescent="0.2">
      <c r="D476" s="197" t="s">
        <v>314</v>
      </c>
      <c r="F476" s="273">
        <f t="shared" si="1"/>
        <v>4461</v>
      </c>
      <c r="G476" s="211">
        <f t="shared" si="2"/>
        <v>4461</v>
      </c>
    </row>
    <row r="477" spans="1:10" s="274" customFormat="1" ht="12.75" hidden="1" customHeight="1" x14ac:dyDescent="0.2">
      <c r="A477" s="204"/>
      <c r="B477" s="205"/>
      <c r="C477" s="228"/>
      <c r="D477" s="206" t="s">
        <v>276</v>
      </c>
      <c r="E477" s="207"/>
      <c r="F477" s="273">
        <f t="shared" si="1"/>
        <v>0</v>
      </c>
      <c r="G477" s="211">
        <f t="shared" si="2"/>
        <v>0</v>
      </c>
      <c r="H477" s="314"/>
      <c r="I477" s="335"/>
    </row>
    <row r="478" spans="1:10" ht="12.75" hidden="1" customHeight="1" x14ac:dyDescent="0.2">
      <c r="D478" s="331" t="s">
        <v>318</v>
      </c>
      <c r="F478" s="273">
        <f t="shared" si="1"/>
        <v>0</v>
      </c>
      <c r="G478" s="211">
        <f t="shared" si="2"/>
        <v>0</v>
      </c>
    </row>
    <row r="479" spans="1:10" ht="12.75" hidden="1" customHeight="1" x14ac:dyDescent="0.2">
      <c r="D479" s="331" t="s">
        <v>308</v>
      </c>
      <c r="F479" s="273">
        <f t="shared" si="1"/>
        <v>0</v>
      </c>
      <c r="G479" s="211">
        <f t="shared" si="2"/>
        <v>0</v>
      </c>
    </row>
    <row r="480" spans="1:10" ht="12.75" hidden="1" customHeight="1" x14ac:dyDescent="0.2">
      <c r="D480" s="197" t="s">
        <v>247</v>
      </c>
      <c r="F480" s="273">
        <f t="shared" si="1"/>
        <v>0</v>
      </c>
      <c r="G480" s="211">
        <f t="shared" ref="G480:G488" si="3">E480+F480</f>
        <v>0</v>
      </c>
    </row>
    <row r="481" spans="1:9" ht="12.75" customHeight="1" x14ac:dyDescent="0.2">
      <c r="D481" s="197" t="s">
        <v>248</v>
      </c>
      <c r="F481" s="273">
        <f t="shared" si="1"/>
        <v>-287.2</v>
      </c>
      <c r="G481" s="211">
        <f t="shared" si="3"/>
        <v>-287.2</v>
      </c>
    </row>
    <row r="482" spans="1:9" ht="12.75" customHeight="1" x14ac:dyDescent="0.2">
      <c r="D482" s="255" t="s">
        <v>517</v>
      </c>
      <c r="F482" s="273">
        <f t="shared" si="1"/>
        <v>-188.96</v>
      </c>
      <c r="G482" s="211">
        <f t="shared" si="3"/>
        <v>-188.96</v>
      </c>
    </row>
    <row r="483" spans="1:9" ht="12.75" customHeight="1" x14ac:dyDescent="0.2">
      <c r="D483" s="197" t="s">
        <v>342</v>
      </c>
      <c r="F483" s="273">
        <f t="shared" si="1"/>
        <v>-180</v>
      </c>
      <c r="G483" s="211">
        <f t="shared" si="3"/>
        <v>-180</v>
      </c>
    </row>
    <row r="484" spans="1:9" s="274" customFormat="1" ht="12.75" hidden="1" customHeight="1" x14ac:dyDescent="0.2">
      <c r="A484" s="204"/>
      <c r="B484" s="205"/>
      <c r="C484" s="228"/>
      <c r="D484" s="206" t="s">
        <v>316</v>
      </c>
      <c r="E484" s="207"/>
      <c r="F484" s="273">
        <f t="shared" si="1"/>
        <v>0</v>
      </c>
      <c r="G484" s="211">
        <f t="shared" si="3"/>
        <v>0</v>
      </c>
      <c r="H484" s="314"/>
      <c r="I484" s="197"/>
    </row>
    <row r="485" spans="1:9" ht="12.75" hidden="1" customHeight="1" x14ac:dyDescent="0.2">
      <c r="D485" s="255" t="s">
        <v>363</v>
      </c>
      <c r="F485" s="273">
        <f t="shared" si="1"/>
        <v>0</v>
      </c>
      <c r="G485" s="211">
        <f t="shared" si="3"/>
        <v>0</v>
      </c>
    </row>
    <row r="486" spans="1:9" ht="12.75" hidden="1" customHeight="1" x14ac:dyDescent="0.2">
      <c r="D486" s="255" t="s">
        <v>362</v>
      </c>
      <c r="F486" s="273">
        <f t="shared" si="1"/>
        <v>0</v>
      </c>
      <c r="G486" s="211">
        <f t="shared" si="3"/>
        <v>0</v>
      </c>
    </row>
    <row r="487" spans="1:9" ht="12.75" hidden="1" customHeight="1" x14ac:dyDescent="0.2">
      <c r="D487" s="255" t="s">
        <v>364</v>
      </c>
      <c r="F487" s="273">
        <f t="shared" si="1"/>
        <v>0</v>
      </c>
      <c r="G487" s="211">
        <f t="shared" si="3"/>
        <v>0</v>
      </c>
    </row>
    <row r="488" spans="1:9" ht="12.75" customHeight="1" x14ac:dyDescent="0.2">
      <c r="D488" s="206" t="s">
        <v>254</v>
      </c>
      <c r="F488" s="348">
        <f>SUM(SUMIF(D$5:D$460,"*WPB*",F$5:F$460))</f>
        <v>-1525.9299999999998</v>
      </c>
      <c r="G488" s="211">
        <f t="shared" si="3"/>
        <v>-1525.9299999999998</v>
      </c>
    </row>
    <row r="489" spans="1:9" ht="12.75" customHeight="1" x14ac:dyDescent="0.2">
      <c r="D489" s="206"/>
      <c r="F489" s="348"/>
      <c r="G489" s="211"/>
    </row>
    <row r="490" spans="1:9" ht="12.75" customHeight="1" thickBot="1" x14ac:dyDescent="0.25">
      <c r="D490" s="301" t="s">
        <v>268</v>
      </c>
      <c r="E490" s="212">
        <f>SUM(E468:E489)</f>
        <v>17559031.779999994</v>
      </c>
      <c r="F490" s="212">
        <f>SUM(F468:F489)</f>
        <v>2278.9100000000003</v>
      </c>
      <c r="G490" s="212">
        <f>SUM(G468:G489)</f>
        <v>17561310.689999994</v>
      </c>
    </row>
    <row r="491" spans="1:9" ht="12.75" customHeight="1" thickTop="1" x14ac:dyDescent="0.2">
      <c r="E491" s="211">
        <f>E490-E461</f>
        <v>0</v>
      </c>
      <c r="F491" s="211">
        <f>ROUND(F490-F461,2)</f>
        <v>0</v>
      </c>
      <c r="G491" s="211">
        <f>G490-G461</f>
        <v>0</v>
      </c>
    </row>
    <row r="492" spans="1:9" ht="12.75" customHeight="1" thickBot="1" x14ac:dyDescent="0.25">
      <c r="E492" s="211"/>
      <c r="F492" s="211"/>
      <c r="G492" s="211"/>
      <c r="I492" s="326"/>
    </row>
    <row r="493" spans="1:9" ht="12.75" customHeight="1" thickBot="1" x14ac:dyDescent="0.25">
      <c r="C493" s="572" t="s">
        <v>301</v>
      </c>
      <c r="D493" s="573"/>
      <c r="E493" s="573"/>
      <c r="F493" s="574"/>
      <c r="G493" s="326"/>
      <c r="H493" s="326"/>
      <c r="I493" s="274"/>
    </row>
    <row r="494" spans="1:9" ht="12.75" customHeight="1" x14ac:dyDescent="0.2">
      <c r="C494" s="387"/>
      <c r="D494" s="388"/>
      <c r="E494" s="388"/>
      <c r="F494" s="389"/>
      <c r="G494" s="326"/>
      <c r="H494" s="326"/>
      <c r="I494" s="274"/>
    </row>
    <row r="495" spans="1:9" ht="12.75" customHeight="1" x14ac:dyDescent="0.2">
      <c r="C495" s="478" t="s">
        <v>522</v>
      </c>
      <c r="D495" s="388"/>
      <c r="E495" s="388"/>
      <c r="F495" s="389"/>
      <c r="G495" s="326"/>
      <c r="H495" s="326"/>
      <c r="I495" s="274"/>
    </row>
    <row r="496" spans="1:9" ht="12.75" customHeight="1" x14ac:dyDescent="0.2">
      <c r="C496" s="478"/>
      <c r="D496" s="388"/>
      <c r="E496" s="388"/>
      <c r="F496" s="389"/>
      <c r="G496" s="326"/>
      <c r="H496" s="326"/>
      <c r="I496" s="274"/>
    </row>
    <row r="497" spans="3:9" ht="12.75" customHeight="1" x14ac:dyDescent="0.2">
      <c r="C497" s="478" t="s">
        <v>523</v>
      </c>
      <c r="D497" s="388"/>
      <c r="E497" s="388"/>
      <c r="F497" s="389"/>
      <c r="G497" s="326"/>
      <c r="H497" s="326"/>
      <c r="I497" s="274"/>
    </row>
    <row r="498" spans="3:9" ht="12.75" customHeight="1" x14ac:dyDescent="0.2">
      <c r="C498" s="405" t="s">
        <v>525</v>
      </c>
      <c r="D498" s="388"/>
      <c r="E498" s="388"/>
      <c r="F498" s="389"/>
      <c r="G498" s="326"/>
      <c r="H498" s="326"/>
      <c r="I498" s="274"/>
    </row>
    <row r="499" spans="3:9" ht="12.75" customHeight="1" x14ac:dyDescent="0.2">
      <c r="C499" s="405" t="s">
        <v>524</v>
      </c>
      <c r="D499" s="388"/>
      <c r="E499" s="388"/>
      <c r="F499" s="389"/>
      <c r="G499" s="326"/>
      <c r="H499" s="326"/>
      <c r="I499" s="274"/>
    </row>
    <row r="500" spans="3:9" ht="12.75" customHeight="1" x14ac:dyDescent="0.2">
      <c r="C500" s="478"/>
      <c r="D500" s="388"/>
      <c r="E500" s="388"/>
      <c r="F500" s="389"/>
      <c r="G500" s="326"/>
      <c r="H500" s="326"/>
      <c r="I500" s="274"/>
    </row>
    <row r="501" spans="3:9" ht="12.75" customHeight="1" x14ac:dyDescent="0.2">
      <c r="C501" s="478" t="s">
        <v>532</v>
      </c>
      <c r="D501" s="388"/>
      <c r="E501" s="388"/>
      <c r="F501" s="389"/>
      <c r="G501" s="326"/>
      <c r="H501" s="326"/>
      <c r="I501" s="274"/>
    </row>
    <row r="502" spans="3:9" ht="12.75" customHeight="1" x14ac:dyDescent="0.2">
      <c r="C502" s="405" t="s">
        <v>526</v>
      </c>
      <c r="D502" s="388"/>
      <c r="E502" s="388"/>
      <c r="F502" s="389"/>
      <c r="G502" s="326"/>
      <c r="H502" s="326"/>
      <c r="I502" s="274"/>
    </row>
    <row r="503" spans="3:9" ht="12.75" customHeight="1" x14ac:dyDescent="0.2">
      <c r="C503" s="405" t="s">
        <v>527</v>
      </c>
      <c r="D503" s="388"/>
      <c r="E503" s="388"/>
      <c r="F503" s="389"/>
      <c r="G503" s="326"/>
      <c r="H503" s="326"/>
      <c r="I503" s="274"/>
    </row>
    <row r="504" spans="3:9" ht="12.75" customHeight="1" x14ac:dyDescent="0.2">
      <c r="C504" s="405" t="s">
        <v>528</v>
      </c>
      <c r="D504" s="388"/>
      <c r="E504" s="388"/>
      <c r="F504" s="389"/>
      <c r="G504" s="326"/>
      <c r="H504" s="326"/>
      <c r="I504" s="274"/>
    </row>
    <row r="505" spans="3:9" ht="12.75" customHeight="1" x14ac:dyDescent="0.2">
      <c r="C505" s="405" t="s">
        <v>529</v>
      </c>
      <c r="D505" s="388"/>
      <c r="E505" s="388"/>
      <c r="F505" s="389"/>
      <c r="G505" s="326"/>
      <c r="H505" s="326"/>
      <c r="I505" s="274"/>
    </row>
    <row r="506" spans="3:9" ht="12.75" customHeight="1" x14ac:dyDescent="0.2">
      <c r="C506" s="405" t="s">
        <v>530</v>
      </c>
      <c r="D506" s="388"/>
      <c r="E506" s="388"/>
      <c r="F506" s="389"/>
      <c r="G506" s="326"/>
      <c r="H506" s="326"/>
      <c r="I506" s="274"/>
    </row>
    <row r="507" spans="3:9" ht="12.75" customHeight="1" x14ac:dyDescent="0.2">
      <c r="C507" s="405"/>
      <c r="D507" s="388"/>
      <c r="E507" s="388"/>
      <c r="F507" s="389"/>
      <c r="G507" s="326"/>
      <c r="H507" s="326"/>
      <c r="I507" s="274"/>
    </row>
    <row r="508" spans="3:9" ht="12.75" customHeight="1" x14ac:dyDescent="0.2">
      <c r="C508" s="405" t="s">
        <v>531</v>
      </c>
      <c r="D508" s="388"/>
      <c r="E508" s="388"/>
      <c r="F508" s="389"/>
      <c r="G508" s="326"/>
      <c r="H508" s="326"/>
      <c r="I508" s="274"/>
    </row>
    <row r="509" spans="3:9" ht="12.75" customHeight="1" thickBot="1" x14ac:dyDescent="0.25">
      <c r="C509" s="404"/>
      <c r="D509" s="390"/>
      <c r="E509" s="390"/>
      <c r="F509" s="391"/>
      <c r="G509" s="265"/>
      <c r="H509" s="265"/>
    </row>
    <row r="513" spans="5:11" ht="12.75" customHeight="1" x14ac:dyDescent="0.2">
      <c r="K513" s="313"/>
    </row>
    <row r="514" spans="5:11" ht="12.75" customHeight="1" x14ac:dyDescent="0.2">
      <c r="K514" s="313"/>
    </row>
    <row r="520" spans="5:11" ht="12.75" customHeight="1" x14ac:dyDescent="0.2">
      <c r="E520" s="313"/>
      <c r="F520" s="197"/>
      <c r="H520" s="197"/>
    </row>
    <row r="521" spans="5:11" ht="12.75" customHeight="1" x14ac:dyDescent="0.2">
      <c r="E521" s="313"/>
      <c r="F521" s="197"/>
      <c r="H521" s="197"/>
    </row>
  </sheetData>
  <mergeCells count="2">
    <mergeCell ref="F3:G3"/>
    <mergeCell ref="C493:F493"/>
  </mergeCells>
  <conditionalFormatting sqref="A5:A460">
    <cfRule type="cellIs" dxfId="13" priority="1" operator="equal">
      <formula>0</formula>
    </cfRule>
  </conditionalFormatting>
  <conditionalFormatting sqref="A477">
    <cfRule type="cellIs" dxfId="12" priority="178" operator="equal">
      <formula>0</formula>
    </cfRule>
  </conditionalFormatting>
  <conditionalFormatting sqref="A484">
    <cfRule type="cellIs" dxfId="11" priority="307" operator="equal">
      <formula>0</formula>
    </cfRule>
  </conditionalFormatting>
  <conditionalFormatting sqref="H469:H476 H478:H483">
    <cfRule type="cellIs" dxfId="10" priority="301" stopIfTrue="1" operator="notEqual">
      <formula>0</formula>
    </cfRule>
    <cfRule type="cellIs" dxfId="9" priority="302" stopIfTrue="1" operator="equal">
      <formula>0</formula>
    </cfRule>
  </conditionalFormatting>
  <conditionalFormatting sqref="H485:H489">
    <cfRule type="cellIs" dxfId="8" priority="299" stopIfTrue="1" operator="notEqual">
      <formula>0</formula>
    </cfRule>
    <cfRule type="cellIs" dxfId="7" priority="300" stopIfTrue="1" operator="equal">
      <formula>0</formula>
    </cfRule>
  </conditionalFormatting>
  <pageMargins left="1" right="0.1" top="0.5" bottom="0.5" header="0" footer="0.1"/>
  <pageSetup scale="85" fitToHeight="3" orientation="portrait" r:id="rId1"/>
  <headerFooter>
    <oddFooter>&amp;L&amp;8&amp;Z&amp;F&amp;R&amp;8&amp;P / &amp;N</oddFooter>
  </headerFooter>
  <rowBreaks count="1" manualBreakCount="1">
    <brk id="466" max="16383" man="1"/>
  </rowBreaks>
  <colBreaks count="1" manualBreakCount="1">
    <brk id="7"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CCC"/>
    <pageSetUpPr fitToPage="1"/>
  </sheetPr>
  <dimension ref="A1:V209"/>
  <sheetViews>
    <sheetView showGridLines="0" zoomScaleNormal="100" workbookViewId="0">
      <pane ySplit="1" topLeftCell="A102"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126</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0.5</v>
      </c>
      <c r="D15" s="151">
        <v>0.55000000000000004</v>
      </c>
      <c r="E15" s="117">
        <f t="shared" ref="E15:E29" si="1">IF(D$30=0,C15*2,C15+D15)</f>
        <v>1.05</v>
      </c>
      <c r="F15" s="622">
        <f>'0664'!F15:G15</f>
        <v>1.1220000000000001</v>
      </c>
      <c r="G15" s="622"/>
      <c r="H15" s="81">
        <f t="shared" ref="H15:H29" si="2">ROUND(E15*F15,4)</f>
        <v>1.1780999999999999</v>
      </c>
      <c r="I15" s="102">
        <f t="shared" ref="I15:I29" si="3">ROUND(ROUND(ROUND(H15*$C$8,4)*($H$8),2)*(MAX($H$9,1)),2)</f>
        <v>6322.75</v>
      </c>
      <c r="J15" s="66"/>
      <c r="N15" s="635" t="s">
        <v>21</v>
      </c>
      <c r="O15" s="635"/>
      <c r="P15" s="636">
        <f t="shared" si="0"/>
        <v>1.05</v>
      </c>
      <c r="Q15" s="636"/>
      <c r="R15" s="637">
        <v>1</v>
      </c>
      <c r="S15" s="637"/>
      <c r="T15" s="96">
        <f t="shared" ref="T15:T29" si="4">ROUND(P15*R15,4)</f>
        <v>1.05</v>
      </c>
      <c r="U15" s="97">
        <f t="shared" ref="U15:U29" si="5">ROUND(ROUND(ROUND(T15*$C$8,4)*($H$8),2)*(MAX($H$9,1)),2)</f>
        <v>5635.25</v>
      </c>
    </row>
    <row r="16" spans="1:21" x14ac:dyDescent="0.25">
      <c r="A16" s="586" t="s">
        <v>22</v>
      </c>
      <c r="B16" s="586"/>
      <c r="C16" s="151">
        <v>0</v>
      </c>
      <c r="D16" s="151">
        <v>0</v>
      </c>
      <c r="E16" s="117">
        <f t="shared" si="1"/>
        <v>0</v>
      </c>
      <c r="F16" s="622">
        <f>'0664'!F16:G16</f>
        <v>1</v>
      </c>
      <c r="G16" s="622"/>
      <c r="H16" s="81">
        <f t="shared" si="2"/>
        <v>0</v>
      </c>
      <c r="I16" s="102">
        <f t="shared" si="3"/>
        <v>0</v>
      </c>
      <c r="N16" s="635" t="s">
        <v>22</v>
      </c>
      <c r="O16" s="635"/>
      <c r="P16" s="636">
        <f t="shared" si="0"/>
        <v>0</v>
      </c>
      <c r="Q16" s="636"/>
      <c r="R16" s="637">
        <v>1</v>
      </c>
      <c r="S16" s="637"/>
      <c r="T16" s="96">
        <f t="shared" si="4"/>
        <v>0</v>
      </c>
      <c r="U16" s="97">
        <f t="shared" si="5"/>
        <v>0</v>
      </c>
    </row>
    <row r="17" spans="1:21" x14ac:dyDescent="0.25">
      <c r="A17" s="586" t="s">
        <v>23</v>
      </c>
      <c r="B17" s="586"/>
      <c r="C17" s="151">
        <v>0</v>
      </c>
      <c r="D17" s="151">
        <v>0</v>
      </c>
      <c r="E17" s="117">
        <f t="shared" si="1"/>
        <v>0</v>
      </c>
      <c r="F17" s="622">
        <f>'0664'!F17:G17</f>
        <v>1</v>
      </c>
      <c r="G17" s="622"/>
      <c r="H17" s="81">
        <f t="shared" si="2"/>
        <v>0</v>
      </c>
      <c r="I17" s="102">
        <f t="shared" si="3"/>
        <v>0</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1.5</v>
      </c>
      <c r="D20" s="151">
        <v>1.5</v>
      </c>
      <c r="E20" s="117">
        <f t="shared" si="1"/>
        <v>3</v>
      </c>
      <c r="F20" s="622">
        <f>'0664'!F20:G20</f>
        <v>3.706</v>
      </c>
      <c r="G20" s="622"/>
      <c r="H20" s="81">
        <f t="shared" si="2"/>
        <v>11.118</v>
      </c>
      <c r="I20" s="102">
        <f t="shared" si="3"/>
        <v>59669.26</v>
      </c>
      <c r="N20" s="635" t="s">
        <v>85</v>
      </c>
      <c r="O20" s="635"/>
      <c r="P20" s="636">
        <f t="shared" si="0"/>
        <v>3</v>
      </c>
      <c r="Q20" s="636"/>
      <c r="R20" s="637">
        <v>1</v>
      </c>
      <c r="S20" s="637"/>
      <c r="T20" s="96">
        <f t="shared" si="4"/>
        <v>3</v>
      </c>
      <c r="U20" s="97">
        <f t="shared" si="5"/>
        <v>16100.72</v>
      </c>
    </row>
    <row r="21" spans="1:21" x14ac:dyDescent="0.25">
      <c r="A21" s="586" t="s">
        <v>86</v>
      </c>
      <c r="B21" s="586"/>
      <c r="C21" s="151">
        <v>4</v>
      </c>
      <c r="D21" s="151">
        <v>4</v>
      </c>
      <c r="E21" s="117">
        <f t="shared" si="1"/>
        <v>8</v>
      </c>
      <c r="F21" s="622">
        <f>'0664'!F21:G21</f>
        <v>3.706</v>
      </c>
      <c r="G21" s="622"/>
      <c r="H21" s="81">
        <f t="shared" si="2"/>
        <v>29.648</v>
      </c>
      <c r="I21" s="102">
        <f t="shared" si="3"/>
        <v>159118.03</v>
      </c>
      <c r="N21" s="635" t="s">
        <v>86</v>
      </c>
      <c r="O21" s="635"/>
      <c r="P21" s="636">
        <f t="shared" si="0"/>
        <v>8</v>
      </c>
      <c r="Q21" s="636"/>
      <c r="R21" s="637">
        <v>1</v>
      </c>
      <c r="S21" s="637"/>
      <c r="T21" s="96">
        <f t="shared" si="4"/>
        <v>8</v>
      </c>
      <c r="U21" s="97">
        <f t="shared" si="5"/>
        <v>42935.25</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2.5</v>
      </c>
      <c r="D23" s="151">
        <v>3</v>
      </c>
      <c r="E23" s="117">
        <f t="shared" si="1"/>
        <v>5.5</v>
      </c>
      <c r="F23" s="622">
        <f>'0664'!F23:G23</f>
        <v>5.7069999999999999</v>
      </c>
      <c r="G23" s="622"/>
      <c r="H23" s="81">
        <f t="shared" si="2"/>
        <v>31.388500000000001</v>
      </c>
      <c r="I23" s="102">
        <f t="shared" si="3"/>
        <v>168459.13</v>
      </c>
      <c r="N23" s="635" t="s">
        <v>88</v>
      </c>
      <c r="O23" s="635"/>
      <c r="P23" s="636">
        <f t="shared" si="0"/>
        <v>5.5</v>
      </c>
      <c r="Q23" s="636"/>
      <c r="R23" s="637">
        <v>1</v>
      </c>
      <c r="S23" s="637"/>
      <c r="T23" s="96">
        <f t="shared" si="4"/>
        <v>5.5</v>
      </c>
      <c r="U23" s="97">
        <f t="shared" si="5"/>
        <v>29517.98</v>
      </c>
    </row>
    <row r="24" spans="1:21" x14ac:dyDescent="0.25">
      <c r="A24" s="586" t="s">
        <v>89</v>
      </c>
      <c r="B24" s="586"/>
      <c r="C24" s="151">
        <v>5</v>
      </c>
      <c r="D24" s="151">
        <v>4.5</v>
      </c>
      <c r="E24" s="117">
        <f t="shared" si="1"/>
        <v>9.5</v>
      </c>
      <c r="F24" s="622">
        <f>'0664'!F24:G24</f>
        <v>5.7069999999999999</v>
      </c>
      <c r="G24" s="622"/>
      <c r="H24" s="81">
        <f t="shared" si="2"/>
        <v>54.216500000000003</v>
      </c>
      <c r="I24" s="102">
        <f t="shared" si="3"/>
        <v>290974.86</v>
      </c>
      <c r="N24" s="635" t="s">
        <v>89</v>
      </c>
      <c r="O24" s="635"/>
      <c r="P24" s="636">
        <f t="shared" si="0"/>
        <v>9.5</v>
      </c>
      <c r="Q24" s="636"/>
      <c r="R24" s="637">
        <v>1</v>
      </c>
      <c r="S24" s="637"/>
      <c r="T24" s="96">
        <f t="shared" si="4"/>
        <v>9.5</v>
      </c>
      <c r="U24" s="97">
        <f t="shared" si="5"/>
        <v>50985.61</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0</v>
      </c>
      <c r="D27" s="151">
        <v>0</v>
      </c>
      <c r="E27" s="117">
        <f t="shared" si="1"/>
        <v>0</v>
      </c>
      <c r="F27" s="622">
        <f>'0664'!F27:G27</f>
        <v>1.208</v>
      </c>
      <c r="G27" s="622"/>
      <c r="H27" s="81">
        <f t="shared" si="2"/>
        <v>0</v>
      </c>
      <c r="I27" s="102">
        <f t="shared" si="3"/>
        <v>0</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13.5</v>
      </c>
      <c r="D30" s="95">
        <f>SUM(D14:D29)</f>
        <v>13.55</v>
      </c>
      <c r="E30" s="95">
        <f>SUM(E14:E29)</f>
        <v>27.05</v>
      </c>
      <c r="F30" s="609"/>
      <c r="G30" s="609"/>
      <c r="H30" s="100">
        <f>SUM(H14:H29)</f>
        <v>127.54910000000001</v>
      </c>
      <c r="I30" s="95">
        <f>SUM(I14:I29)</f>
        <v>684544.03</v>
      </c>
      <c r="N30" s="654" t="s">
        <v>5</v>
      </c>
      <c r="O30" s="654"/>
      <c r="P30" s="655">
        <f>SUM(P14:P29)</f>
        <v>27.05</v>
      </c>
      <c r="Q30" s="655"/>
      <c r="R30" s="656"/>
      <c r="S30" s="656"/>
      <c r="T30" s="101">
        <f>SUM(T14:T29)</f>
        <v>27.05</v>
      </c>
      <c r="U30" s="97">
        <f>SUM(U14:U29)</f>
        <v>145174.81</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127.54910000000001</v>
      </c>
      <c r="F46" s="34"/>
      <c r="G46" s="107"/>
      <c r="H46" s="108" t="s">
        <v>104</v>
      </c>
      <c r="I46" s="95">
        <f>SUM(I44,I30)</f>
        <v>684544.03</v>
      </c>
      <c r="N46" s="680" t="s">
        <v>44</v>
      </c>
      <c r="O46" s="680"/>
      <c r="P46" s="680"/>
      <c r="Q46" s="680"/>
      <c r="R46" s="35">
        <f>R44+T30</f>
        <v>27.05</v>
      </c>
      <c r="S46" s="656" t="s">
        <v>42</v>
      </c>
      <c r="T46" s="656"/>
      <c r="U46" s="109">
        <f>SUM(U44,U30)</f>
        <v>145174.81</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684544.03</v>
      </c>
      <c r="G51" s="110" t="s">
        <v>6</v>
      </c>
      <c r="H51" s="425">
        <v>4.5199999999999997E-2</v>
      </c>
      <c r="I51" s="102">
        <f>ROUND(F51*H51,2)</f>
        <v>30941.39</v>
      </c>
      <c r="N51" s="430"/>
      <c r="O51" s="431" t="s">
        <v>456</v>
      </c>
      <c r="P51" s="28"/>
      <c r="Q51" s="45" t="s">
        <v>457</v>
      </c>
      <c r="R51" s="432">
        <f>U30</f>
        <v>145174.81</v>
      </c>
      <c r="S51" s="433" t="s">
        <v>6</v>
      </c>
      <c r="T51" s="434">
        <v>4.5199999999999997E-2</v>
      </c>
      <c r="U51" s="426">
        <f>ROUND(R51*T51,2)</f>
        <v>6561.9</v>
      </c>
    </row>
    <row r="52" spans="1:22" x14ac:dyDescent="0.25">
      <c r="A52" s="26"/>
      <c r="B52" s="82" t="s">
        <v>458</v>
      </c>
      <c r="C52" s="26"/>
      <c r="D52" s="26"/>
      <c r="E52" s="44" t="s">
        <v>457</v>
      </c>
      <c r="F52" s="424">
        <f>I46</f>
        <v>684544.03</v>
      </c>
      <c r="G52" s="110" t="s">
        <v>6</v>
      </c>
      <c r="H52" s="425">
        <v>1.41E-2</v>
      </c>
      <c r="I52" s="102">
        <f>ROUND(F52*H52,2)</f>
        <v>9652.07</v>
      </c>
      <c r="N52" s="28"/>
      <c r="O52" s="406" t="s">
        <v>458</v>
      </c>
      <c r="P52" s="28"/>
      <c r="Q52" s="45" t="s">
        <v>457</v>
      </c>
      <c r="R52" s="432">
        <f>U30</f>
        <v>145174.81</v>
      </c>
      <c r="S52" s="433" t="s">
        <v>6</v>
      </c>
      <c r="T52" s="434">
        <v>1.41E-2</v>
      </c>
      <c r="U52" s="435">
        <f>ROUND(R52*T52,2)</f>
        <v>2046.96</v>
      </c>
    </row>
    <row r="53" spans="1:22" x14ac:dyDescent="0.25">
      <c r="A53" s="26"/>
      <c r="B53" s="82" t="s">
        <v>459</v>
      </c>
      <c r="C53" s="26"/>
      <c r="D53" s="26"/>
      <c r="E53" s="44"/>
      <c r="F53" s="424"/>
      <c r="G53" s="110"/>
      <c r="H53" s="425"/>
      <c r="I53" s="98">
        <f>SUM(I51:I52)</f>
        <v>40593.46</v>
      </c>
      <c r="N53" s="28"/>
      <c r="O53" s="406" t="s">
        <v>459</v>
      </c>
      <c r="P53" s="28"/>
      <c r="Q53" s="45"/>
      <c r="R53" s="432"/>
      <c r="S53" s="433"/>
      <c r="T53" s="434"/>
      <c r="U53" s="426">
        <f>SUM(U51:U52)</f>
        <v>8608.86</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27.05</v>
      </c>
      <c r="D56" s="593" t="s">
        <v>476</v>
      </c>
      <c r="E56" s="593"/>
      <c r="F56" s="593"/>
      <c r="G56" s="593"/>
      <c r="H56" s="317">
        <f>'0664'!H56</f>
        <v>203305.63</v>
      </c>
      <c r="I56" s="114"/>
      <c r="N56" s="658" t="s">
        <v>466</v>
      </c>
      <c r="O56" s="635"/>
      <c r="P56" s="41">
        <f>P30</f>
        <v>27.05</v>
      </c>
      <c r="Q56" s="663" t="s">
        <v>468</v>
      </c>
      <c r="R56" s="664"/>
      <c r="S56" s="664"/>
      <c r="T56" s="662">
        <f>H56</f>
        <v>203305.63</v>
      </c>
      <c r="U56" s="662"/>
    </row>
    <row r="57" spans="1:22" x14ac:dyDescent="0.25">
      <c r="B57" s="70"/>
      <c r="G57" s="42" t="s">
        <v>12</v>
      </c>
      <c r="H57" s="115">
        <f>ROUND(C56/H56,6)</f>
        <v>1.3300000000000001E-4</v>
      </c>
      <c r="I57" s="116"/>
      <c r="N57" s="635"/>
      <c r="O57" s="635"/>
      <c r="P57" s="635"/>
      <c r="Q57" s="635"/>
      <c r="R57" s="635"/>
      <c r="S57" s="635"/>
      <c r="T57" s="665">
        <f>ROUND(P56/T56,6)</f>
        <v>1.3300000000000001E-4</v>
      </c>
      <c r="U57" s="665"/>
    </row>
    <row r="58" spans="1:22" x14ac:dyDescent="0.25">
      <c r="A58" s="423" t="s">
        <v>461</v>
      </c>
      <c r="N58" s="406" t="s">
        <v>483</v>
      </c>
      <c r="O58" s="52"/>
      <c r="P58" s="52"/>
      <c r="Q58" s="52"/>
      <c r="R58" s="52"/>
      <c r="S58" s="52"/>
      <c r="T58" s="52"/>
      <c r="U58" s="52"/>
    </row>
    <row r="59" spans="1:22" x14ac:dyDescent="0.25">
      <c r="A59" s="585" t="s">
        <v>463</v>
      </c>
      <c r="B59" s="586"/>
      <c r="C59" s="437">
        <f>H30</f>
        <v>127.54910000000001</v>
      </c>
      <c r="D59" s="593" t="s">
        <v>477</v>
      </c>
      <c r="E59" s="593"/>
      <c r="F59" s="593"/>
      <c r="G59" s="593"/>
      <c r="H59" s="318">
        <f>'0664'!H59</f>
        <v>227540.36</v>
      </c>
      <c r="I59" s="117"/>
      <c r="N59" s="658" t="s">
        <v>467</v>
      </c>
      <c r="O59" s="635"/>
      <c r="P59" s="41">
        <f>T30</f>
        <v>27.05</v>
      </c>
      <c r="Q59" s="663" t="s">
        <v>469</v>
      </c>
      <c r="R59" s="664"/>
      <c r="S59" s="664"/>
      <c r="T59" s="662">
        <f>H59</f>
        <v>227540.36</v>
      </c>
      <c r="U59" s="662"/>
    </row>
    <row r="60" spans="1:22" x14ac:dyDescent="0.25">
      <c r="G60" s="42" t="s">
        <v>12</v>
      </c>
      <c r="H60" s="115">
        <f>ROUND(C59/H59,6)</f>
        <v>5.6099999999999998E-4</v>
      </c>
      <c r="I60" s="115"/>
      <c r="N60" s="635"/>
      <c r="O60" s="635"/>
      <c r="P60" s="635"/>
      <c r="Q60" s="635"/>
      <c r="R60" s="635"/>
      <c r="S60" s="635"/>
      <c r="T60" s="665">
        <f>ROUND(P59/T59,6)</f>
        <v>1.1900000000000001E-4</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27.05</v>
      </c>
      <c r="D62" s="590" t="s">
        <v>478</v>
      </c>
      <c r="E62" s="590"/>
      <c r="F62" s="590"/>
      <c r="G62" s="590"/>
      <c r="H62" s="317">
        <f>'0664'!H62</f>
        <v>186907.73</v>
      </c>
      <c r="I62" s="114"/>
      <c r="N62" s="658" t="s">
        <v>465</v>
      </c>
      <c r="O62" s="635"/>
      <c r="P62" s="41">
        <f>P30</f>
        <v>27.05</v>
      </c>
      <c r="Q62" s="668" t="s">
        <v>470</v>
      </c>
      <c r="R62" s="669"/>
      <c r="S62" s="669"/>
      <c r="T62" s="662">
        <f>H62</f>
        <v>186907.73</v>
      </c>
      <c r="U62" s="662"/>
    </row>
    <row r="63" spans="1:22" x14ac:dyDescent="0.25">
      <c r="B63" s="70"/>
      <c r="G63" s="42" t="s">
        <v>12</v>
      </c>
      <c r="H63" s="115">
        <f>ROUND(C62/H62,6)</f>
        <v>1.45E-4</v>
      </c>
      <c r="I63" s="116"/>
      <c r="N63" s="635"/>
      <c r="O63" s="635"/>
      <c r="P63" s="635"/>
      <c r="Q63" s="635"/>
      <c r="R63" s="635"/>
      <c r="S63" s="635"/>
      <c r="T63" s="665">
        <f>ROUND(P62/T62,6)</f>
        <v>1.45E-4</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27.05</v>
      </c>
      <c r="D65" s="606" t="s">
        <v>479</v>
      </c>
      <c r="E65" s="606"/>
      <c r="F65" s="606"/>
      <c r="G65" s="606"/>
      <c r="H65" s="317">
        <f>'0664'!H65</f>
        <v>203080.55</v>
      </c>
      <c r="I65" s="114"/>
      <c r="N65" s="658" t="s">
        <v>465</v>
      </c>
      <c r="O65" s="635"/>
      <c r="P65" s="41">
        <f>P30</f>
        <v>27.05</v>
      </c>
      <c r="Q65" s="666" t="s">
        <v>471</v>
      </c>
      <c r="R65" s="667"/>
      <c r="S65" s="667"/>
      <c r="T65" s="662">
        <f>H65</f>
        <v>203080.55</v>
      </c>
      <c r="U65" s="662"/>
    </row>
    <row r="66" spans="1:22" x14ac:dyDescent="0.25">
      <c r="B66" s="70"/>
      <c r="G66" s="42" t="s">
        <v>12</v>
      </c>
      <c r="H66" s="115">
        <f>ROUND(C65/H65,6)</f>
        <v>1.3300000000000001E-4</v>
      </c>
      <c r="I66" s="116"/>
      <c r="N66" s="635"/>
      <c r="O66" s="635"/>
      <c r="P66" s="635"/>
      <c r="Q66" s="635"/>
      <c r="R66" s="635"/>
      <c r="S66" s="635"/>
      <c r="T66" s="665">
        <f>ROUND(P65/T65,6)</f>
        <v>1.3300000000000001E-4</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27.05</v>
      </c>
      <c r="D68" s="590" t="s">
        <v>480</v>
      </c>
      <c r="E68" s="590"/>
      <c r="F68" s="590"/>
      <c r="G68" s="590"/>
      <c r="H68" s="317">
        <f>'0664'!H68</f>
        <v>186682.65</v>
      </c>
      <c r="I68" s="114"/>
      <c r="N68" s="658" t="s">
        <v>481</v>
      </c>
      <c r="O68" s="635"/>
      <c r="P68" s="41">
        <f>P30</f>
        <v>27.05</v>
      </c>
      <c r="Q68" s="668" t="s">
        <v>487</v>
      </c>
      <c r="R68" s="669"/>
      <c r="S68" s="669"/>
      <c r="T68" s="662">
        <f>H68</f>
        <v>186682.65</v>
      </c>
      <c r="U68" s="662"/>
    </row>
    <row r="69" spans="1:22" x14ac:dyDescent="0.25">
      <c r="B69" s="70"/>
      <c r="G69" s="42" t="s">
        <v>12</v>
      </c>
      <c r="H69" s="115">
        <f>ROUND(C68/H68,6)</f>
        <v>1.45E-4</v>
      </c>
      <c r="I69" s="116"/>
      <c r="N69" s="635"/>
      <c r="O69" s="635"/>
      <c r="P69" s="635"/>
      <c r="Q69" s="635"/>
      <c r="R69" s="635"/>
      <c r="S69" s="635"/>
      <c r="T69" s="665">
        <f>ROUND(P68/T68,6)</f>
        <v>1.45E-4</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1.3300000000000001E-4</v>
      </c>
      <c r="I71" s="102">
        <f>ROUND(F71*H71,2)</f>
        <v>5940.52</v>
      </c>
      <c r="N71" s="52" t="s">
        <v>488</v>
      </c>
      <c r="O71" s="52"/>
      <c r="P71" s="52"/>
      <c r="Q71" s="45"/>
      <c r="R71" s="453">
        <f>F71</f>
        <v>44665536</v>
      </c>
      <c r="S71" s="38" t="s">
        <v>6</v>
      </c>
      <c r="T71" s="455">
        <f>T66</f>
        <v>1.3300000000000001E-4</v>
      </c>
      <c r="U71" s="97">
        <f>ROUND(R71*T71,0)</f>
        <v>5941</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1.3300000000000001E-4</v>
      </c>
      <c r="I74" s="102">
        <f>ROUND(F74*H74,2)</f>
        <v>0</v>
      </c>
      <c r="N74" s="670" t="s">
        <v>110</v>
      </c>
      <c r="O74" s="635"/>
      <c r="P74" s="635"/>
      <c r="Q74" s="45"/>
      <c r="R74" s="453">
        <f>F74</f>
        <v>0</v>
      </c>
      <c r="S74" s="38" t="s">
        <v>6</v>
      </c>
      <c r="T74" s="455">
        <f>T57</f>
        <v>1.3300000000000001E-4</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1.45E-4</v>
      </c>
      <c r="I76" s="102">
        <f>ROUND(F76*H76,2)</f>
        <v>2344.2199999999998</v>
      </c>
      <c r="N76" s="431" t="s">
        <v>491</v>
      </c>
      <c r="O76" s="52"/>
      <c r="P76" s="52"/>
      <c r="Q76" s="45"/>
      <c r="R76" s="453">
        <f>F76</f>
        <v>16167052</v>
      </c>
      <c r="S76" s="38" t="s">
        <v>6</v>
      </c>
      <c r="T76" s="455">
        <f>T69</f>
        <v>1.45E-4</v>
      </c>
      <c r="U76" s="97">
        <f>ROUND(R76*T76,0)</f>
        <v>2344</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1.45E-4</v>
      </c>
      <c r="I78" s="102">
        <f t="shared" ref="I78:I87" si="10">ROUND(F78*H78,2)</f>
        <v>1455.81</v>
      </c>
      <c r="N78" s="406" t="s">
        <v>493</v>
      </c>
      <c r="O78" s="52"/>
      <c r="P78" s="52"/>
      <c r="Q78" s="45"/>
      <c r="R78" s="453">
        <f t="shared" ref="R78:R87" si="11">F78</f>
        <v>10040099</v>
      </c>
      <c r="S78" s="38" t="s">
        <v>6</v>
      </c>
      <c r="T78" s="455">
        <f>T63</f>
        <v>1.45E-4</v>
      </c>
      <c r="U78" s="97">
        <f t="shared" ref="U78:U87" si="12">ROUND(R78*T78,0)</f>
        <v>1456</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1.05</v>
      </c>
      <c r="G81" s="37"/>
      <c r="H81" s="121"/>
      <c r="I81" s="102"/>
      <c r="N81" s="406"/>
      <c r="O81" s="406" t="s">
        <v>496</v>
      </c>
      <c r="P81" s="52"/>
      <c r="Q81" s="46"/>
      <c r="R81" s="426">
        <f>IF($H$121=1,F81,0)</f>
        <v>1.05</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1.05</v>
      </c>
      <c r="G83" s="37" t="s">
        <v>6</v>
      </c>
      <c r="H83" s="448">
        <f>'0664'!H83</f>
        <v>1951.26</v>
      </c>
      <c r="I83" s="102">
        <f>ROUND(F83*H83,2)</f>
        <v>2048.8200000000002</v>
      </c>
      <c r="N83" s="406"/>
      <c r="O83" s="406" t="s">
        <v>497</v>
      </c>
      <c r="P83" s="52"/>
      <c r="Q83" s="46"/>
      <c r="R83" s="426">
        <f>R81-R82</f>
        <v>1.05</v>
      </c>
      <c r="S83" s="38" t="s">
        <v>6</v>
      </c>
      <c r="T83" s="456">
        <f>'0664'!T83</f>
        <v>1951.26</v>
      </c>
      <c r="U83" s="426">
        <f>ROUND(R83*T83,0)</f>
        <v>2049</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5.6099999999999998E-4</v>
      </c>
      <c r="I85" s="102">
        <f t="shared" si="10"/>
        <v>131491.91</v>
      </c>
      <c r="N85" s="635" t="s">
        <v>500</v>
      </c>
      <c r="O85" s="635"/>
      <c r="P85" s="635"/>
      <c r="Q85" s="45"/>
      <c r="R85" s="453">
        <f t="shared" si="11"/>
        <v>234388431</v>
      </c>
      <c r="S85" s="38" t="s">
        <v>6</v>
      </c>
      <c r="T85" s="455">
        <f>T60</f>
        <v>1.1900000000000001E-4</v>
      </c>
      <c r="U85" s="97">
        <f t="shared" si="12"/>
        <v>27892</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5.6099999999999998E-4</v>
      </c>
      <c r="I87" s="102">
        <f t="shared" si="10"/>
        <v>0</v>
      </c>
      <c r="N87" s="658" t="s">
        <v>501</v>
      </c>
      <c r="O87" s="635"/>
      <c r="P87" s="635"/>
      <c r="Q87" s="45"/>
      <c r="R87" s="453">
        <f t="shared" si="11"/>
        <v>0</v>
      </c>
      <c r="S87" s="38" t="s">
        <v>6</v>
      </c>
      <c r="T87" s="455">
        <f>T60</f>
        <v>1.1900000000000001E-4</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43.684600000000003</v>
      </c>
      <c r="D92" s="597"/>
      <c r="E92" s="47">
        <f>H8</f>
        <v>1.0442</v>
      </c>
      <c r="F92" s="320">
        <f>'0664'!F92</f>
        <v>947.59</v>
      </c>
      <c r="G92" s="39" t="s">
        <v>12</v>
      </c>
      <c r="H92" s="102">
        <f>ROUND(C92*E92*F92,2)</f>
        <v>43224.75</v>
      </c>
      <c r="I92" s="105"/>
      <c r="N92" s="28" t="s">
        <v>17</v>
      </c>
      <c r="O92" s="48">
        <f>T14+T15+T20+T23+T26</f>
        <v>9.5500000000000007</v>
      </c>
      <c r="P92" s="673">
        <f>T8</f>
        <v>1.0442</v>
      </c>
      <c r="Q92" s="673"/>
      <c r="R92" s="49">
        <f>F92</f>
        <v>947.59</v>
      </c>
      <c r="S92" s="40" t="s">
        <v>12</v>
      </c>
      <c r="T92" s="123">
        <f>ROUND(O92*P92*R92,0)</f>
        <v>9449</v>
      </c>
      <c r="U92" s="103"/>
    </row>
    <row r="93" spans="1:21" x14ac:dyDescent="0.25">
      <c r="A93" s="50"/>
      <c r="B93" s="50" t="s">
        <v>116</v>
      </c>
      <c r="C93" s="597">
        <f>H16+H17+H21+H24+H27</f>
        <v>83.864500000000007</v>
      </c>
      <c r="D93" s="597"/>
      <c r="E93" s="47">
        <f>H8</f>
        <v>1.0442</v>
      </c>
      <c r="F93" s="320">
        <f>'0664'!F93</f>
        <v>904.74</v>
      </c>
      <c r="G93" s="39" t="s">
        <v>12</v>
      </c>
      <c r="H93" s="102">
        <f>ROUND(C93*E93*F93,2)</f>
        <v>79229.27</v>
      </c>
      <c r="N93" s="51" t="s">
        <v>13</v>
      </c>
      <c r="O93" s="48">
        <f>T16+T17+T21+T24+T27</f>
        <v>17.5</v>
      </c>
      <c r="P93" s="673">
        <f>T8</f>
        <v>1.0442</v>
      </c>
      <c r="Q93" s="673"/>
      <c r="R93" s="49">
        <f>F93</f>
        <v>904.74</v>
      </c>
      <c r="S93" s="40" t="s">
        <v>12</v>
      </c>
      <c r="T93" s="123">
        <f>ROUND(O93*P93*R93,0)</f>
        <v>16533</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127.54910000000001</v>
      </c>
      <c r="D95" s="601"/>
      <c r="E95" s="130"/>
      <c r="F95" s="130"/>
      <c r="G95" s="130"/>
      <c r="H95" s="131" t="s">
        <v>112</v>
      </c>
      <c r="I95" s="102">
        <f>IF(A1=75,0,H94+H93+H92)</f>
        <v>122454.02</v>
      </c>
      <c r="N95" s="57" t="s">
        <v>95</v>
      </c>
      <c r="O95" s="58">
        <f>SUM(O92:O94)</f>
        <v>27.05</v>
      </c>
      <c r="P95" s="674" t="s">
        <v>16</v>
      </c>
      <c r="Q95" s="675"/>
      <c r="R95" s="675"/>
      <c r="S95" s="675"/>
      <c r="T95" s="675"/>
      <c r="U95" s="97">
        <f>IF(N1=75,0,T94+T93+T92)</f>
        <v>25982</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0</v>
      </c>
      <c r="D101" s="151">
        <v>9</v>
      </c>
      <c r="E101" s="117">
        <f>(C101+D101)/2</f>
        <v>4.5</v>
      </c>
      <c r="F101" s="134" t="s">
        <v>30</v>
      </c>
      <c r="G101" s="321">
        <f>'0664'!G101</f>
        <v>565</v>
      </c>
      <c r="I101" s="102">
        <f>ROUND(G101*E101,2)</f>
        <v>2542.5</v>
      </c>
      <c r="N101" s="684" t="s">
        <v>54</v>
      </c>
      <c r="O101" s="684"/>
      <c r="P101" s="672">
        <f>IF(H121=1,E101,0)</f>
        <v>4.5</v>
      </c>
      <c r="Q101" s="672"/>
      <c r="R101" s="672"/>
      <c r="S101" s="84" t="s">
        <v>30</v>
      </c>
      <c r="T101" s="59">
        <f>G101</f>
        <v>565</v>
      </c>
      <c r="U101" s="97">
        <f>ROUND(T101*P101,0)</f>
        <v>2543</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213381.81</v>
      </c>
    </row>
    <row r="116" spans="1:21" ht="16.5" thickTop="1" x14ac:dyDescent="0.25">
      <c r="A116" s="584" t="s">
        <v>8</v>
      </c>
      <c r="B116" s="584"/>
      <c r="C116" s="584"/>
      <c r="D116" s="584"/>
      <c r="E116" s="584"/>
      <c r="F116" s="584"/>
      <c r="G116" s="584"/>
      <c r="H116" s="584"/>
      <c r="I116" s="95">
        <f>SUM(I30,I44,I53,I71,I74,I76,I78,I83,I85,I87,I95,I101,I102,I112,I114)</f>
        <v>993415.29</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952821.83000000007</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f>IF(E30=0,"",IF((E15+E17+SUM(E19:E25))/E30&gt;0.75,1,""))</f>
        <v>1</v>
      </c>
      <c r="I121" s="117">
        <f>U115</f>
        <v>213381.81</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213381.81</v>
      </c>
      <c r="I123" s="95">
        <f>ROUND(IF(E30=0,0,IF(E30&gt;250,-(((250/E30)*H123)*IF(G123="H",0.02,0.05)),IF(G123="H",-0.02*H123,-0.05*H123))),2)</f>
        <v>-10669.09</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982746.20000000007</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982746.20000000007</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81895.520000000004</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0</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63" t="str">
        <f>'0664'!A140</f>
        <v>(a) Additional FTE includes FTE earned through Advanced Placement, International Baccalaureate, Advanced International Certificate of Education, Industry Certified Career</v>
      </c>
      <c r="B140" s="364"/>
      <c r="C140" s="364"/>
      <c r="D140" s="364"/>
      <c r="E140" s="364"/>
      <c r="F140" s="364"/>
      <c r="G140" s="364"/>
      <c r="H140" s="364"/>
      <c r="I140" s="364"/>
      <c r="J140" s="78"/>
      <c r="K140" s="77"/>
      <c r="L140" s="77"/>
      <c r="M140" s="77"/>
      <c r="N140" s="679"/>
      <c r="O140" s="679"/>
      <c r="P140" s="679"/>
      <c r="Q140" s="679"/>
      <c r="R140" s="679"/>
      <c r="S140" s="679"/>
      <c r="T140" s="679"/>
      <c r="U140" s="679"/>
    </row>
    <row r="141" spans="1:21" ht="15.75" customHeight="1" x14ac:dyDescent="0.25">
      <c r="A141" s="369" t="s">
        <v>426</v>
      </c>
      <c r="B141" s="364"/>
      <c r="C141" s="364"/>
      <c r="D141" s="364"/>
      <c r="E141" s="364"/>
      <c r="F141" s="364"/>
      <c r="G141" s="364"/>
      <c r="H141" s="364"/>
      <c r="I141" s="364"/>
      <c r="J141" s="78"/>
      <c r="K141" s="77"/>
      <c r="L141" s="77"/>
      <c r="M141" s="77"/>
      <c r="N141" s="74"/>
      <c r="O141" s="74"/>
      <c r="P141" s="74"/>
      <c r="Q141" s="74"/>
      <c r="R141" s="74"/>
      <c r="S141" s="74"/>
      <c r="T141" s="74"/>
      <c r="U141" s="74"/>
    </row>
    <row r="142" spans="1:21" x14ac:dyDescent="0.25">
      <c r="A142" s="363" t="s">
        <v>427</v>
      </c>
      <c r="B142" s="365"/>
      <c r="C142" s="365"/>
      <c r="D142" s="365"/>
      <c r="E142" s="365"/>
      <c r="F142" s="365"/>
      <c r="G142" s="365"/>
      <c r="H142" s="365"/>
      <c r="I142" s="365"/>
      <c r="J142" s="77"/>
      <c r="K142" s="77"/>
      <c r="L142" s="77"/>
      <c r="M142" s="77"/>
      <c r="N142" s="79"/>
      <c r="O142" s="80"/>
      <c r="P142" s="80"/>
      <c r="Q142" s="80"/>
      <c r="R142" s="80"/>
      <c r="S142" s="80"/>
      <c r="T142" s="80"/>
      <c r="U142" s="80"/>
    </row>
    <row r="143" spans="1:21" s="77" customFormat="1" x14ac:dyDescent="0.2">
      <c r="A143" s="363" t="s">
        <v>428</v>
      </c>
      <c r="B143" s="365"/>
      <c r="C143" s="365"/>
      <c r="D143" s="365"/>
      <c r="E143" s="365"/>
      <c r="F143" s="365"/>
      <c r="G143" s="365"/>
      <c r="H143" s="365"/>
      <c r="I143" s="365"/>
      <c r="N143" s="79"/>
    </row>
    <row r="144" spans="1:21" s="77" customFormat="1" x14ac:dyDescent="0.2">
      <c r="A144" s="363" t="s">
        <v>429</v>
      </c>
      <c r="B144" s="365"/>
      <c r="C144" s="365"/>
      <c r="D144" s="365"/>
      <c r="E144" s="365"/>
      <c r="F144" s="365"/>
      <c r="G144" s="365"/>
      <c r="H144" s="365"/>
      <c r="I144" s="365"/>
      <c r="N144" s="79"/>
    </row>
    <row r="145" spans="1:14" s="77" customFormat="1" x14ac:dyDescent="0.2">
      <c r="A145" s="363" t="s">
        <v>430</v>
      </c>
      <c r="B145" s="365"/>
      <c r="C145" s="365"/>
      <c r="D145" s="365"/>
      <c r="E145" s="365"/>
      <c r="F145" s="365"/>
      <c r="G145" s="365"/>
      <c r="H145" s="365"/>
      <c r="I145" s="365"/>
      <c r="N145" s="79"/>
    </row>
    <row r="146" spans="1:14" s="77" customFormat="1" x14ac:dyDescent="0.2">
      <c r="A146" s="363" t="s">
        <v>431</v>
      </c>
      <c r="B146" s="365"/>
      <c r="C146" s="365"/>
      <c r="D146" s="365"/>
      <c r="E146" s="365"/>
      <c r="F146" s="365"/>
      <c r="G146" s="365"/>
      <c r="H146" s="365"/>
      <c r="I146" s="365"/>
      <c r="N146" s="79"/>
    </row>
    <row r="147" spans="1:14" s="77" customFormat="1" x14ac:dyDescent="0.2">
      <c r="A147" s="363" t="s">
        <v>433</v>
      </c>
      <c r="B147" s="365"/>
      <c r="C147" s="365"/>
      <c r="D147" s="365"/>
      <c r="E147" s="365"/>
      <c r="F147" s="365"/>
      <c r="G147" s="365"/>
      <c r="H147" s="365"/>
      <c r="I147" s="365"/>
      <c r="N147" s="79"/>
    </row>
    <row r="148" spans="1:14" s="77" customFormat="1" x14ac:dyDescent="0.2">
      <c r="A148" s="369" t="s">
        <v>432</v>
      </c>
      <c r="B148" s="365"/>
      <c r="C148" s="365"/>
      <c r="D148" s="365"/>
      <c r="E148" s="365"/>
      <c r="F148" s="365"/>
      <c r="G148" s="365"/>
      <c r="H148" s="365"/>
      <c r="I148" s="365"/>
      <c r="N148" s="79"/>
    </row>
    <row r="149" spans="1:14" s="77" customFormat="1" x14ac:dyDescent="0.2">
      <c r="A149" s="363" t="s">
        <v>434</v>
      </c>
      <c r="B149" s="365"/>
      <c r="C149" s="365"/>
      <c r="D149" s="365"/>
      <c r="E149" s="365"/>
      <c r="F149" s="365"/>
      <c r="G149" s="365"/>
      <c r="H149" s="365"/>
      <c r="I149" s="365"/>
      <c r="N149" s="79"/>
    </row>
    <row r="150" spans="1:14" s="77" customFormat="1" x14ac:dyDescent="0.2">
      <c r="A150" s="369" t="str">
        <f>'0664'!A150</f>
        <v>"All Adjusted ESE Riders" should include only ESE Riders.</v>
      </c>
      <c r="B150" s="365"/>
      <c r="C150" s="365"/>
      <c r="D150" s="365"/>
      <c r="E150" s="365"/>
      <c r="F150" s="365"/>
      <c r="G150" s="365"/>
      <c r="H150" s="365"/>
      <c r="I150" s="365"/>
      <c r="N150" s="79"/>
    </row>
    <row r="151" spans="1:14" s="77" customFormat="1" x14ac:dyDescent="0.2">
      <c r="A151" s="363" t="s">
        <v>437</v>
      </c>
      <c r="B151" s="365"/>
      <c r="C151" s="365"/>
      <c r="D151" s="365"/>
      <c r="E151" s="365"/>
      <c r="F151" s="365"/>
      <c r="G151" s="365"/>
      <c r="H151" s="365"/>
      <c r="I151" s="365"/>
      <c r="N151" s="79"/>
    </row>
    <row r="152" spans="1:14" s="77" customFormat="1" ht="15.75" customHeight="1" x14ac:dyDescent="0.2">
      <c r="A152" s="363" t="str">
        <f>'0664'!A152</f>
        <v xml:space="preserve">(j) Funding based on student eligibility and meals provided, if participating in the National School Lunch Program. </v>
      </c>
      <c r="B152" s="365"/>
      <c r="C152" s="365"/>
      <c r="D152" s="365"/>
      <c r="E152" s="365"/>
      <c r="F152" s="365"/>
      <c r="G152" s="365"/>
      <c r="H152" s="365"/>
      <c r="I152" s="365"/>
      <c r="N152" s="79"/>
    </row>
    <row r="153" spans="1:14" s="77" customFormat="1" ht="15.75" customHeight="1" x14ac:dyDescent="0.2">
      <c r="A153" s="363" t="s">
        <v>439</v>
      </c>
      <c r="B153" s="365"/>
      <c r="C153" s="365"/>
      <c r="D153" s="365"/>
      <c r="E153" s="365"/>
      <c r="F153" s="365"/>
      <c r="G153" s="365"/>
      <c r="H153" s="365"/>
      <c r="I153" s="365"/>
      <c r="N153" s="79"/>
    </row>
    <row r="154" spans="1:14" s="77" customFormat="1" ht="15.75" customHeight="1" x14ac:dyDescent="0.2">
      <c r="A154" s="369" t="s">
        <v>438</v>
      </c>
      <c r="B154" s="365"/>
      <c r="C154" s="365"/>
      <c r="D154" s="365"/>
      <c r="E154" s="365"/>
      <c r="F154" s="365"/>
      <c r="G154" s="365"/>
      <c r="H154" s="365"/>
      <c r="I154" s="365"/>
      <c r="N154" s="79"/>
    </row>
    <row r="155" spans="1:14" s="77" customFormat="1" ht="15.75" customHeight="1" x14ac:dyDescent="0.2">
      <c r="A155" s="363" t="s">
        <v>440</v>
      </c>
      <c r="B155" s="365"/>
      <c r="C155" s="365"/>
      <c r="D155" s="365"/>
      <c r="E155" s="365"/>
      <c r="F155" s="365"/>
      <c r="G155" s="365"/>
      <c r="H155" s="365"/>
      <c r="I155" s="365"/>
      <c r="N155" s="79"/>
    </row>
    <row r="156" spans="1:14" s="77" customFormat="1" ht="15.75" customHeight="1" x14ac:dyDescent="0.2">
      <c r="A156" s="369" t="str">
        <f>'0664'!A156</f>
        <v xml:space="preserve">unweighted full-time equivalent students. </v>
      </c>
      <c r="B156" s="365"/>
      <c r="C156" s="365"/>
      <c r="D156" s="365"/>
      <c r="E156" s="365"/>
      <c r="F156" s="365"/>
      <c r="G156" s="365"/>
      <c r="H156" s="365"/>
      <c r="I156" s="365"/>
      <c r="N156" s="79"/>
    </row>
    <row r="157" spans="1:14" s="77" customFormat="1" ht="15.75" customHeight="1" x14ac:dyDescent="0.2">
      <c r="A157" s="363" t="s">
        <v>442</v>
      </c>
      <c r="B157" s="365"/>
      <c r="C157" s="365"/>
      <c r="D157" s="365"/>
      <c r="E157" s="365"/>
      <c r="F157" s="365"/>
      <c r="G157" s="365"/>
      <c r="H157" s="365"/>
      <c r="I157" s="365"/>
      <c r="N157" s="79"/>
    </row>
    <row r="158" spans="1:14" s="77" customFormat="1" ht="15.75" customHeight="1" x14ac:dyDescent="0.2">
      <c r="A158" s="369" t="s">
        <v>441</v>
      </c>
      <c r="B158" s="365"/>
      <c r="C158" s="365"/>
      <c r="D158" s="365"/>
      <c r="E158" s="365"/>
      <c r="F158" s="365"/>
      <c r="G158" s="365"/>
      <c r="H158" s="365"/>
      <c r="I158" s="365"/>
      <c r="N158" s="79"/>
    </row>
    <row r="159" spans="1:14" s="77" customFormat="1" ht="15.75" customHeight="1" x14ac:dyDescent="0.2">
      <c r="A159" s="363"/>
      <c r="B159" s="365"/>
      <c r="C159" s="365"/>
      <c r="D159" s="365"/>
      <c r="E159" s="365"/>
      <c r="F159" s="365"/>
      <c r="G159" s="365"/>
      <c r="H159" s="365"/>
      <c r="I159" s="365"/>
      <c r="N159" s="79"/>
    </row>
    <row r="160" spans="1:14" s="77" customFormat="1" ht="15.75" customHeight="1" x14ac:dyDescent="0.25">
      <c r="A160" s="376" t="str">
        <f>'0664'!A160</f>
        <v>Administrative fees:</v>
      </c>
      <c r="B160" s="365"/>
      <c r="C160" s="365"/>
      <c r="D160" s="365"/>
      <c r="E160" s="365"/>
      <c r="F160" s="365"/>
      <c r="G160" s="365"/>
      <c r="H160" s="365"/>
      <c r="I160" s="365"/>
      <c r="J160" s="3"/>
      <c r="K160" s="3"/>
      <c r="L160" s="3"/>
      <c r="M160" s="3"/>
      <c r="N160" s="79"/>
    </row>
    <row r="161" spans="1:21" s="77" customFormat="1" ht="15.75" customHeight="1" x14ac:dyDescent="0.25">
      <c r="A161" s="380" t="str">
        <f>'0664'!A161</f>
        <v xml:space="preserve">Administrative fees charged by the school district pursuant to s. 1002.33(20)(a), F.S., shall be calculated based upon 5% of available funds from the FEFP and categorical </v>
      </c>
      <c r="B161" s="368"/>
      <c r="C161" s="368"/>
      <c r="D161" s="368"/>
      <c r="E161" s="368"/>
      <c r="F161" s="368"/>
      <c r="G161" s="368"/>
      <c r="H161" s="368"/>
      <c r="I161" s="368"/>
      <c r="J161" s="3"/>
      <c r="K161" s="3"/>
      <c r="L161" s="3"/>
      <c r="M161" s="3"/>
      <c r="N161" s="79"/>
    </row>
    <row r="162" spans="1:21" s="77" customFormat="1" ht="15.75" customHeight="1" x14ac:dyDescent="0.25">
      <c r="A162" s="381" t="str">
        <f>'0664'!A162</f>
        <v>funding for which charter students may be eligible.  To calculate the administrative fee to be withheld for schools with more than 250 students, divide the school</v>
      </c>
      <c r="B162" s="375"/>
      <c r="C162" s="375"/>
      <c r="D162" s="375"/>
      <c r="E162" s="375"/>
      <c r="F162" s="375"/>
      <c r="G162" s="375"/>
      <c r="H162" s="375"/>
      <c r="I162" s="375"/>
      <c r="J162" s="3"/>
      <c r="K162" s="3"/>
      <c r="L162" s="3"/>
      <c r="M162" s="3"/>
      <c r="N162" s="79"/>
    </row>
    <row r="163" spans="1:21" s="77" customFormat="1" ht="15.75" customHeight="1" x14ac:dyDescent="0.25">
      <c r="A163" s="381" t="s">
        <v>443</v>
      </c>
      <c r="B163" s="375"/>
      <c r="C163" s="375"/>
      <c r="D163" s="375"/>
      <c r="E163" s="375"/>
      <c r="F163" s="375"/>
      <c r="G163" s="375"/>
      <c r="H163" s="375"/>
      <c r="I163" s="375"/>
      <c r="J163" s="3"/>
      <c r="K163" s="3"/>
      <c r="L163" s="3"/>
      <c r="M163" s="3"/>
      <c r="N163" s="79"/>
    </row>
    <row r="164" spans="1:21" s="77" customFormat="1" ht="15.75" customHeight="1" x14ac:dyDescent="0.25">
      <c r="A164" s="381" t="s">
        <v>444</v>
      </c>
      <c r="B164" s="375"/>
      <c r="C164" s="375"/>
      <c r="D164" s="375"/>
      <c r="E164" s="375"/>
      <c r="F164" s="375"/>
      <c r="G164" s="375"/>
      <c r="H164" s="375"/>
      <c r="I164" s="375"/>
      <c r="N164" s="75"/>
      <c r="O164" s="3"/>
      <c r="P164" s="3"/>
      <c r="Q164" s="3"/>
      <c r="R164" s="3"/>
      <c r="S164" s="3"/>
      <c r="T164" s="3"/>
      <c r="U164" s="3"/>
    </row>
    <row r="165" spans="1:21" s="77" customFormat="1" ht="15.75" customHeight="1" x14ac:dyDescent="0.25">
      <c r="A165" s="380"/>
      <c r="B165" s="375"/>
      <c r="C165" s="375"/>
      <c r="D165" s="375"/>
      <c r="E165" s="375"/>
      <c r="F165" s="375"/>
      <c r="G165" s="375"/>
      <c r="H165" s="375"/>
      <c r="I165" s="375"/>
      <c r="N165" s="75"/>
      <c r="O165" s="3"/>
      <c r="P165" s="3"/>
      <c r="Q165" s="3"/>
      <c r="R165" s="3"/>
      <c r="S165" s="3"/>
      <c r="T165" s="3"/>
      <c r="U165" s="3"/>
    </row>
    <row r="166" spans="1:21" ht="15.75" customHeight="1" x14ac:dyDescent="0.25">
      <c r="A166" s="380" t="str">
        <f>'0664'!A166</f>
        <v xml:space="preserve">For high performing charter schools, administrative fees charged by the school district shall be calculated based upon 2% of available funds from the FEFP and categorical </v>
      </c>
      <c r="B166" s="368"/>
      <c r="C166" s="368"/>
      <c r="D166" s="368"/>
      <c r="E166" s="368"/>
      <c r="F166" s="368"/>
      <c r="G166" s="368"/>
      <c r="H166" s="368"/>
      <c r="I166" s="368"/>
      <c r="J166" s="77"/>
      <c r="K166" s="77"/>
      <c r="L166" s="77"/>
      <c r="M166" s="77"/>
      <c r="N166" s="79"/>
      <c r="O166" s="77"/>
      <c r="P166" s="77"/>
      <c r="Q166" s="77"/>
      <c r="R166" s="77"/>
      <c r="S166" s="77"/>
      <c r="T166" s="77"/>
      <c r="U166" s="77"/>
    </row>
    <row r="167" spans="1:21" ht="15.75" customHeight="1" x14ac:dyDescent="0.25">
      <c r="A167" s="381" t="str">
        <f>'0664'!A167</f>
        <v>funding for which charter students may be eligible.  To calculate the administrative fee to be withheld for schools with more than 250 students, divide the school</v>
      </c>
      <c r="B167" s="368"/>
      <c r="C167" s="368"/>
      <c r="D167" s="368"/>
      <c r="E167" s="368"/>
      <c r="F167" s="368"/>
      <c r="G167" s="368"/>
      <c r="H167" s="368"/>
      <c r="I167" s="368"/>
      <c r="J167" s="77"/>
      <c r="K167" s="77"/>
      <c r="L167" s="77"/>
      <c r="M167" s="77"/>
      <c r="N167" s="79"/>
      <c r="O167" s="77"/>
      <c r="P167" s="77"/>
      <c r="Q167" s="77"/>
      <c r="R167" s="77"/>
      <c r="S167" s="77"/>
      <c r="T167" s="77"/>
      <c r="U167" s="77"/>
    </row>
    <row r="168" spans="1:21" s="77" customFormat="1" ht="15.75" customHeight="1" x14ac:dyDescent="0.2">
      <c r="A168" s="381" t="str">
        <f>'0664'!A168</f>
        <v xml:space="preserve">population into 250. Multiply that fraction times the funds available, then times 2%.  </v>
      </c>
      <c r="B168" s="368"/>
      <c r="C168" s="368"/>
      <c r="D168" s="368"/>
      <c r="E168" s="368"/>
      <c r="F168" s="368"/>
      <c r="G168" s="368"/>
      <c r="H168" s="368"/>
      <c r="I168" s="368"/>
      <c r="N168" s="79"/>
    </row>
    <row r="169" spans="1:21" x14ac:dyDescent="0.25">
      <c r="A169" s="363"/>
      <c r="B169" s="368"/>
      <c r="C169" s="368"/>
      <c r="D169" s="368"/>
      <c r="E169" s="368"/>
      <c r="F169" s="368"/>
      <c r="G169" s="368"/>
      <c r="H169" s="368"/>
      <c r="I169" s="368"/>
      <c r="N169" s="75"/>
    </row>
    <row r="170" spans="1:21" x14ac:dyDescent="0.25">
      <c r="A170" s="376" t="str">
        <f>'0664'!A170</f>
        <v>Other:</v>
      </c>
      <c r="B170" s="374"/>
      <c r="C170" s="374"/>
      <c r="D170" s="374"/>
      <c r="E170" s="374"/>
      <c r="F170" s="374"/>
      <c r="G170" s="374"/>
      <c r="H170" s="374"/>
      <c r="I170" s="374"/>
      <c r="N170" s="75"/>
    </row>
    <row r="171" spans="1:21" x14ac:dyDescent="0.25">
      <c r="A171" s="380" t="str">
        <f>'0664'!A171</f>
        <v>FEFP and categorical funding are recalculated during the year to reflect the revised number of full-time equivalent students reported during the survey periods designated</v>
      </c>
      <c r="B171" s="368"/>
      <c r="C171" s="368"/>
      <c r="D171" s="368"/>
      <c r="E171" s="368"/>
      <c r="F171" s="368"/>
      <c r="G171" s="368"/>
      <c r="H171" s="368"/>
      <c r="I171" s="368"/>
      <c r="N171" s="75"/>
    </row>
    <row r="172" spans="1:21" x14ac:dyDescent="0.25">
      <c r="A172" s="381" t="str">
        <f>'0664'!A172</f>
        <v>by the Commissioner of Education.</v>
      </c>
      <c r="B172" s="375"/>
      <c r="C172" s="375"/>
      <c r="D172" s="375"/>
      <c r="E172" s="375"/>
      <c r="F172" s="375"/>
      <c r="G172" s="375"/>
      <c r="H172" s="375"/>
      <c r="I172" s="375"/>
      <c r="N172" s="75"/>
    </row>
    <row r="173" spans="1:21" x14ac:dyDescent="0.25">
      <c r="A173" s="380" t="str">
        <f>'0664'!A173</f>
        <v>Revenues flow to districts from state sources and from county tax collectors on various distribution schedules.</v>
      </c>
      <c r="B173" s="368"/>
      <c r="C173" s="368"/>
      <c r="D173" s="368"/>
      <c r="E173" s="368"/>
      <c r="F173" s="368"/>
      <c r="G173" s="368"/>
      <c r="H173" s="368"/>
      <c r="I173" s="368"/>
      <c r="N173" s="75"/>
    </row>
    <row r="174" spans="1:21" x14ac:dyDescent="0.25">
      <c r="A174" s="310"/>
      <c r="B174" s="310"/>
      <c r="C174" s="310"/>
      <c r="D174" s="310"/>
      <c r="E174" s="310"/>
      <c r="F174" s="310"/>
      <c r="G174" s="310"/>
      <c r="H174" s="310"/>
      <c r="I174" s="310"/>
      <c r="N174" s="75"/>
    </row>
    <row r="175" spans="1:21" x14ac:dyDescent="0.25">
      <c r="A175" s="75"/>
      <c r="N175" s="75"/>
    </row>
    <row r="176" spans="1:21" x14ac:dyDescent="0.25">
      <c r="A176" s="75"/>
      <c r="N176" s="75"/>
    </row>
    <row r="177" spans="1:14" x14ac:dyDescent="0.25">
      <c r="A177" s="75"/>
      <c r="N177" s="75"/>
    </row>
    <row r="178" spans="1:14" x14ac:dyDescent="0.25">
      <c r="A178" s="75"/>
      <c r="B178" s="143"/>
      <c r="C178" s="143"/>
      <c r="D178" s="143"/>
      <c r="E178" s="143"/>
      <c r="F178" s="143"/>
      <c r="G178" s="143"/>
      <c r="H178" s="143"/>
      <c r="I178" s="143"/>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T69:U69"/>
    <mergeCell ref="A85:C85"/>
    <mergeCell ref="A74:C74"/>
    <mergeCell ref="N85:P85"/>
    <mergeCell ref="A87:C87"/>
    <mergeCell ref="N87:P87"/>
    <mergeCell ref="C90:D90"/>
    <mergeCell ref="C91:D91"/>
    <mergeCell ref="N91:O91"/>
    <mergeCell ref="P91:Q91"/>
    <mergeCell ref="N74:P74"/>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5" right="0.1" top="0.5" bottom="0.5" header="0" footer="0.1"/>
  <pageSetup scale="32"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CCC"/>
  </sheetPr>
  <dimension ref="A1:V209"/>
  <sheetViews>
    <sheetView showGridLines="0" zoomScaleNormal="100" workbookViewId="0">
      <pane ySplit="1" topLeftCell="A99"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275</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9" t="s">
        <v>333</v>
      </c>
      <c r="D10" s="89"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0</v>
      </c>
      <c r="D16" s="151">
        <v>0</v>
      </c>
      <c r="E16" s="117">
        <f t="shared" si="1"/>
        <v>0</v>
      </c>
      <c r="F16" s="622">
        <f>'0664'!F16:G16</f>
        <v>1</v>
      </c>
      <c r="G16" s="622"/>
      <c r="H16" s="81">
        <f t="shared" si="2"/>
        <v>0</v>
      </c>
      <c r="I16" s="102">
        <f t="shared" si="3"/>
        <v>0</v>
      </c>
      <c r="N16" s="635" t="s">
        <v>22</v>
      </c>
      <c r="O16" s="635"/>
      <c r="P16" s="636">
        <f t="shared" si="0"/>
        <v>0</v>
      </c>
      <c r="Q16" s="636"/>
      <c r="R16" s="637">
        <v>1</v>
      </c>
      <c r="S16" s="637"/>
      <c r="T16" s="96">
        <f t="shared" si="4"/>
        <v>0</v>
      </c>
      <c r="U16" s="97">
        <f t="shared" si="5"/>
        <v>0</v>
      </c>
    </row>
    <row r="17" spans="1:21" x14ac:dyDescent="0.25">
      <c r="A17" s="586" t="s">
        <v>23</v>
      </c>
      <c r="B17" s="586"/>
      <c r="C17" s="151">
        <v>0</v>
      </c>
      <c r="D17" s="151">
        <v>0</v>
      </c>
      <c r="E17" s="117">
        <f t="shared" si="1"/>
        <v>0</v>
      </c>
      <c r="F17" s="622">
        <f>'0664'!F17:G17</f>
        <v>1</v>
      </c>
      <c r="G17" s="622"/>
      <c r="H17" s="81">
        <f t="shared" si="2"/>
        <v>0</v>
      </c>
      <c r="I17" s="102">
        <f t="shared" si="3"/>
        <v>0</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22.5</v>
      </c>
      <c r="D20" s="151">
        <v>23.52</v>
      </c>
      <c r="E20" s="117">
        <f t="shared" si="1"/>
        <v>46.019999999999996</v>
      </c>
      <c r="F20" s="622">
        <f>'0664'!F20:G20</f>
        <v>3.706</v>
      </c>
      <c r="G20" s="622"/>
      <c r="H20" s="81">
        <f t="shared" si="2"/>
        <v>170.55009999999999</v>
      </c>
      <c r="I20" s="102">
        <f t="shared" si="3"/>
        <v>915326.37</v>
      </c>
      <c r="N20" s="635" t="s">
        <v>85</v>
      </c>
      <c r="O20" s="635"/>
      <c r="P20" s="636">
        <f t="shared" si="0"/>
        <v>46.019999999999996</v>
      </c>
      <c r="Q20" s="636"/>
      <c r="R20" s="637">
        <v>1</v>
      </c>
      <c r="S20" s="637"/>
      <c r="T20" s="96">
        <f t="shared" si="4"/>
        <v>46.02</v>
      </c>
      <c r="U20" s="97">
        <f t="shared" si="5"/>
        <v>246985.02</v>
      </c>
    </row>
    <row r="21" spans="1:21" x14ac:dyDescent="0.25">
      <c r="A21" s="586" t="s">
        <v>86</v>
      </c>
      <c r="B21" s="586"/>
      <c r="C21" s="151">
        <v>25.5</v>
      </c>
      <c r="D21" s="151">
        <v>25.5</v>
      </c>
      <c r="E21" s="117">
        <f t="shared" si="1"/>
        <v>51</v>
      </c>
      <c r="F21" s="622">
        <f>'0664'!F21:G21</f>
        <v>3.706</v>
      </c>
      <c r="G21" s="622"/>
      <c r="H21" s="81">
        <f t="shared" si="2"/>
        <v>189.006</v>
      </c>
      <c r="I21" s="102">
        <f t="shared" si="3"/>
        <v>1014377.45</v>
      </c>
      <c r="N21" s="635" t="s">
        <v>86</v>
      </c>
      <c r="O21" s="635"/>
      <c r="P21" s="636">
        <f t="shared" si="0"/>
        <v>51</v>
      </c>
      <c r="Q21" s="636"/>
      <c r="R21" s="637">
        <v>1</v>
      </c>
      <c r="S21" s="637"/>
      <c r="T21" s="96">
        <f t="shared" si="4"/>
        <v>51</v>
      </c>
      <c r="U21" s="97">
        <f t="shared" si="5"/>
        <v>273712.21000000002</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9</v>
      </c>
      <c r="D23" s="151">
        <v>8</v>
      </c>
      <c r="E23" s="117">
        <f t="shared" si="1"/>
        <v>17</v>
      </c>
      <c r="F23" s="622">
        <f>'0664'!F23:G23</f>
        <v>5.7069999999999999</v>
      </c>
      <c r="G23" s="622"/>
      <c r="H23" s="81">
        <f t="shared" si="2"/>
        <v>97.019000000000005</v>
      </c>
      <c r="I23" s="102">
        <f t="shared" si="3"/>
        <v>520691.86</v>
      </c>
      <c r="N23" s="635" t="s">
        <v>88</v>
      </c>
      <c r="O23" s="635"/>
      <c r="P23" s="636">
        <f t="shared" si="0"/>
        <v>17</v>
      </c>
      <c r="Q23" s="636"/>
      <c r="R23" s="637">
        <v>1</v>
      </c>
      <c r="S23" s="637"/>
      <c r="T23" s="96">
        <f t="shared" si="4"/>
        <v>17</v>
      </c>
      <c r="U23" s="97">
        <f t="shared" si="5"/>
        <v>91237.4</v>
      </c>
    </row>
    <row r="24" spans="1:21" x14ac:dyDescent="0.25">
      <c r="A24" s="586" t="s">
        <v>89</v>
      </c>
      <c r="B24" s="586"/>
      <c r="C24" s="151">
        <v>16.5</v>
      </c>
      <c r="D24" s="151">
        <v>16.5</v>
      </c>
      <c r="E24" s="117">
        <f t="shared" si="1"/>
        <v>33</v>
      </c>
      <c r="F24" s="622">
        <f>'0664'!F24:G24</f>
        <v>5.7069999999999999</v>
      </c>
      <c r="G24" s="622"/>
      <c r="H24" s="81">
        <f t="shared" si="2"/>
        <v>188.33099999999999</v>
      </c>
      <c r="I24" s="102">
        <f t="shared" si="3"/>
        <v>1010754.79</v>
      </c>
      <c r="N24" s="635" t="s">
        <v>89</v>
      </c>
      <c r="O24" s="635"/>
      <c r="P24" s="636">
        <f t="shared" si="0"/>
        <v>33</v>
      </c>
      <c r="Q24" s="636"/>
      <c r="R24" s="637">
        <v>1</v>
      </c>
      <c r="S24" s="637"/>
      <c r="T24" s="96">
        <f t="shared" si="4"/>
        <v>33</v>
      </c>
      <c r="U24" s="97">
        <f t="shared" si="5"/>
        <v>177107.9</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0</v>
      </c>
      <c r="D27" s="151">
        <v>0</v>
      </c>
      <c r="E27" s="117">
        <f t="shared" si="1"/>
        <v>0</v>
      </c>
      <c r="F27" s="622">
        <f>'0664'!F27:G27</f>
        <v>1.208</v>
      </c>
      <c r="G27" s="622"/>
      <c r="H27" s="81">
        <f t="shared" si="2"/>
        <v>0</v>
      </c>
      <c r="I27" s="102">
        <f t="shared" si="3"/>
        <v>0</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73.5</v>
      </c>
      <c r="D30" s="95">
        <f>SUM(D14:D29)</f>
        <v>73.52</v>
      </c>
      <c r="E30" s="95">
        <f>SUM(E14:E29)</f>
        <v>147.01999999999998</v>
      </c>
      <c r="F30" s="609"/>
      <c r="G30" s="609"/>
      <c r="H30" s="100">
        <f>SUM(H14:H29)</f>
        <v>644.90610000000004</v>
      </c>
      <c r="I30" s="95">
        <f>SUM(I14:I29)</f>
        <v>3461150.4699999997</v>
      </c>
      <c r="N30" s="654" t="s">
        <v>5</v>
      </c>
      <c r="O30" s="654"/>
      <c r="P30" s="655">
        <f>SUM(P14:P29)</f>
        <v>147.01999999999998</v>
      </c>
      <c r="Q30" s="655"/>
      <c r="R30" s="656"/>
      <c r="S30" s="656"/>
      <c r="T30" s="101">
        <f>SUM(T14:T29)</f>
        <v>147.02000000000001</v>
      </c>
      <c r="U30" s="97">
        <f>SUM(U14:U29)</f>
        <v>789042.53</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644.90610000000004</v>
      </c>
      <c r="F46" s="34"/>
      <c r="G46" s="107"/>
      <c r="H46" s="108" t="s">
        <v>104</v>
      </c>
      <c r="I46" s="95">
        <f>SUM(I44,I30)</f>
        <v>3461150.4699999997</v>
      </c>
      <c r="N46" s="680" t="s">
        <v>44</v>
      </c>
      <c r="O46" s="680"/>
      <c r="P46" s="680"/>
      <c r="Q46" s="680"/>
      <c r="R46" s="35">
        <f>R44+T30</f>
        <v>147.02000000000001</v>
      </c>
      <c r="S46" s="656" t="s">
        <v>42</v>
      </c>
      <c r="T46" s="656"/>
      <c r="U46" s="109">
        <f>SUM(U44,U30)</f>
        <v>789042.53</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3461150.4699999997</v>
      </c>
      <c r="G51" s="110" t="s">
        <v>6</v>
      </c>
      <c r="H51" s="425">
        <v>4.5199999999999997E-2</v>
      </c>
      <c r="I51" s="102">
        <f>ROUND(F51*H51,2)</f>
        <v>156444</v>
      </c>
      <c r="N51" s="430"/>
      <c r="O51" s="431" t="s">
        <v>456</v>
      </c>
      <c r="P51" s="28"/>
      <c r="Q51" s="45" t="s">
        <v>457</v>
      </c>
      <c r="R51" s="432">
        <f>U30</f>
        <v>789042.53</v>
      </c>
      <c r="S51" s="433" t="s">
        <v>6</v>
      </c>
      <c r="T51" s="434">
        <v>4.5199999999999997E-2</v>
      </c>
      <c r="U51" s="426">
        <f>ROUND(R51*T51,2)</f>
        <v>35664.720000000001</v>
      </c>
    </row>
    <row r="52" spans="1:22" x14ac:dyDescent="0.25">
      <c r="A52" s="26"/>
      <c r="B52" s="82" t="s">
        <v>458</v>
      </c>
      <c r="C52" s="26"/>
      <c r="D52" s="26"/>
      <c r="E52" s="44" t="s">
        <v>457</v>
      </c>
      <c r="F52" s="424">
        <f>I46</f>
        <v>3461150.4699999997</v>
      </c>
      <c r="G52" s="110" t="s">
        <v>6</v>
      </c>
      <c r="H52" s="425">
        <v>1.41E-2</v>
      </c>
      <c r="I52" s="102">
        <f>ROUND(F52*H52,2)</f>
        <v>48802.22</v>
      </c>
      <c r="N52" s="28"/>
      <c r="O52" s="406" t="s">
        <v>458</v>
      </c>
      <c r="P52" s="28"/>
      <c r="Q52" s="45" t="s">
        <v>457</v>
      </c>
      <c r="R52" s="432">
        <f>U30</f>
        <v>789042.53</v>
      </c>
      <c r="S52" s="433" t="s">
        <v>6</v>
      </c>
      <c r="T52" s="434">
        <v>1.41E-2</v>
      </c>
      <c r="U52" s="435">
        <f>ROUND(R52*T52,2)</f>
        <v>11125.5</v>
      </c>
    </row>
    <row r="53" spans="1:22" x14ac:dyDescent="0.25">
      <c r="A53" s="26"/>
      <c r="B53" s="82" t="s">
        <v>459</v>
      </c>
      <c r="C53" s="26"/>
      <c r="D53" s="26"/>
      <c r="E53" s="44"/>
      <c r="F53" s="424"/>
      <c r="G53" s="110"/>
      <c r="H53" s="425"/>
      <c r="I53" s="98">
        <f>SUM(I51:I52)</f>
        <v>205246.22</v>
      </c>
      <c r="N53" s="28"/>
      <c r="O53" s="406" t="s">
        <v>459</v>
      </c>
      <c r="P53" s="28"/>
      <c r="Q53" s="45"/>
      <c r="R53" s="432"/>
      <c r="S53" s="433"/>
      <c r="T53" s="434"/>
      <c r="U53" s="426">
        <f>SUM(U51:U52)</f>
        <v>46790.22</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147.01999999999998</v>
      </c>
      <c r="D56" s="593" t="s">
        <v>476</v>
      </c>
      <c r="E56" s="593"/>
      <c r="F56" s="593"/>
      <c r="G56" s="593"/>
      <c r="H56" s="317">
        <f>'0664'!H56</f>
        <v>203305.63</v>
      </c>
      <c r="I56" s="114"/>
      <c r="N56" s="658" t="s">
        <v>466</v>
      </c>
      <c r="O56" s="635"/>
      <c r="P56" s="41">
        <f>P30</f>
        <v>147.01999999999998</v>
      </c>
      <c r="Q56" s="663" t="s">
        <v>468</v>
      </c>
      <c r="R56" s="664"/>
      <c r="S56" s="664"/>
      <c r="T56" s="662">
        <f>H56</f>
        <v>203305.63</v>
      </c>
      <c r="U56" s="662"/>
    </row>
    <row r="57" spans="1:22" x14ac:dyDescent="0.25">
      <c r="B57" s="70"/>
      <c r="G57" s="42" t="s">
        <v>12</v>
      </c>
      <c r="H57" s="115">
        <f>ROUND(C56/H56,6)</f>
        <v>7.2300000000000001E-4</v>
      </c>
      <c r="I57" s="116"/>
      <c r="N57" s="635"/>
      <c r="O57" s="635"/>
      <c r="P57" s="635"/>
      <c r="Q57" s="635"/>
      <c r="R57" s="635"/>
      <c r="S57" s="635"/>
      <c r="T57" s="665">
        <f>ROUND(P56/T56,6)</f>
        <v>7.2300000000000001E-4</v>
      </c>
      <c r="U57" s="665"/>
    </row>
    <row r="58" spans="1:22" x14ac:dyDescent="0.25">
      <c r="A58" s="423" t="s">
        <v>461</v>
      </c>
      <c r="N58" s="406" t="s">
        <v>483</v>
      </c>
      <c r="O58" s="52"/>
      <c r="P58" s="52"/>
      <c r="Q58" s="52"/>
      <c r="R58" s="52"/>
      <c r="S58" s="52"/>
      <c r="T58" s="52"/>
      <c r="U58" s="52"/>
    </row>
    <row r="59" spans="1:22" x14ac:dyDescent="0.25">
      <c r="A59" s="585" t="s">
        <v>463</v>
      </c>
      <c r="B59" s="586"/>
      <c r="C59" s="437">
        <f>H30</f>
        <v>644.90610000000004</v>
      </c>
      <c r="D59" s="593" t="s">
        <v>477</v>
      </c>
      <c r="E59" s="593"/>
      <c r="F59" s="593"/>
      <c r="G59" s="593"/>
      <c r="H59" s="318">
        <f>'0664'!H59</f>
        <v>227540.36</v>
      </c>
      <c r="I59" s="117"/>
      <c r="N59" s="658" t="s">
        <v>467</v>
      </c>
      <c r="O59" s="635"/>
      <c r="P59" s="41">
        <f>T30</f>
        <v>147.02000000000001</v>
      </c>
      <c r="Q59" s="663" t="s">
        <v>469</v>
      </c>
      <c r="R59" s="664"/>
      <c r="S59" s="664"/>
      <c r="T59" s="662">
        <f>H59</f>
        <v>227540.36</v>
      </c>
      <c r="U59" s="662"/>
    </row>
    <row r="60" spans="1:22" x14ac:dyDescent="0.25">
      <c r="G60" s="42" t="s">
        <v>12</v>
      </c>
      <c r="H60" s="115">
        <f>ROUND(C59/H59,6)</f>
        <v>2.8340000000000001E-3</v>
      </c>
      <c r="I60" s="115"/>
      <c r="N60" s="635"/>
      <c r="O60" s="635"/>
      <c r="P60" s="635"/>
      <c r="Q60" s="635"/>
      <c r="R60" s="635"/>
      <c r="S60" s="635"/>
      <c r="T60" s="665">
        <f>ROUND(P59/T59,6)</f>
        <v>6.4599999999999998E-4</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147.01999999999998</v>
      </c>
      <c r="D62" s="590" t="s">
        <v>478</v>
      </c>
      <c r="E62" s="590"/>
      <c r="F62" s="590"/>
      <c r="G62" s="590"/>
      <c r="H62" s="317">
        <f>'0664'!H62</f>
        <v>186907.73</v>
      </c>
      <c r="I62" s="114"/>
      <c r="N62" s="658" t="s">
        <v>465</v>
      </c>
      <c r="O62" s="635"/>
      <c r="P62" s="41">
        <f>P30</f>
        <v>147.01999999999998</v>
      </c>
      <c r="Q62" s="668" t="s">
        <v>470</v>
      </c>
      <c r="R62" s="669"/>
      <c r="S62" s="669"/>
      <c r="T62" s="662">
        <f>H62</f>
        <v>186907.73</v>
      </c>
      <c r="U62" s="662"/>
    </row>
    <row r="63" spans="1:22" x14ac:dyDescent="0.25">
      <c r="B63" s="70"/>
      <c r="G63" s="42" t="s">
        <v>12</v>
      </c>
      <c r="H63" s="115">
        <f>ROUND(C62/H62,6)</f>
        <v>7.8700000000000005E-4</v>
      </c>
      <c r="I63" s="116"/>
      <c r="N63" s="635"/>
      <c r="O63" s="635"/>
      <c r="P63" s="635"/>
      <c r="Q63" s="635"/>
      <c r="R63" s="635"/>
      <c r="S63" s="635"/>
      <c r="T63" s="665">
        <f>ROUND(P62/T62,6)</f>
        <v>7.8700000000000005E-4</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147.01999999999998</v>
      </c>
      <c r="D65" s="606" t="s">
        <v>479</v>
      </c>
      <c r="E65" s="606"/>
      <c r="F65" s="606"/>
      <c r="G65" s="606"/>
      <c r="H65" s="317">
        <f>'0664'!H65</f>
        <v>203080.55</v>
      </c>
      <c r="I65" s="114"/>
      <c r="N65" s="658" t="s">
        <v>465</v>
      </c>
      <c r="O65" s="635"/>
      <c r="P65" s="41">
        <f>P30</f>
        <v>147.01999999999998</v>
      </c>
      <c r="Q65" s="666" t="s">
        <v>471</v>
      </c>
      <c r="R65" s="667"/>
      <c r="S65" s="667"/>
      <c r="T65" s="662">
        <f>H65</f>
        <v>203080.55</v>
      </c>
      <c r="U65" s="662"/>
    </row>
    <row r="66" spans="1:22" x14ac:dyDescent="0.25">
      <c r="B66" s="70"/>
      <c r="G66" s="42" t="s">
        <v>12</v>
      </c>
      <c r="H66" s="115">
        <f>ROUND(C65/H65,6)</f>
        <v>7.2400000000000003E-4</v>
      </c>
      <c r="I66" s="116"/>
      <c r="N66" s="635"/>
      <c r="O66" s="635"/>
      <c r="P66" s="635"/>
      <c r="Q66" s="635"/>
      <c r="R66" s="635"/>
      <c r="S66" s="635"/>
      <c r="T66" s="665">
        <f>ROUND(P65/T65,6)</f>
        <v>7.2400000000000003E-4</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147.01999999999998</v>
      </c>
      <c r="D68" s="590" t="s">
        <v>480</v>
      </c>
      <c r="E68" s="590"/>
      <c r="F68" s="590"/>
      <c r="G68" s="590"/>
      <c r="H68" s="317">
        <f>'0664'!H68</f>
        <v>186682.65</v>
      </c>
      <c r="I68" s="114"/>
      <c r="N68" s="658" t="s">
        <v>481</v>
      </c>
      <c r="O68" s="635"/>
      <c r="P68" s="41">
        <f>P30</f>
        <v>147.01999999999998</v>
      </c>
      <c r="Q68" s="668" t="s">
        <v>487</v>
      </c>
      <c r="R68" s="669"/>
      <c r="S68" s="669"/>
      <c r="T68" s="662">
        <f>H68</f>
        <v>186682.65</v>
      </c>
      <c r="U68" s="662"/>
    </row>
    <row r="69" spans="1:22" x14ac:dyDescent="0.25">
      <c r="B69" s="70"/>
      <c r="G69" s="42" t="s">
        <v>12</v>
      </c>
      <c r="H69" s="115">
        <f>ROUND(C68/H68,6)</f>
        <v>7.8799999999999996E-4</v>
      </c>
      <c r="I69" s="116"/>
      <c r="N69" s="635"/>
      <c r="O69" s="635"/>
      <c r="P69" s="635"/>
      <c r="Q69" s="635"/>
      <c r="R69" s="635"/>
      <c r="S69" s="635"/>
      <c r="T69" s="665">
        <f>ROUND(P68/T68,6)</f>
        <v>7.8799999999999996E-4</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7.2400000000000003E-4</v>
      </c>
      <c r="I71" s="102">
        <f>ROUND(F71*H71,2)</f>
        <v>32337.85</v>
      </c>
      <c r="N71" s="52" t="s">
        <v>488</v>
      </c>
      <c r="O71" s="52"/>
      <c r="P71" s="52"/>
      <c r="Q71" s="45"/>
      <c r="R71" s="453">
        <f>F71</f>
        <v>44665536</v>
      </c>
      <c r="S71" s="38" t="s">
        <v>6</v>
      </c>
      <c r="T71" s="455">
        <f>T66</f>
        <v>7.2400000000000003E-4</v>
      </c>
      <c r="U71" s="97">
        <f>ROUND(R71*T71,0)</f>
        <v>32338</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7.2300000000000001E-4</v>
      </c>
      <c r="I74" s="102">
        <f>ROUND(F74*H74,2)</f>
        <v>0</v>
      </c>
      <c r="N74" s="670" t="s">
        <v>110</v>
      </c>
      <c r="O74" s="635"/>
      <c r="P74" s="635"/>
      <c r="Q74" s="45"/>
      <c r="R74" s="453">
        <f>F74</f>
        <v>0</v>
      </c>
      <c r="S74" s="38" t="s">
        <v>6</v>
      </c>
      <c r="T74" s="455">
        <f>T57</f>
        <v>7.2300000000000001E-4</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7.8799999999999996E-4</v>
      </c>
      <c r="I76" s="102">
        <f>ROUND(F76*H76,2)</f>
        <v>12739.64</v>
      </c>
      <c r="N76" s="431" t="s">
        <v>491</v>
      </c>
      <c r="O76" s="52"/>
      <c r="P76" s="52"/>
      <c r="Q76" s="45"/>
      <c r="R76" s="453">
        <f>F76</f>
        <v>16167052</v>
      </c>
      <c r="S76" s="38" t="s">
        <v>6</v>
      </c>
      <c r="T76" s="455">
        <f>T69</f>
        <v>7.8799999999999996E-4</v>
      </c>
      <c r="U76" s="97">
        <f>ROUND(R76*T76,0)</f>
        <v>12740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7.8700000000000005E-4</v>
      </c>
      <c r="I78" s="102">
        <f t="shared" ref="I78:I87" si="10">ROUND(F78*H78,2)</f>
        <v>7901.56</v>
      </c>
      <c r="N78" s="406" t="s">
        <v>493</v>
      </c>
      <c r="O78" s="52"/>
      <c r="P78" s="52"/>
      <c r="Q78" s="45"/>
      <c r="R78" s="453">
        <f t="shared" ref="R78:R87" si="11">F78</f>
        <v>10040099</v>
      </c>
      <c r="S78" s="38" t="s">
        <v>6</v>
      </c>
      <c r="T78" s="455">
        <f>T63</f>
        <v>7.8700000000000005E-4</v>
      </c>
      <c r="U78" s="97">
        <f t="shared" ref="U78:U87" si="12">ROUND(R78*T78,0)</f>
        <v>7902</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0</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0</v>
      </c>
      <c r="G83" s="37" t="s">
        <v>6</v>
      </c>
      <c r="H83" s="448">
        <f>'0664'!H83</f>
        <v>1951.26</v>
      </c>
      <c r="I83" s="102">
        <f>ROUND(F83*H83,2)</f>
        <v>0</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2.8340000000000001E-3</v>
      </c>
      <c r="I85" s="102">
        <f t="shared" si="10"/>
        <v>664256.81000000006</v>
      </c>
      <c r="N85" s="635" t="s">
        <v>500</v>
      </c>
      <c r="O85" s="635"/>
      <c r="P85" s="635"/>
      <c r="Q85" s="45"/>
      <c r="R85" s="453">
        <f t="shared" si="11"/>
        <v>234388431</v>
      </c>
      <c r="S85" s="38" t="s">
        <v>6</v>
      </c>
      <c r="T85" s="455">
        <f>T60</f>
        <v>6.4599999999999998E-4</v>
      </c>
      <c r="U85" s="97">
        <f t="shared" si="12"/>
        <v>151415</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2.8340000000000001E-3</v>
      </c>
      <c r="I87" s="102">
        <f t="shared" si="10"/>
        <v>0</v>
      </c>
      <c r="N87" s="658" t="s">
        <v>501</v>
      </c>
      <c r="O87" s="635"/>
      <c r="P87" s="635"/>
      <c r="Q87" s="45"/>
      <c r="R87" s="453">
        <f t="shared" si="11"/>
        <v>0</v>
      </c>
      <c r="S87" s="38" t="s">
        <v>6</v>
      </c>
      <c r="T87" s="455">
        <f>T60</f>
        <v>6.4599999999999998E-4</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267.56909999999999</v>
      </c>
      <c r="D92" s="597"/>
      <c r="E92" s="47">
        <f>H8</f>
        <v>1.0442</v>
      </c>
      <c r="F92" s="320">
        <f>'0664'!F92</f>
        <v>947.59</v>
      </c>
      <c r="G92" s="39" t="s">
        <v>12</v>
      </c>
      <c r="H92" s="102">
        <f>ROUND(C92*E92*F92,2)</f>
        <v>264752.53000000003</v>
      </c>
      <c r="I92" s="105"/>
      <c r="N92" s="28" t="s">
        <v>17</v>
      </c>
      <c r="O92" s="48">
        <f>T14+T15+T20+T23+T26</f>
        <v>63.02</v>
      </c>
      <c r="P92" s="673">
        <f>T8</f>
        <v>1.0442</v>
      </c>
      <c r="Q92" s="673"/>
      <c r="R92" s="49">
        <f>F92</f>
        <v>947.59</v>
      </c>
      <c r="S92" s="40" t="s">
        <v>12</v>
      </c>
      <c r="T92" s="123">
        <f>ROUND(O92*P92*R92,0)</f>
        <v>62357</v>
      </c>
      <c r="U92" s="103"/>
    </row>
    <row r="93" spans="1:21" x14ac:dyDescent="0.25">
      <c r="A93" s="50"/>
      <c r="B93" s="50" t="s">
        <v>116</v>
      </c>
      <c r="C93" s="597">
        <f>H16+H17+H21+H24+H27</f>
        <v>377.33699999999999</v>
      </c>
      <c r="D93" s="597"/>
      <c r="E93" s="47">
        <f>H8</f>
        <v>1.0442</v>
      </c>
      <c r="F93" s="320">
        <f>'0664'!F93</f>
        <v>904.74</v>
      </c>
      <c r="G93" s="39" t="s">
        <v>12</v>
      </c>
      <c r="H93" s="102">
        <f>ROUND(C93*E93*F93,2)</f>
        <v>356481.4</v>
      </c>
      <c r="N93" s="51" t="s">
        <v>13</v>
      </c>
      <c r="O93" s="48">
        <f>T16+T17+T21+T24+T27</f>
        <v>84</v>
      </c>
      <c r="P93" s="673">
        <f>T8</f>
        <v>1.0442</v>
      </c>
      <c r="Q93" s="673"/>
      <c r="R93" s="49">
        <f>F93</f>
        <v>904.74</v>
      </c>
      <c r="S93" s="40" t="s">
        <v>12</v>
      </c>
      <c r="T93" s="123">
        <f>ROUND(O93*P93*R93,0)</f>
        <v>79357</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644.90609999999992</v>
      </c>
      <c r="D95" s="601"/>
      <c r="E95" s="130"/>
      <c r="F95" s="130"/>
      <c r="G95" s="130"/>
      <c r="H95" s="131" t="s">
        <v>112</v>
      </c>
      <c r="I95" s="102">
        <f>IF(A1=75,0,H94+H93+H92)</f>
        <v>621233.93000000005</v>
      </c>
      <c r="N95" s="57" t="s">
        <v>95</v>
      </c>
      <c r="O95" s="58">
        <f>SUM(O92:O94)</f>
        <v>147.02000000000001</v>
      </c>
      <c r="P95" s="674" t="s">
        <v>16</v>
      </c>
      <c r="Q95" s="675"/>
      <c r="R95" s="675"/>
      <c r="S95" s="675"/>
      <c r="T95" s="675"/>
      <c r="U95" s="97">
        <f>IF(N1=75,0,T94+T93+T92)</f>
        <v>141714</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0</v>
      </c>
      <c r="D101" s="151">
        <v>0</v>
      </c>
      <c r="E101" s="117">
        <f>(C101+D101)/2</f>
        <v>0</v>
      </c>
      <c r="F101" s="134" t="s">
        <v>30</v>
      </c>
      <c r="G101" s="321">
        <f>'0664'!G101</f>
        <v>565</v>
      </c>
      <c r="I101" s="102">
        <f>ROUND(G101*E101,2)</f>
        <v>0</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1135151.53</v>
      </c>
    </row>
    <row r="116" spans="1:21" ht="16.5" thickTop="1" x14ac:dyDescent="0.25">
      <c r="A116" s="584" t="s">
        <v>8</v>
      </c>
      <c r="B116" s="584"/>
      <c r="C116" s="584"/>
      <c r="D116" s="584"/>
      <c r="E116" s="584"/>
      <c r="F116" s="584"/>
      <c r="G116" s="584"/>
      <c r="H116" s="584"/>
      <c r="I116" s="95">
        <f>SUM(I30,I44,I53,I71,I74,I76,I78,I83,I85,I87,I95,I101,I102,I112,I114)</f>
        <v>5004866.4800000004</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4799620.2600000007</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f>IF(E30=0,"",IF((E15+E17+SUM(E19:E25))/E30&gt;0.75,1,""))</f>
        <v>1</v>
      </c>
      <c r="I121" s="117">
        <f>U115</f>
        <v>1135151.53</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1135151.53</v>
      </c>
      <c r="I123" s="95">
        <f>ROUND(IF(E30=0,0,IF(E30&gt;250,-(((250/E30)*H123)*IF(G123="H",0.02,0.05)),IF(G123="H",-0.02*H123,-0.05*H123))),2)</f>
        <v>-56757.58</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4948108.9000000004</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4948108.9000000004</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412342.41</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0</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63" t="str">
        <f>'0664'!A140</f>
        <v>(a) Additional FTE includes FTE earned through Advanced Placement, International Baccalaureate, Advanced International Certificate of Education, Industry Certified Career</v>
      </c>
      <c r="B140" s="364"/>
      <c r="C140" s="364"/>
      <c r="D140" s="364"/>
      <c r="E140" s="364"/>
      <c r="F140" s="364"/>
      <c r="G140" s="364"/>
      <c r="H140" s="364"/>
      <c r="I140" s="364"/>
      <c r="J140" s="78"/>
      <c r="K140" s="77"/>
      <c r="L140" s="77"/>
      <c r="M140" s="77"/>
      <c r="N140" s="679"/>
      <c r="O140" s="679"/>
      <c r="P140" s="679"/>
      <c r="Q140" s="679"/>
      <c r="R140" s="679"/>
      <c r="S140" s="679"/>
      <c r="T140" s="679"/>
      <c r="U140" s="679"/>
    </row>
    <row r="141" spans="1:21" ht="15.75" customHeight="1" x14ac:dyDescent="0.25">
      <c r="A141" s="369" t="s">
        <v>426</v>
      </c>
      <c r="B141" s="364"/>
      <c r="C141" s="364"/>
      <c r="D141" s="364"/>
      <c r="E141" s="364"/>
      <c r="F141" s="364"/>
      <c r="G141" s="364"/>
      <c r="H141" s="364"/>
      <c r="I141" s="364"/>
      <c r="J141" s="78"/>
      <c r="K141" s="77"/>
      <c r="L141" s="77"/>
      <c r="M141" s="77"/>
      <c r="N141" s="74"/>
      <c r="O141" s="74"/>
      <c r="P141" s="74"/>
      <c r="Q141" s="74"/>
      <c r="R141" s="74"/>
      <c r="S141" s="74"/>
      <c r="T141" s="74"/>
      <c r="U141" s="74"/>
    </row>
    <row r="142" spans="1:21" x14ac:dyDescent="0.25">
      <c r="A142" s="363" t="s">
        <v>427</v>
      </c>
      <c r="B142" s="365"/>
      <c r="C142" s="365"/>
      <c r="D142" s="365"/>
      <c r="E142" s="365"/>
      <c r="F142" s="365"/>
      <c r="G142" s="365"/>
      <c r="H142" s="365"/>
      <c r="I142" s="365"/>
      <c r="J142" s="77"/>
      <c r="K142" s="77"/>
      <c r="L142" s="77"/>
      <c r="M142" s="77"/>
      <c r="N142" s="79"/>
      <c r="O142" s="80"/>
      <c r="P142" s="80"/>
      <c r="Q142" s="80"/>
      <c r="R142" s="80"/>
      <c r="S142" s="80"/>
      <c r="T142" s="80"/>
      <c r="U142" s="80"/>
    </row>
    <row r="143" spans="1:21" s="77" customFormat="1" x14ac:dyDescent="0.2">
      <c r="A143" s="363" t="s">
        <v>428</v>
      </c>
      <c r="B143" s="365"/>
      <c r="C143" s="365"/>
      <c r="D143" s="365"/>
      <c r="E143" s="365"/>
      <c r="F143" s="365"/>
      <c r="G143" s="365"/>
      <c r="H143" s="365"/>
      <c r="I143" s="365"/>
      <c r="N143" s="79"/>
    </row>
    <row r="144" spans="1:21" s="77" customFormat="1" x14ac:dyDescent="0.2">
      <c r="A144" s="363" t="s">
        <v>429</v>
      </c>
      <c r="B144" s="365"/>
      <c r="C144" s="365"/>
      <c r="D144" s="365"/>
      <c r="E144" s="365"/>
      <c r="F144" s="365"/>
      <c r="G144" s="365"/>
      <c r="H144" s="365"/>
      <c r="I144" s="365"/>
      <c r="N144" s="79"/>
    </row>
    <row r="145" spans="1:14" s="77" customFormat="1" x14ac:dyDescent="0.2">
      <c r="A145" s="363" t="s">
        <v>430</v>
      </c>
      <c r="B145" s="365"/>
      <c r="C145" s="365"/>
      <c r="D145" s="365"/>
      <c r="E145" s="365"/>
      <c r="F145" s="365"/>
      <c r="G145" s="365"/>
      <c r="H145" s="365"/>
      <c r="I145" s="365"/>
      <c r="N145" s="79"/>
    </row>
    <row r="146" spans="1:14" s="77" customFormat="1" x14ac:dyDescent="0.2">
      <c r="A146" s="363" t="s">
        <v>431</v>
      </c>
      <c r="B146" s="365"/>
      <c r="C146" s="365"/>
      <c r="D146" s="365"/>
      <c r="E146" s="365"/>
      <c r="F146" s="365"/>
      <c r="G146" s="365"/>
      <c r="H146" s="365"/>
      <c r="I146" s="365"/>
      <c r="N146" s="79"/>
    </row>
    <row r="147" spans="1:14" s="77" customFormat="1" x14ac:dyDescent="0.2">
      <c r="A147" s="363" t="s">
        <v>433</v>
      </c>
      <c r="B147" s="365"/>
      <c r="C147" s="365"/>
      <c r="D147" s="365"/>
      <c r="E147" s="365"/>
      <c r="F147" s="365"/>
      <c r="G147" s="365"/>
      <c r="H147" s="365"/>
      <c r="I147" s="365"/>
      <c r="N147" s="79"/>
    </row>
    <row r="148" spans="1:14" s="77" customFormat="1" x14ac:dyDescent="0.2">
      <c r="A148" s="369" t="s">
        <v>432</v>
      </c>
      <c r="B148" s="365"/>
      <c r="C148" s="365"/>
      <c r="D148" s="365"/>
      <c r="E148" s="365"/>
      <c r="F148" s="365"/>
      <c r="G148" s="365"/>
      <c r="H148" s="365"/>
      <c r="I148" s="365"/>
      <c r="N148" s="79"/>
    </row>
    <row r="149" spans="1:14" s="77" customFormat="1" x14ac:dyDescent="0.2">
      <c r="A149" s="363" t="s">
        <v>434</v>
      </c>
      <c r="B149" s="365"/>
      <c r="C149" s="365"/>
      <c r="D149" s="365"/>
      <c r="E149" s="365"/>
      <c r="F149" s="365"/>
      <c r="G149" s="365"/>
      <c r="H149" s="365"/>
      <c r="I149" s="365"/>
      <c r="N149" s="79"/>
    </row>
    <row r="150" spans="1:14" s="77" customFormat="1" x14ac:dyDescent="0.2">
      <c r="A150" s="369" t="str">
        <f>'0664'!A150</f>
        <v>"All Adjusted ESE Riders" should include only ESE Riders.</v>
      </c>
      <c r="B150" s="365"/>
      <c r="C150" s="365"/>
      <c r="D150" s="365"/>
      <c r="E150" s="365"/>
      <c r="F150" s="365"/>
      <c r="G150" s="365"/>
      <c r="H150" s="365"/>
      <c r="I150" s="365"/>
      <c r="N150" s="79"/>
    </row>
    <row r="151" spans="1:14" s="77" customFormat="1" x14ac:dyDescent="0.2">
      <c r="A151" s="363" t="s">
        <v>437</v>
      </c>
      <c r="B151" s="365"/>
      <c r="C151" s="365"/>
      <c r="D151" s="365"/>
      <c r="E151" s="365"/>
      <c r="F151" s="365"/>
      <c r="G151" s="365"/>
      <c r="H151" s="365"/>
      <c r="I151" s="365"/>
      <c r="N151" s="79"/>
    </row>
    <row r="152" spans="1:14" s="77" customFormat="1" ht="15.75" customHeight="1" x14ac:dyDescent="0.2">
      <c r="A152" s="363" t="str">
        <f>'0664'!A152</f>
        <v xml:space="preserve">(j) Funding based on student eligibility and meals provided, if participating in the National School Lunch Program. </v>
      </c>
      <c r="B152" s="365"/>
      <c r="C152" s="365"/>
      <c r="D152" s="365"/>
      <c r="E152" s="365"/>
      <c r="F152" s="365"/>
      <c r="G152" s="365"/>
      <c r="H152" s="365"/>
      <c r="I152" s="365"/>
      <c r="N152" s="79"/>
    </row>
    <row r="153" spans="1:14" s="77" customFormat="1" ht="15.75" customHeight="1" x14ac:dyDescent="0.2">
      <c r="A153" s="363" t="s">
        <v>439</v>
      </c>
      <c r="B153" s="365"/>
      <c r="C153" s="365"/>
      <c r="D153" s="365"/>
      <c r="E153" s="365"/>
      <c r="F153" s="365"/>
      <c r="G153" s="365"/>
      <c r="H153" s="365"/>
      <c r="I153" s="365"/>
      <c r="N153" s="79"/>
    </row>
    <row r="154" spans="1:14" s="77" customFormat="1" ht="15.75" customHeight="1" x14ac:dyDescent="0.2">
      <c r="A154" s="369" t="s">
        <v>438</v>
      </c>
      <c r="B154" s="365"/>
      <c r="C154" s="365"/>
      <c r="D154" s="365"/>
      <c r="E154" s="365"/>
      <c r="F154" s="365"/>
      <c r="G154" s="365"/>
      <c r="H154" s="365"/>
      <c r="I154" s="365"/>
      <c r="N154" s="79"/>
    </row>
    <row r="155" spans="1:14" s="77" customFormat="1" ht="15.75" customHeight="1" x14ac:dyDescent="0.2">
      <c r="A155" s="363" t="s">
        <v>440</v>
      </c>
      <c r="B155" s="365"/>
      <c r="C155" s="365"/>
      <c r="D155" s="365"/>
      <c r="E155" s="365"/>
      <c r="F155" s="365"/>
      <c r="G155" s="365"/>
      <c r="H155" s="365"/>
      <c r="I155" s="365"/>
      <c r="N155" s="79"/>
    </row>
    <row r="156" spans="1:14" s="77" customFormat="1" ht="15.75" customHeight="1" x14ac:dyDescent="0.2">
      <c r="A156" s="369" t="str">
        <f>'0664'!A156</f>
        <v xml:space="preserve">unweighted full-time equivalent students. </v>
      </c>
      <c r="B156" s="365"/>
      <c r="C156" s="365"/>
      <c r="D156" s="365"/>
      <c r="E156" s="365"/>
      <c r="F156" s="365"/>
      <c r="G156" s="365"/>
      <c r="H156" s="365"/>
      <c r="I156" s="365"/>
      <c r="N156" s="79"/>
    </row>
    <row r="157" spans="1:14" s="77" customFormat="1" ht="15.75" customHeight="1" x14ac:dyDescent="0.2">
      <c r="A157" s="363" t="s">
        <v>442</v>
      </c>
      <c r="B157" s="365"/>
      <c r="C157" s="365"/>
      <c r="D157" s="365"/>
      <c r="E157" s="365"/>
      <c r="F157" s="365"/>
      <c r="G157" s="365"/>
      <c r="H157" s="365"/>
      <c r="I157" s="365"/>
      <c r="N157" s="79"/>
    </row>
    <row r="158" spans="1:14" s="77" customFormat="1" ht="15.75" customHeight="1" x14ac:dyDescent="0.2">
      <c r="A158" s="369" t="s">
        <v>441</v>
      </c>
      <c r="B158" s="365"/>
      <c r="C158" s="365"/>
      <c r="D158" s="365"/>
      <c r="E158" s="365"/>
      <c r="F158" s="365"/>
      <c r="G158" s="365"/>
      <c r="H158" s="365"/>
      <c r="I158" s="365"/>
      <c r="N158" s="79"/>
    </row>
    <row r="159" spans="1:14" s="77" customFormat="1" ht="15.75" customHeight="1" x14ac:dyDescent="0.2">
      <c r="A159" s="363"/>
      <c r="B159" s="365"/>
      <c r="C159" s="365"/>
      <c r="D159" s="365"/>
      <c r="E159" s="365"/>
      <c r="F159" s="365"/>
      <c r="G159" s="365"/>
      <c r="H159" s="365"/>
      <c r="I159" s="365"/>
      <c r="N159" s="79"/>
    </row>
    <row r="160" spans="1:14" s="77" customFormat="1" ht="15.75" customHeight="1" x14ac:dyDescent="0.25">
      <c r="A160" s="376" t="str">
        <f>'0664'!A160</f>
        <v>Administrative fees:</v>
      </c>
      <c r="B160" s="365"/>
      <c r="C160" s="365"/>
      <c r="D160" s="365"/>
      <c r="E160" s="365"/>
      <c r="F160" s="365"/>
      <c r="G160" s="365"/>
      <c r="H160" s="365"/>
      <c r="I160" s="365"/>
      <c r="J160" s="3"/>
      <c r="K160" s="3"/>
      <c r="L160" s="3"/>
      <c r="M160" s="3"/>
      <c r="N160" s="79"/>
    </row>
    <row r="161" spans="1:21" s="77" customFormat="1" ht="15.75" customHeight="1" x14ac:dyDescent="0.25">
      <c r="A161" s="380" t="str">
        <f>'0664'!A161</f>
        <v xml:space="preserve">Administrative fees charged by the school district pursuant to s. 1002.33(20)(a), F.S., shall be calculated based upon 5% of available funds from the FEFP and categorical </v>
      </c>
      <c r="B161" s="368"/>
      <c r="C161" s="368"/>
      <c r="D161" s="368"/>
      <c r="E161" s="368"/>
      <c r="F161" s="368"/>
      <c r="G161" s="368"/>
      <c r="H161" s="368"/>
      <c r="I161" s="368"/>
      <c r="J161" s="3"/>
      <c r="K161" s="3"/>
      <c r="L161" s="3"/>
      <c r="M161" s="3"/>
      <c r="N161" s="79"/>
    </row>
    <row r="162" spans="1:21" s="77" customFormat="1" ht="15.75" customHeight="1" x14ac:dyDescent="0.25">
      <c r="A162" s="381" t="str">
        <f>'0664'!A162</f>
        <v>funding for which charter students may be eligible.  To calculate the administrative fee to be withheld for schools with more than 250 students, divide the school</v>
      </c>
      <c r="B162" s="375"/>
      <c r="C162" s="375"/>
      <c r="D162" s="375"/>
      <c r="E162" s="375"/>
      <c r="F162" s="375"/>
      <c r="G162" s="375"/>
      <c r="H162" s="375"/>
      <c r="I162" s="375"/>
      <c r="J162" s="3"/>
      <c r="K162" s="3"/>
      <c r="L162" s="3"/>
      <c r="M162" s="3"/>
      <c r="N162" s="79"/>
    </row>
    <row r="163" spans="1:21" s="77" customFormat="1" ht="15.75" customHeight="1" x14ac:dyDescent="0.25">
      <c r="A163" s="381" t="s">
        <v>443</v>
      </c>
      <c r="B163" s="375"/>
      <c r="C163" s="375"/>
      <c r="D163" s="375"/>
      <c r="E163" s="375"/>
      <c r="F163" s="375"/>
      <c r="G163" s="375"/>
      <c r="H163" s="375"/>
      <c r="I163" s="375"/>
      <c r="J163" s="3"/>
      <c r="K163" s="3"/>
      <c r="L163" s="3"/>
      <c r="M163" s="3"/>
      <c r="N163" s="79"/>
    </row>
    <row r="164" spans="1:21" s="77" customFormat="1" ht="15.75" customHeight="1" x14ac:dyDescent="0.25">
      <c r="A164" s="381" t="s">
        <v>444</v>
      </c>
      <c r="B164" s="375"/>
      <c r="C164" s="375"/>
      <c r="D164" s="375"/>
      <c r="E164" s="375"/>
      <c r="F164" s="375"/>
      <c r="G164" s="375"/>
      <c r="H164" s="375"/>
      <c r="I164" s="375"/>
      <c r="N164" s="75"/>
      <c r="O164" s="3"/>
      <c r="P164" s="3"/>
      <c r="Q164" s="3"/>
      <c r="R164" s="3"/>
      <c r="S164" s="3"/>
      <c r="T164" s="3"/>
      <c r="U164" s="3"/>
    </row>
    <row r="165" spans="1:21" s="77" customFormat="1" ht="15.75" customHeight="1" x14ac:dyDescent="0.25">
      <c r="A165" s="380"/>
      <c r="B165" s="375"/>
      <c r="C165" s="375"/>
      <c r="D165" s="375"/>
      <c r="E165" s="375"/>
      <c r="F165" s="375"/>
      <c r="G165" s="375"/>
      <c r="H165" s="375"/>
      <c r="I165" s="375"/>
      <c r="N165" s="75"/>
      <c r="O165" s="3"/>
      <c r="P165" s="3"/>
      <c r="Q165" s="3"/>
      <c r="R165" s="3"/>
      <c r="S165" s="3"/>
      <c r="T165" s="3"/>
      <c r="U165" s="3"/>
    </row>
    <row r="166" spans="1:21" ht="15.75" customHeight="1" x14ac:dyDescent="0.25">
      <c r="A166" s="380" t="str">
        <f>'0664'!A166</f>
        <v xml:space="preserve">For high performing charter schools, administrative fees charged by the school district shall be calculated based upon 2% of available funds from the FEFP and categorical </v>
      </c>
      <c r="B166" s="368"/>
      <c r="C166" s="368"/>
      <c r="D166" s="368"/>
      <c r="E166" s="368"/>
      <c r="F166" s="368"/>
      <c r="G166" s="368"/>
      <c r="H166" s="368"/>
      <c r="I166" s="368"/>
      <c r="J166" s="77"/>
      <c r="K166" s="77"/>
      <c r="L166" s="77"/>
      <c r="M166" s="77"/>
      <c r="N166" s="79"/>
      <c r="O166" s="77"/>
      <c r="P166" s="77"/>
      <c r="Q166" s="77"/>
      <c r="R166" s="77"/>
      <c r="S166" s="77"/>
      <c r="T166" s="77"/>
      <c r="U166" s="77"/>
    </row>
    <row r="167" spans="1:21" ht="15.75" customHeight="1" x14ac:dyDescent="0.25">
      <c r="A167" s="381" t="str">
        <f>'0664'!A167</f>
        <v>funding for which charter students may be eligible.  To calculate the administrative fee to be withheld for schools with more than 250 students, divide the school</v>
      </c>
      <c r="B167" s="368"/>
      <c r="C167" s="368"/>
      <c r="D167" s="368"/>
      <c r="E167" s="368"/>
      <c r="F167" s="368"/>
      <c r="G167" s="368"/>
      <c r="H167" s="368"/>
      <c r="I167" s="368"/>
      <c r="J167" s="77"/>
      <c r="K167" s="77"/>
      <c r="L167" s="77"/>
      <c r="M167" s="77"/>
      <c r="N167" s="79"/>
      <c r="O167" s="77"/>
      <c r="P167" s="77"/>
      <c r="Q167" s="77"/>
      <c r="R167" s="77"/>
      <c r="S167" s="77"/>
      <c r="T167" s="77"/>
      <c r="U167" s="77"/>
    </row>
    <row r="168" spans="1:21" s="77" customFormat="1" ht="15.75" customHeight="1" x14ac:dyDescent="0.2">
      <c r="A168" s="381" t="str">
        <f>'0664'!A168</f>
        <v xml:space="preserve">population into 250. Multiply that fraction times the funds available, then times 2%.  </v>
      </c>
      <c r="B168" s="368"/>
      <c r="C168" s="368"/>
      <c r="D168" s="368"/>
      <c r="E168" s="368"/>
      <c r="F168" s="368"/>
      <c r="G168" s="368"/>
      <c r="H168" s="368"/>
      <c r="I168" s="368"/>
      <c r="N168" s="79"/>
    </row>
    <row r="169" spans="1:21" x14ac:dyDescent="0.25">
      <c r="A169" s="363"/>
      <c r="B169" s="368"/>
      <c r="C169" s="368"/>
      <c r="D169" s="368"/>
      <c r="E169" s="368"/>
      <c r="F169" s="368"/>
      <c r="G169" s="368"/>
      <c r="H169" s="368"/>
      <c r="I169" s="368"/>
      <c r="N169" s="75"/>
    </row>
    <row r="170" spans="1:21" x14ac:dyDescent="0.25">
      <c r="A170" s="376" t="str">
        <f>'0664'!A170</f>
        <v>Other:</v>
      </c>
      <c r="B170" s="374"/>
      <c r="C170" s="374"/>
      <c r="D170" s="374"/>
      <c r="E170" s="374"/>
      <c r="F170" s="374"/>
      <c r="G170" s="374"/>
      <c r="H170" s="374"/>
      <c r="I170" s="374"/>
      <c r="N170" s="75"/>
    </row>
    <row r="171" spans="1:21" x14ac:dyDescent="0.25">
      <c r="A171" s="380" t="str">
        <f>'0664'!A171</f>
        <v>FEFP and categorical funding are recalculated during the year to reflect the revised number of full-time equivalent students reported during the survey periods designated</v>
      </c>
      <c r="B171" s="368"/>
      <c r="C171" s="368"/>
      <c r="D171" s="368"/>
      <c r="E171" s="368"/>
      <c r="F171" s="368"/>
      <c r="G171" s="368"/>
      <c r="H171" s="368"/>
      <c r="I171" s="368"/>
      <c r="N171" s="75"/>
    </row>
    <row r="172" spans="1:21" x14ac:dyDescent="0.25">
      <c r="A172" s="381" t="str">
        <f>'0664'!A172</f>
        <v>by the Commissioner of Education.</v>
      </c>
      <c r="B172" s="375"/>
      <c r="C172" s="375"/>
      <c r="D172" s="375"/>
      <c r="E172" s="375"/>
      <c r="F172" s="375"/>
      <c r="G172" s="375"/>
      <c r="H172" s="375"/>
      <c r="I172" s="375"/>
      <c r="N172" s="75"/>
    </row>
    <row r="173" spans="1:21" x14ac:dyDescent="0.25">
      <c r="A173" s="380" t="str">
        <f>'0664'!A173</f>
        <v>Revenues flow to districts from state sources and from county tax collectors on various distribution schedules.</v>
      </c>
      <c r="B173" s="368"/>
      <c r="C173" s="368"/>
      <c r="D173" s="368"/>
      <c r="E173" s="368"/>
      <c r="F173" s="368"/>
      <c r="G173" s="368"/>
      <c r="H173" s="368"/>
      <c r="I173" s="368"/>
      <c r="N173" s="75"/>
    </row>
    <row r="174" spans="1:21" x14ac:dyDescent="0.25">
      <c r="A174" s="310"/>
      <c r="B174" s="310"/>
      <c r="C174" s="310"/>
      <c r="D174" s="310"/>
      <c r="E174" s="310"/>
      <c r="F174" s="310"/>
      <c r="G174" s="310"/>
      <c r="H174" s="310"/>
      <c r="I174" s="310"/>
      <c r="N174" s="75"/>
    </row>
    <row r="175" spans="1:21" x14ac:dyDescent="0.25">
      <c r="A175" s="75"/>
      <c r="N175" s="75"/>
    </row>
    <row r="176" spans="1:21" x14ac:dyDescent="0.25">
      <c r="A176" s="75"/>
      <c r="N176" s="75"/>
    </row>
    <row r="177" spans="1:14" x14ac:dyDescent="0.25">
      <c r="A177" s="75"/>
      <c r="N177" s="75"/>
    </row>
    <row r="178" spans="1:14" x14ac:dyDescent="0.25">
      <c r="A178" s="75"/>
      <c r="B178" s="143"/>
      <c r="C178" s="143"/>
      <c r="D178" s="143"/>
      <c r="E178" s="143"/>
      <c r="F178" s="143"/>
      <c r="G178" s="143"/>
      <c r="H178" s="143"/>
      <c r="I178" s="143"/>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C93:D93"/>
    <mergeCell ref="P93:Q93"/>
    <mergeCell ref="C94:D94"/>
    <mergeCell ref="P94:Q94"/>
    <mergeCell ref="C95:D95"/>
    <mergeCell ref="P95:T95"/>
    <mergeCell ref="A96:I96"/>
    <mergeCell ref="N96:U96"/>
    <mergeCell ref="F98:I98"/>
    <mergeCell ref="N98:P98"/>
    <mergeCell ref="Q98:T98"/>
    <mergeCell ref="R108:S108"/>
    <mergeCell ref="A101:B101"/>
    <mergeCell ref="N101:O101"/>
    <mergeCell ref="P101:R101"/>
    <mergeCell ref="A102:B102"/>
    <mergeCell ref="N102:O102"/>
    <mergeCell ref="P102:R102"/>
    <mergeCell ref="R110:S110"/>
    <mergeCell ref="A105:C105"/>
    <mergeCell ref="F105:I105"/>
    <mergeCell ref="N105:U105"/>
    <mergeCell ref="C106:E106"/>
    <mergeCell ref="F107:G107"/>
    <mergeCell ref="A108:B108"/>
    <mergeCell ref="F108:G108"/>
    <mergeCell ref="N108:O108"/>
    <mergeCell ref="P108:Q108"/>
    <mergeCell ref="A109:B109"/>
    <mergeCell ref="F109:G109"/>
    <mergeCell ref="N109:O109"/>
    <mergeCell ref="P109:Q109"/>
    <mergeCell ref="N112:O112"/>
    <mergeCell ref="A112:B112"/>
    <mergeCell ref="R109:S109"/>
    <mergeCell ref="A110:B110"/>
    <mergeCell ref="F110:G110"/>
    <mergeCell ref="N110:O110"/>
    <mergeCell ref="P110:Q110"/>
    <mergeCell ref="N140:U140"/>
    <mergeCell ref="N120:U120"/>
    <mergeCell ref="N114:P114"/>
    <mergeCell ref="A114:C114"/>
    <mergeCell ref="F114:H114"/>
    <mergeCell ref="N115:T115"/>
    <mergeCell ref="A116:H116"/>
    <mergeCell ref="A120:G120"/>
    <mergeCell ref="A121:G121"/>
    <mergeCell ref="N121:U121"/>
    <mergeCell ref="A111:B111"/>
    <mergeCell ref="F111:G111"/>
    <mergeCell ref="N111:O111"/>
    <mergeCell ref="P111:Q111"/>
    <mergeCell ref="R111:S111"/>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CCC"/>
  </sheetPr>
  <dimension ref="A1:V209"/>
  <sheetViews>
    <sheetView showGridLines="0" zoomScaleNormal="100" workbookViewId="0">
      <pane ySplit="1" topLeftCell="A96"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418</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9" t="s">
        <v>333</v>
      </c>
      <c r="D10" s="89"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141.85</v>
      </c>
      <c r="D14" s="149">
        <v>138.65</v>
      </c>
      <c r="E14" s="196">
        <f>IF(D$30=0,C14*2,C14+D14)</f>
        <v>280.5</v>
      </c>
      <c r="F14" s="625">
        <f>'0664'!F14:G14</f>
        <v>1.1220000000000001</v>
      </c>
      <c r="G14" s="625"/>
      <c r="H14" s="153">
        <f>ROUND(E14*F14,4)</f>
        <v>314.721</v>
      </c>
      <c r="I14" s="112">
        <f>ROUND(ROUND(ROUND(H14*$C$8,4)*($H$8),2)*(MAX($H$9,1)),2)</f>
        <v>1689078.04</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24</v>
      </c>
      <c r="D15" s="151">
        <v>25.5</v>
      </c>
      <c r="E15" s="117">
        <f t="shared" ref="E15:E29" si="1">IF(D$30=0,C15*2,C15+D15)</f>
        <v>49.5</v>
      </c>
      <c r="F15" s="622">
        <f>'0664'!F15:G15</f>
        <v>1.1220000000000001</v>
      </c>
      <c r="G15" s="622"/>
      <c r="H15" s="81">
        <f t="shared" ref="H15:H29" si="2">ROUND(E15*F15,4)</f>
        <v>55.539000000000001</v>
      </c>
      <c r="I15" s="102">
        <f t="shared" ref="I15:I29" si="3">ROUND(ROUND(ROUND(H15*$C$8,4)*($H$8),2)*(MAX($H$9,1)),2)</f>
        <v>298072.59999999998</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58.16</v>
      </c>
      <c r="D16" s="151">
        <v>56.03</v>
      </c>
      <c r="E16" s="117">
        <f t="shared" si="1"/>
        <v>114.19</v>
      </c>
      <c r="F16" s="622">
        <f>'0664'!F16:G16</f>
        <v>1</v>
      </c>
      <c r="G16" s="622"/>
      <c r="H16" s="81">
        <f t="shared" si="2"/>
        <v>114.19</v>
      </c>
      <c r="I16" s="102">
        <f t="shared" si="3"/>
        <v>612847</v>
      </c>
      <c r="N16" s="635" t="s">
        <v>22</v>
      </c>
      <c r="O16" s="635"/>
      <c r="P16" s="636">
        <f t="shared" si="0"/>
        <v>0</v>
      </c>
      <c r="Q16" s="636"/>
      <c r="R16" s="637">
        <v>1</v>
      </c>
      <c r="S16" s="637"/>
      <c r="T16" s="96">
        <f t="shared" si="4"/>
        <v>0</v>
      </c>
      <c r="U16" s="97">
        <f t="shared" si="5"/>
        <v>0</v>
      </c>
    </row>
    <row r="17" spans="1:21" x14ac:dyDescent="0.25">
      <c r="A17" s="586" t="s">
        <v>23</v>
      </c>
      <c r="B17" s="586"/>
      <c r="C17" s="151">
        <v>14</v>
      </c>
      <c r="D17" s="151">
        <v>14.48</v>
      </c>
      <c r="E17" s="117">
        <f t="shared" si="1"/>
        <v>28.48</v>
      </c>
      <c r="F17" s="622">
        <f>'0664'!F17:G17</f>
        <v>1</v>
      </c>
      <c r="G17" s="622"/>
      <c r="H17" s="81">
        <f t="shared" si="2"/>
        <v>28.48</v>
      </c>
      <c r="I17" s="102">
        <f t="shared" si="3"/>
        <v>152849.48000000001</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43.47</v>
      </c>
      <c r="D26" s="151">
        <v>44.23</v>
      </c>
      <c r="E26" s="117">
        <f t="shared" si="1"/>
        <v>87.699999999999989</v>
      </c>
      <c r="F26" s="622">
        <f>'0664'!F26:G26</f>
        <v>1.208</v>
      </c>
      <c r="G26" s="622"/>
      <c r="H26" s="81">
        <f t="shared" si="2"/>
        <v>105.94159999999999</v>
      </c>
      <c r="I26" s="102">
        <f t="shared" si="3"/>
        <v>568578.62</v>
      </c>
      <c r="N26" s="635" t="s">
        <v>91</v>
      </c>
      <c r="O26" s="635"/>
      <c r="P26" s="636">
        <f t="shared" si="0"/>
        <v>0</v>
      </c>
      <c r="Q26" s="636"/>
      <c r="R26" s="637">
        <v>1</v>
      </c>
      <c r="S26" s="637"/>
      <c r="T26" s="96">
        <f t="shared" si="4"/>
        <v>0</v>
      </c>
      <c r="U26" s="97">
        <f t="shared" si="5"/>
        <v>0</v>
      </c>
    </row>
    <row r="27" spans="1:21" x14ac:dyDescent="0.25">
      <c r="A27" s="586" t="s">
        <v>92</v>
      </c>
      <c r="B27" s="586"/>
      <c r="C27" s="151">
        <v>16.23</v>
      </c>
      <c r="D27" s="151">
        <v>15.4</v>
      </c>
      <c r="E27" s="117">
        <f t="shared" si="1"/>
        <v>31.630000000000003</v>
      </c>
      <c r="F27" s="622">
        <f>'0664'!F27:G27</f>
        <v>1.208</v>
      </c>
      <c r="G27" s="622"/>
      <c r="H27" s="81">
        <f t="shared" si="2"/>
        <v>38.209000000000003</v>
      </c>
      <c r="I27" s="102">
        <f t="shared" si="3"/>
        <v>205064.11</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297.71000000000004</v>
      </c>
      <c r="D30" s="95">
        <f>SUM(D14:D29)</f>
        <v>294.28999999999996</v>
      </c>
      <c r="E30" s="95">
        <f>SUM(E14:E29)</f>
        <v>592</v>
      </c>
      <c r="F30" s="609"/>
      <c r="G30" s="609"/>
      <c r="H30" s="100">
        <f>SUM(H14:H29)</f>
        <v>657.0806</v>
      </c>
      <c r="I30" s="95">
        <f>SUM(I14:I29)</f>
        <v>3526489.85</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657.0806</v>
      </c>
      <c r="F46" s="34"/>
      <c r="G46" s="107"/>
      <c r="H46" s="108" t="s">
        <v>104</v>
      </c>
      <c r="I46" s="95">
        <f>SUM(I44,I30)</f>
        <v>3526489.85</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3526489.85</v>
      </c>
      <c r="G51" s="110" t="s">
        <v>6</v>
      </c>
      <c r="H51" s="425">
        <v>4.5199999999999997E-2</v>
      </c>
      <c r="I51" s="102">
        <f>ROUND(F51*H51,2)</f>
        <v>159397.34</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3526489.85</v>
      </c>
      <c r="G52" s="110" t="s">
        <v>6</v>
      </c>
      <c r="H52" s="425">
        <v>1.41E-2</v>
      </c>
      <c r="I52" s="102">
        <f>ROUND(F52*H52,2)</f>
        <v>49723.51</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209120.85</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592</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2.9120000000000001E-3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657.0806</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2.8879999999999999E-3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592</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3.1670000000000001E-3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592</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2.9150000000000001E-3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592</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3.1710000000000002E-3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2.9150000000000001E-3</v>
      </c>
      <c r="I71" s="102">
        <f>ROUND(F71*H71,2)</f>
        <v>130200.04</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2.9120000000000001E-3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3.1710000000000002E-3</v>
      </c>
      <c r="I76" s="102">
        <f>ROUND(F76*H76,2)</f>
        <v>51265.72</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3.1670000000000001E-3</v>
      </c>
      <c r="I78" s="102">
        <f t="shared" ref="I78:I87" si="10">ROUND(F78*H78,2)</f>
        <v>31796.99</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77.98</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77.98</v>
      </c>
      <c r="G83" s="37" t="s">
        <v>6</v>
      </c>
      <c r="H83" s="448">
        <f>'0664'!H83</f>
        <v>1951.26</v>
      </c>
      <c r="I83" s="102">
        <f>ROUND(F83*H83,2)</f>
        <v>152159.25</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2.8879999999999999E-3</v>
      </c>
      <c r="I85" s="102">
        <f t="shared" si="10"/>
        <v>676913.79</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2.8879999999999999E-3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476.20159999999998</v>
      </c>
      <c r="D92" s="597"/>
      <c r="E92" s="47">
        <f>H8</f>
        <v>1.0442</v>
      </c>
      <c r="F92" s="320">
        <f>'0664'!F92</f>
        <v>947.59</v>
      </c>
      <c r="G92" s="39" t="s">
        <v>12</v>
      </c>
      <c r="H92" s="102">
        <f>ROUND(C92*E92*F92,2)</f>
        <v>471188.85</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180.87899999999999</v>
      </c>
      <c r="D93" s="597"/>
      <c r="E93" s="47">
        <f>H8</f>
        <v>1.0442</v>
      </c>
      <c r="F93" s="320">
        <f>'0664'!F93</f>
        <v>904.74</v>
      </c>
      <c r="G93" s="39" t="s">
        <v>12</v>
      </c>
      <c r="H93" s="102">
        <f>ROUND(C93*E93*F93,2)</f>
        <v>170881.73</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657.0806</v>
      </c>
      <c r="D95" s="601"/>
      <c r="E95" s="130"/>
      <c r="F95" s="130"/>
      <c r="G95" s="130"/>
      <c r="H95" s="131" t="s">
        <v>112</v>
      </c>
      <c r="I95" s="102">
        <f>IF(A1=75,0,H94+H93+H92)</f>
        <v>642070.57999999996</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196</v>
      </c>
      <c r="D101" s="151">
        <v>193</v>
      </c>
      <c r="E101" s="117">
        <f>(C101+D101)/2</f>
        <v>194.5</v>
      </c>
      <c r="F101" s="134" t="s">
        <v>30</v>
      </c>
      <c r="G101" s="321">
        <f>'0664'!G101</f>
        <v>565</v>
      </c>
      <c r="I101" s="102">
        <f>ROUND(G101*E101,2)</f>
        <v>109892.5</v>
      </c>
      <c r="N101" s="684" t="s">
        <v>54</v>
      </c>
      <c r="O101" s="684"/>
      <c r="P101" s="672">
        <f>IF(H121=1,E101,0)</f>
        <v>0</v>
      </c>
      <c r="Q101" s="672"/>
      <c r="R101" s="672"/>
      <c r="S101" s="84" t="s">
        <v>30</v>
      </c>
      <c r="T101" s="59">
        <f>G101</f>
        <v>565</v>
      </c>
      <c r="U101" s="97">
        <f>ROUND(T101*P101,0)</f>
        <v>0</v>
      </c>
    </row>
    <row r="102" spans="1:21" x14ac:dyDescent="0.25">
      <c r="A102" s="590" t="s">
        <v>436</v>
      </c>
      <c r="B102" s="596"/>
      <c r="C102" s="151">
        <v>1</v>
      </c>
      <c r="D102" s="151">
        <v>0</v>
      </c>
      <c r="E102" s="117">
        <f>(C102+D102)/2</f>
        <v>0.5</v>
      </c>
      <c r="F102" s="134" t="s">
        <v>30</v>
      </c>
      <c r="G102" s="321">
        <f>'0664'!G102</f>
        <v>1762</v>
      </c>
      <c r="I102" s="102">
        <f>ROUND(G102*E102,2)</f>
        <v>881</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5530790.5700000003</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5321669.7200000007</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1"/>
      <c r="H123" s="147">
        <f>IF(H121=1,I121,I118)</f>
        <v>5321669.7200000007</v>
      </c>
      <c r="I123" s="95">
        <f>ROUND(IF(E30=0,0,IF(E30&gt;250,-(((250/E30)*H123)*IF(G123="H",0.02,0.05)),IF(G123="H",-0.02*H123,-0.05*H123))),2)</f>
        <v>-112366.34</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5418424.2300000004</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5418424.2300000004</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451535.35</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IF(G123="H",(H123*0.02)+I123,(H123*0.05)+I123)</f>
        <v>153717.14600000004</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C93:D93"/>
    <mergeCell ref="P93:Q93"/>
    <mergeCell ref="C94:D94"/>
    <mergeCell ref="P94:Q94"/>
    <mergeCell ref="C95:D95"/>
    <mergeCell ref="P95:T95"/>
    <mergeCell ref="A96:I96"/>
    <mergeCell ref="N96:U96"/>
    <mergeCell ref="F98:I98"/>
    <mergeCell ref="N98:P98"/>
    <mergeCell ref="Q98:T98"/>
    <mergeCell ref="R108:S108"/>
    <mergeCell ref="A101:B101"/>
    <mergeCell ref="N101:O101"/>
    <mergeCell ref="P101:R101"/>
    <mergeCell ref="A102:B102"/>
    <mergeCell ref="N102:O102"/>
    <mergeCell ref="P102:R102"/>
    <mergeCell ref="R110:S110"/>
    <mergeCell ref="A105:C105"/>
    <mergeCell ref="F105:I105"/>
    <mergeCell ref="N105:U105"/>
    <mergeCell ref="C106:E106"/>
    <mergeCell ref="F107:G107"/>
    <mergeCell ref="A108:B108"/>
    <mergeCell ref="F108:G108"/>
    <mergeCell ref="N108:O108"/>
    <mergeCell ref="P108:Q108"/>
    <mergeCell ref="A109:B109"/>
    <mergeCell ref="F109:G109"/>
    <mergeCell ref="N109:O109"/>
    <mergeCell ref="P109:Q109"/>
    <mergeCell ref="R109:S109"/>
    <mergeCell ref="A110:B110"/>
    <mergeCell ref="F110:G110"/>
    <mergeCell ref="N110:O110"/>
    <mergeCell ref="P110:Q110"/>
    <mergeCell ref="A111:B111"/>
    <mergeCell ref="F111:G111"/>
    <mergeCell ref="N111:O111"/>
    <mergeCell ref="P111:Q111"/>
    <mergeCell ref="R111:S111"/>
    <mergeCell ref="A112:B112"/>
    <mergeCell ref="N112:O112"/>
    <mergeCell ref="N140:U140"/>
    <mergeCell ref="N120:U120"/>
    <mergeCell ref="N114:P114"/>
    <mergeCell ref="A114:C114"/>
    <mergeCell ref="F114:H114"/>
    <mergeCell ref="N115:T115"/>
    <mergeCell ref="A116:H116"/>
    <mergeCell ref="A120:G120"/>
    <mergeCell ref="N121:U121"/>
    <mergeCell ref="A121:G121"/>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CCC"/>
  </sheetPr>
  <dimension ref="A1:V209"/>
  <sheetViews>
    <sheetView showGridLines="0" zoomScaleNormal="100" workbookViewId="0">
      <pane ySplit="1" topLeftCell="A103"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128</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91.99</v>
      </c>
      <c r="D14" s="151">
        <v>88.09</v>
      </c>
      <c r="E14" s="196">
        <f>IF(D$30=0,C14*2,C14+D14)</f>
        <v>180.07999999999998</v>
      </c>
      <c r="F14" s="625">
        <f>'0664'!F14:G14</f>
        <v>1.1220000000000001</v>
      </c>
      <c r="G14" s="625"/>
      <c r="H14" s="153">
        <f>ROUND(E14*F14,4)</f>
        <v>202.0498</v>
      </c>
      <c r="I14" s="112">
        <f>ROUND(ROUND(ROUND(H14*$C$8,4)*($H$8),2)*(MAX($H$9,1)),2)</f>
        <v>1084382.3</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15.48</v>
      </c>
      <c r="D15" s="151">
        <v>15.01</v>
      </c>
      <c r="E15" s="117">
        <f t="shared" ref="E15:E29" si="1">IF(D$30=0,C15*2,C15+D15)</f>
        <v>30.490000000000002</v>
      </c>
      <c r="F15" s="622">
        <f>'0664'!F15:G15</f>
        <v>1.1220000000000001</v>
      </c>
      <c r="G15" s="622"/>
      <c r="H15" s="81">
        <f t="shared" ref="H15:H29" si="2">ROUND(E15*F15,4)</f>
        <v>34.209800000000001</v>
      </c>
      <c r="I15" s="102">
        <f t="shared" ref="I15:I29" si="3">ROUND(ROUND(ROUND(H15*$C$8,4)*($H$8),2)*(MAX($H$9,1)),2)</f>
        <v>183600.78</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141.65</v>
      </c>
      <c r="D16" s="151">
        <v>138.54</v>
      </c>
      <c r="E16" s="117">
        <f t="shared" si="1"/>
        <v>280.19</v>
      </c>
      <c r="F16" s="622">
        <f>'0664'!F16:G16</f>
        <v>1</v>
      </c>
      <c r="G16" s="622"/>
      <c r="H16" s="81">
        <f t="shared" si="2"/>
        <v>280.19</v>
      </c>
      <c r="I16" s="102">
        <f t="shared" si="3"/>
        <v>1503753.41</v>
      </c>
      <c r="N16" s="635" t="s">
        <v>22</v>
      </c>
      <c r="O16" s="635"/>
      <c r="P16" s="636">
        <f t="shared" si="0"/>
        <v>0</v>
      </c>
      <c r="Q16" s="636"/>
      <c r="R16" s="637">
        <v>1</v>
      </c>
      <c r="S16" s="637"/>
      <c r="T16" s="96">
        <f t="shared" si="4"/>
        <v>0</v>
      </c>
      <c r="U16" s="97">
        <f t="shared" si="5"/>
        <v>0</v>
      </c>
    </row>
    <row r="17" spans="1:21" x14ac:dyDescent="0.25">
      <c r="A17" s="586" t="s">
        <v>23</v>
      </c>
      <c r="B17" s="586"/>
      <c r="C17" s="151">
        <v>35.119999999999997</v>
      </c>
      <c r="D17" s="151">
        <v>33.909999999999997</v>
      </c>
      <c r="E17" s="117">
        <f t="shared" si="1"/>
        <v>69.03</v>
      </c>
      <c r="F17" s="622">
        <f>'0664'!F17:G17</f>
        <v>1</v>
      </c>
      <c r="G17" s="622"/>
      <c r="H17" s="81">
        <f t="shared" si="2"/>
        <v>69.03</v>
      </c>
      <c r="I17" s="102">
        <f t="shared" si="3"/>
        <v>370477.53</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6.99</v>
      </c>
      <c r="D26" s="151">
        <v>7.01</v>
      </c>
      <c r="E26" s="117">
        <f t="shared" si="1"/>
        <v>14</v>
      </c>
      <c r="F26" s="622">
        <f>'0664'!F26:G26</f>
        <v>1.208</v>
      </c>
      <c r="G26" s="622"/>
      <c r="H26" s="81">
        <f t="shared" si="2"/>
        <v>16.911999999999999</v>
      </c>
      <c r="I26" s="102">
        <f t="shared" si="3"/>
        <v>90765.119999999995</v>
      </c>
      <c r="N26" s="635" t="s">
        <v>91</v>
      </c>
      <c r="O26" s="635"/>
      <c r="P26" s="636">
        <f t="shared" si="0"/>
        <v>0</v>
      </c>
      <c r="Q26" s="636"/>
      <c r="R26" s="637">
        <v>1</v>
      </c>
      <c r="S26" s="637"/>
      <c r="T26" s="96">
        <f t="shared" si="4"/>
        <v>0</v>
      </c>
      <c r="U26" s="97">
        <f t="shared" si="5"/>
        <v>0</v>
      </c>
    </row>
    <row r="27" spans="1:21" x14ac:dyDescent="0.25">
      <c r="A27" s="586" t="s">
        <v>92</v>
      </c>
      <c r="B27" s="586"/>
      <c r="C27" s="151">
        <v>0.77</v>
      </c>
      <c r="D27" s="151">
        <v>0.84</v>
      </c>
      <c r="E27" s="117">
        <f t="shared" si="1"/>
        <v>1.6099999999999999</v>
      </c>
      <c r="F27" s="622">
        <f>'0664'!F27:G27</f>
        <v>1.208</v>
      </c>
      <c r="G27" s="622"/>
      <c r="H27" s="81">
        <f t="shared" si="2"/>
        <v>1.9449000000000001</v>
      </c>
      <c r="I27" s="102">
        <f t="shared" si="3"/>
        <v>10438.1</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292</v>
      </c>
      <c r="D30" s="95">
        <f>SUM(D14:D29)</f>
        <v>283.39999999999992</v>
      </c>
      <c r="E30" s="95">
        <f>SUM(E14:E29)</f>
        <v>575.4</v>
      </c>
      <c r="F30" s="609"/>
      <c r="G30" s="609"/>
      <c r="H30" s="100">
        <f>SUM(H14:H29)</f>
        <v>604.3365</v>
      </c>
      <c r="I30" s="95">
        <f>SUM(I14:I29)</f>
        <v>3243417.2400000007</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604.3365</v>
      </c>
      <c r="F46" s="34"/>
      <c r="G46" s="107"/>
      <c r="H46" s="108" t="s">
        <v>104</v>
      </c>
      <c r="I46" s="95">
        <f>SUM(I44,I30)</f>
        <v>3243417.2400000007</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3243417.2400000007</v>
      </c>
      <c r="G51" s="110" t="s">
        <v>6</v>
      </c>
      <c r="H51" s="425">
        <v>4.5199999999999997E-2</v>
      </c>
      <c r="I51" s="102">
        <f>ROUND(F51*H51,2)</f>
        <v>146602.46</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3243417.2400000007</v>
      </c>
      <c r="G52" s="110" t="s">
        <v>6</v>
      </c>
      <c r="H52" s="425">
        <v>1.41E-2</v>
      </c>
      <c r="I52" s="102">
        <f>ROUND(F52*H52,2)</f>
        <v>45732.18</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192334.63999999998</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575.4</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2.8300000000000001E-3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604.3365</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2.6559999999999999E-3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575.4</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3.0790000000000001E-3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575.4</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2.833E-3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575.4</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3.0820000000000001E-3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2.833E-3</v>
      </c>
      <c r="I71" s="102">
        <f>ROUND(F71*H71,2)</f>
        <v>126537.46</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2.8300000000000001E-3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3.0820000000000001E-3</v>
      </c>
      <c r="I76" s="102">
        <f>ROUND(F76*H76,2)</f>
        <v>49826.85</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3.0790000000000001E-3</v>
      </c>
      <c r="I78" s="102">
        <f t="shared" ref="I78:I87" si="10">ROUND(F78*H78,2)</f>
        <v>30913.46</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99.52000000000001</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99.52000000000001</v>
      </c>
      <c r="G83" s="37" t="s">
        <v>6</v>
      </c>
      <c r="H83" s="448">
        <f>'0664'!H83</f>
        <v>1951.26</v>
      </c>
      <c r="I83" s="102">
        <f>ROUND(F83*H83,2)</f>
        <v>194189.4</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2.6559999999999999E-3</v>
      </c>
      <c r="I85" s="102">
        <f t="shared" si="10"/>
        <v>622535.67000000004</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2.6559999999999999E-3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253.17160000000001</v>
      </c>
      <c r="D92" s="597"/>
      <c r="E92" s="47">
        <f>H8</f>
        <v>1.0442</v>
      </c>
      <c r="F92" s="320">
        <f>'0664'!F92</f>
        <v>947.59</v>
      </c>
      <c r="G92" s="39" t="s">
        <v>12</v>
      </c>
      <c r="H92" s="102">
        <f>ROUND(C92*E92*F92,2)</f>
        <v>250506.58</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351.16490000000005</v>
      </c>
      <c r="D93" s="597"/>
      <c r="E93" s="47">
        <f>H8</f>
        <v>1.0442</v>
      </c>
      <c r="F93" s="320">
        <f>'0664'!F93</f>
        <v>904.74</v>
      </c>
      <c r="G93" s="39" t="s">
        <v>12</v>
      </c>
      <c r="H93" s="102">
        <f>ROUND(C93*E93*F93,2)</f>
        <v>331755.84000000003</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604.33650000000011</v>
      </c>
      <c r="D95" s="601"/>
      <c r="E95" s="130"/>
      <c r="F95" s="130"/>
      <c r="G95" s="130"/>
      <c r="H95" s="131" t="s">
        <v>112</v>
      </c>
      <c r="I95" s="102">
        <f>IF(A1=75,0,H94+H93+H92)</f>
        <v>582262.42000000004</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0</v>
      </c>
      <c r="D101" s="151">
        <v>1</v>
      </c>
      <c r="E101" s="117">
        <f>(C101+D101)/2</f>
        <v>0.5</v>
      </c>
      <c r="F101" s="134" t="s">
        <v>30</v>
      </c>
      <c r="G101" s="321">
        <f>'0664'!G101</f>
        <v>565</v>
      </c>
      <c r="I101" s="102">
        <f>ROUND(G101*E101,2)</f>
        <v>282.5</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5042299.6400000006</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4849965.0000000009</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1" t="s">
        <v>258</v>
      </c>
      <c r="H123" s="147">
        <f>IF(H121=1,I121,I118)</f>
        <v>4849965.0000000009</v>
      </c>
      <c r="I123" s="95">
        <f>ROUND(IF(E30=0,0,IF(E30&gt;250,-(((250/E30)*H123)*IF(G123="H",0.02,0.05)),IF(G123="H",-0.02*H123,-0.05*H123))),2)</f>
        <v>-42144.29</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5000155.3500000006</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5000155.3500000006</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416679.61</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IF(G123="H",(H123*0.02)+I123,(H123*0.05)+I123)</f>
        <v>54855.010000000017</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T69:U69"/>
    <mergeCell ref="A85:C85"/>
    <mergeCell ref="A74:C74"/>
    <mergeCell ref="N85:P85"/>
    <mergeCell ref="A87:C87"/>
    <mergeCell ref="N87:P87"/>
    <mergeCell ref="C90:D90"/>
    <mergeCell ref="C91:D91"/>
    <mergeCell ref="N91:O91"/>
    <mergeCell ref="P91:Q91"/>
    <mergeCell ref="N74:P74"/>
    <mergeCell ref="R91:U91"/>
    <mergeCell ref="C92:D92"/>
    <mergeCell ref="P92:Q92"/>
    <mergeCell ref="C93:D93"/>
    <mergeCell ref="P93:Q93"/>
    <mergeCell ref="C94:D94"/>
    <mergeCell ref="P94:Q94"/>
    <mergeCell ref="C95:D95"/>
    <mergeCell ref="P95:T95"/>
    <mergeCell ref="A96:I96"/>
    <mergeCell ref="N96:U96"/>
    <mergeCell ref="F98:I98"/>
    <mergeCell ref="N98:P98"/>
    <mergeCell ref="Q98:T98"/>
    <mergeCell ref="A101:B101"/>
    <mergeCell ref="N101:O101"/>
    <mergeCell ref="P101:R101"/>
    <mergeCell ref="A102:B102"/>
    <mergeCell ref="N102:O102"/>
    <mergeCell ref="P102:R102"/>
    <mergeCell ref="N105:U105"/>
    <mergeCell ref="N140:U140"/>
    <mergeCell ref="N120:U120"/>
    <mergeCell ref="N114:P114"/>
    <mergeCell ref="A114:C114"/>
    <mergeCell ref="F114:H114"/>
    <mergeCell ref="N115:T115"/>
    <mergeCell ref="A116:H116"/>
    <mergeCell ref="A111:B111"/>
    <mergeCell ref="F111:G111"/>
    <mergeCell ref="N111:O111"/>
    <mergeCell ref="P111:Q111"/>
    <mergeCell ref="A112:B112"/>
    <mergeCell ref="N112:O112"/>
    <mergeCell ref="A12:B12"/>
    <mergeCell ref="A120:G120"/>
    <mergeCell ref="N121:U121"/>
    <mergeCell ref="A121:G121"/>
    <mergeCell ref="R111:S111"/>
    <mergeCell ref="A109:B109"/>
    <mergeCell ref="F109:G109"/>
    <mergeCell ref="N109:O109"/>
    <mergeCell ref="A110:B110"/>
    <mergeCell ref="F110:G110"/>
    <mergeCell ref="N110:O110"/>
    <mergeCell ref="P110:Q110"/>
    <mergeCell ref="R110:S110"/>
    <mergeCell ref="C106:E106"/>
    <mergeCell ref="F107:G107"/>
    <mergeCell ref="A108:B108"/>
    <mergeCell ref="F108:G108"/>
    <mergeCell ref="N108:O108"/>
    <mergeCell ref="P108:Q108"/>
    <mergeCell ref="R108:S108"/>
    <mergeCell ref="P109:Q109"/>
    <mergeCell ref="R109:S109"/>
    <mergeCell ref="A105:C105"/>
    <mergeCell ref="F105:I105"/>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CCC"/>
  </sheetPr>
  <dimension ref="A1:V209"/>
  <sheetViews>
    <sheetView showGridLines="0" zoomScaleNormal="100" workbookViewId="0">
      <pane ySplit="1" topLeftCell="A99"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129</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9" t="s">
        <v>333</v>
      </c>
      <c r="D10" s="89"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0.25</v>
      </c>
      <c r="D14" s="151">
        <v>0</v>
      </c>
      <c r="E14" s="196">
        <f>IF(D$30=0,C14*2,C14+D14)</f>
        <v>0.25</v>
      </c>
      <c r="F14" s="625">
        <f>'0664'!F14:G14</f>
        <v>1.1220000000000001</v>
      </c>
      <c r="G14" s="625"/>
      <c r="H14" s="153">
        <f>ROUND(E14*F14,4)</f>
        <v>0.28050000000000003</v>
      </c>
      <c r="I14" s="112">
        <f>ROUND(ROUND(ROUND(H14*$C$8,4)*($H$8),2)*(MAX($H$9,1)),2)</f>
        <v>1505.42</v>
      </c>
      <c r="N14" s="641" t="s">
        <v>20</v>
      </c>
      <c r="O14" s="641"/>
      <c r="P14" s="636">
        <f t="shared" ref="P14:P29" si="0">IF($H$121=1,E14,0)</f>
        <v>0.25</v>
      </c>
      <c r="Q14" s="636"/>
      <c r="R14" s="642">
        <v>1</v>
      </c>
      <c r="S14" s="642"/>
      <c r="T14" s="96">
        <f>ROUND(P14*R14,4)</f>
        <v>0.25</v>
      </c>
      <c r="U14" s="97">
        <f>ROUND(ROUND(ROUND(T14*$C$8,4)*($H$8),2)*(MAX($H$9,1)),2)</f>
        <v>1341.73</v>
      </c>
    </row>
    <row r="15" spans="1:21" x14ac:dyDescent="0.25">
      <c r="A15" s="586" t="s">
        <v>21</v>
      </c>
      <c r="B15" s="586"/>
      <c r="C15" s="151">
        <v>4.75</v>
      </c>
      <c r="D15" s="151">
        <v>6</v>
      </c>
      <c r="E15" s="117">
        <f t="shared" ref="E15:E29" si="1">IF(D$30=0,C15*2,C15+D15)</f>
        <v>10.75</v>
      </c>
      <c r="F15" s="622">
        <f>'0664'!F15:G15</f>
        <v>1.1220000000000001</v>
      </c>
      <c r="G15" s="622"/>
      <c r="H15" s="81">
        <f t="shared" ref="H15:H29" si="2">ROUND(E15*F15,4)</f>
        <v>12.061500000000001</v>
      </c>
      <c r="I15" s="102">
        <f t="shared" ref="I15:I29" si="3">ROUND(ROUND(ROUND(H15*$C$8,4)*($H$8),2)*(MAX($H$9,1)),2)</f>
        <v>64732.94</v>
      </c>
      <c r="J15" s="66"/>
      <c r="N15" s="635" t="s">
        <v>21</v>
      </c>
      <c r="O15" s="635"/>
      <c r="P15" s="636">
        <f t="shared" si="0"/>
        <v>10.75</v>
      </c>
      <c r="Q15" s="636"/>
      <c r="R15" s="637">
        <v>1</v>
      </c>
      <c r="S15" s="637"/>
      <c r="T15" s="96">
        <f t="shared" ref="T15:T29" si="4">ROUND(P15*R15,4)</f>
        <v>10.75</v>
      </c>
      <c r="U15" s="97">
        <f t="shared" ref="U15:U29" si="5">ROUND(ROUND(ROUND(T15*$C$8,4)*($H$8),2)*(MAX($H$9,1)),2)</f>
        <v>57694.239999999998</v>
      </c>
    </row>
    <row r="16" spans="1:21" x14ac:dyDescent="0.25">
      <c r="A16" s="586" t="s">
        <v>22</v>
      </c>
      <c r="B16" s="586"/>
      <c r="C16" s="151">
        <v>0</v>
      </c>
      <c r="D16" s="151">
        <v>0</v>
      </c>
      <c r="E16" s="117">
        <f t="shared" si="1"/>
        <v>0</v>
      </c>
      <c r="F16" s="622">
        <f>'0664'!F16:G16</f>
        <v>1</v>
      </c>
      <c r="G16" s="622"/>
      <c r="H16" s="81">
        <f t="shared" si="2"/>
        <v>0</v>
      </c>
      <c r="I16" s="102">
        <f t="shared" si="3"/>
        <v>0</v>
      </c>
      <c r="N16" s="635" t="s">
        <v>22</v>
      </c>
      <c r="O16" s="635"/>
      <c r="P16" s="636">
        <f t="shared" si="0"/>
        <v>0</v>
      </c>
      <c r="Q16" s="636"/>
      <c r="R16" s="637">
        <v>1</v>
      </c>
      <c r="S16" s="637"/>
      <c r="T16" s="96">
        <f t="shared" si="4"/>
        <v>0</v>
      </c>
      <c r="U16" s="97">
        <f t="shared" si="5"/>
        <v>0</v>
      </c>
    </row>
    <row r="17" spans="1:21" x14ac:dyDescent="0.25">
      <c r="A17" s="586" t="s">
        <v>23</v>
      </c>
      <c r="B17" s="586"/>
      <c r="C17" s="151">
        <v>11</v>
      </c>
      <c r="D17" s="151">
        <v>10.5</v>
      </c>
      <c r="E17" s="117">
        <f t="shared" si="1"/>
        <v>21.5</v>
      </c>
      <c r="F17" s="622">
        <f>'0664'!F17:G17</f>
        <v>1</v>
      </c>
      <c r="G17" s="622"/>
      <c r="H17" s="81">
        <f t="shared" si="2"/>
        <v>21.5</v>
      </c>
      <c r="I17" s="102">
        <f t="shared" si="3"/>
        <v>115388.48</v>
      </c>
      <c r="J17" s="66"/>
      <c r="N17" s="635" t="s">
        <v>23</v>
      </c>
      <c r="O17" s="635"/>
      <c r="P17" s="636">
        <f t="shared" si="0"/>
        <v>21.5</v>
      </c>
      <c r="Q17" s="636"/>
      <c r="R17" s="637">
        <v>1</v>
      </c>
      <c r="S17" s="637"/>
      <c r="T17" s="96">
        <f t="shared" si="4"/>
        <v>21.5</v>
      </c>
      <c r="U17" s="97">
        <f t="shared" si="5"/>
        <v>115388.48</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21.84</v>
      </c>
      <c r="D19" s="151">
        <v>24.98</v>
      </c>
      <c r="E19" s="117">
        <f t="shared" si="1"/>
        <v>46.82</v>
      </c>
      <c r="F19" s="622">
        <f>'0664'!F19:G19</f>
        <v>0.98799999999999999</v>
      </c>
      <c r="G19" s="622"/>
      <c r="H19" s="81">
        <f t="shared" si="2"/>
        <v>46.258200000000002</v>
      </c>
      <c r="I19" s="102">
        <f t="shared" si="3"/>
        <v>248263.41</v>
      </c>
      <c r="J19" s="66"/>
      <c r="N19" s="635" t="s">
        <v>25</v>
      </c>
      <c r="O19" s="635"/>
      <c r="P19" s="636">
        <f t="shared" si="0"/>
        <v>46.82</v>
      </c>
      <c r="Q19" s="636"/>
      <c r="R19" s="637">
        <v>1</v>
      </c>
      <c r="S19" s="637"/>
      <c r="T19" s="96">
        <f t="shared" si="4"/>
        <v>46.82</v>
      </c>
      <c r="U19" s="99">
        <f t="shared" si="5"/>
        <v>251278.54</v>
      </c>
    </row>
    <row r="20" spans="1:21" x14ac:dyDescent="0.25">
      <c r="A20" s="586" t="s">
        <v>85</v>
      </c>
      <c r="B20" s="586"/>
      <c r="C20" s="151">
        <v>51.5</v>
      </c>
      <c r="D20" s="151">
        <v>53</v>
      </c>
      <c r="E20" s="117">
        <f t="shared" si="1"/>
        <v>104.5</v>
      </c>
      <c r="F20" s="622">
        <f>'0664'!F20:G20</f>
        <v>3.706</v>
      </c>
      <c r="G20" s="622"/>
      <c r="H20" s="81">
        <f t="shared" si="2"/>
        <v>387.27699999999999</v>
      </c>
      <c r="I20" s="102">
        <f t="shared" si="3"/>
        <v>2078479.28</v>
      </c>
      <c r="N20" s="635" t="s">
        <v>85</v>
      </c>
      <c r="O20" s="635"/>
      <c r="P20" s="636">
        <f t="shared" si="0"/>
        <v>104.5</v>
      </c>
      <c r="Q20" s="636"/>
      <c r="R20" s="637">
        <v>1</v>
      </c>
      <c r="S20" s="637"/>
      <c r="T20" s="96">
        <f t="shared" si="4"/>
        <v>104.5</v>
      </c>
      <c r="U20" s="97">
        <f t="shared" si="5"/>
        <v>560841.68000000005</v>
      </c>
    </row>
    <row r="21" spans="1:21" x14ac:dyDescent="0.25">
      <c r="A21" s="586" t="s">
        <v>86</v>
      </c>
      <c r="B21" s="586"/>
      <c r="C21" s="151">
        <v>31.5</v>
      </c>
      <c r="D21" s="151">
        <v>32</v>
      </c>
      <c r="E21" s="117">
        <f t="shared" si="1"/>
        <v>63.5</v>
      </c>
      <c r="F21" s="622">
        <f>'0664'!F21:G21</f>
        <v>3.706</v>
      </c>
      <c r="G21" s="622"/>
      <c r="H21" s="81">
        <f t="shared" si="2"/>
        <v>235.33099999999999</v>
      </c>
      <c r="I21" s="102">
        <f t="shared" si="3"/>
        <v>1262999.3700000001</v>
      </c>
      <c r="N21" s="635" t="s">
        <v>86</v>
      </c>
      <c r="O21" s="635"/>
      <c r="P21" s="636">
        <f t="shared" si="0"/>
        <v>63.5</v>
      </c>
      <c r="Q21" s="636"/>
      <c r="R21" s="637">
        <v>1</v>
      </c>
      <c r="S21" s="637"/>
      <c r="T21" s="96">
        <f t="shared" si="4"/>
        <v>63.5</v>
      </c>
      <c r="U21" s="97">
        <f t="shared" si="5"/>
        <v>340798.54</v>
      </c>
    </row>
    <row r="22" spans="1:21" x14ac:dyDescent="0.25">
      <c r="A22" s="586" t="s">
        <v>87</v>
      </c>
      <c r="B22" s="586"/>
      <c r="C22" s="151">
        <v>30.5</v>
      </c>
      <c r="D22" s="151">
        <v>30.46</v>
      </c>
      <c r="E22" s="117">
        <f t="shared" si="1"/>
        <v>60.96</v>
      </c>
      <c r="F22" s="622">
        <f>'0664'!F22:G22</f>
        <v>3.706</v>
      </c>
      <c r="G22" s="622"/>
      <c r="H22" s="81">
        <f t="shared" si="2"/>
        <v>225.9178</v>
      </c>
      <c r="I22" s="102">
        <f t="shared" si="3"/>
        <v>1212479.6100000001</v>
      </c>
      <c r="N22" s="635" t="s">
        <v>87</v>
      </c>
      <c r="O22" s="635"/>
      <c r="P22" s="636">
        <f t="shared" si="0"/>
        <v>60.96</v>
      </c>
      <c r="Q22" s="636"/>
      <c r="R22" s="637">
        <v>1</v>
      </c>
      <c r="S22" s="637"/>
      <c r="T22" s="96">
        <f t="shared" si="4"/>
        <v>60.96</v>
      </c>
      <c r="U22" s="97">
        <f t="shared" si="5"/>
        <v>327166.59000000003</v>
      </c>
    </row>
    <row r="23" spans="1:21" x14ac:dyDescent="0.25">
      <c r="A23" s="586" t="s">
        <v>88</v>
      </c>
      <c r="B23" s="586"/>
      <c r="C23" s="151">
        <v>6</v>
      </c>
      <c r="D23" s="151">
        <v>5</v>
      </c>
      <c r="E23" s="117">
        <f t="shared" si="1"/>
        <v>11</v>
      </c>
      <c r="F23" s="622">
        <f>'0664'!F23:G23</f>
        <v>5.7069999999999999</v>
      </c>
      <c r="G23" s="622"/>
      <c r="H23" s="81">
        <f t="shared" si="2"/>
        <v>62.777000000000001</v>
      </c>
      <c r="I23" s="102">
        <f t="shared" si="3"/>
        <v>336918.26</v>
      </c>
      <c r="N23" s="635" t="s">
        <v>88</v>
      </c>
      <c r="O23" s="635"/>
      <c r="P23" s="636">
        <f t="shared" si="0"/>
        <v>11</v>
      </c>
      <c r="Q23" s="636"/>
      <c r="R23" s="637">
        <v>1</v>
      </c>
      <c r="S23" s="637"/>
      <c r="T23" s="96">
        <f t="shared" si="4"/>
        <v>11</v>
      </c>
      <c r="U23" s="97">
        <f t="shared" si="5"/>
        <v>59035.97</v>
      </c>
    </row>
    <row r="24" spans="1:21" x14ac:dyDescent="0.25">
      <c r="A24" s="586" t="s">
        <v>89</v>
      </c>
      <c r="B24" s="586"/>
      <c r="C24" s="151">
        <v>19.5</v>
      </c>
      <c r="D24" s="151">
        <v>17.5</v>
      </c>
      <c r="E24" s="117">
        <f t="shared" si="1"/>
        <v>37</v>
      </c>
      <c r="F24" s="622">
        <f>'0664'!F24:G24</f>
        <v>5.7069999999999999</v>
      </c>
      <c r="G24" s="622"/>
      <c r="H24" s="81">
        <f t="shared" si="2"/>
        <v>211.15899999999999</v>
      </c>
      <c r="I24" s="102">
        <f t="shared" si="3"/>
        <v>1133270.52</v>
      </c>
      <c r="N24" s="635" t="s">
        <v>89</v>
      </c>
      <c r="O24" s="635"/>
      <c r="P24" s="636">
        <f t="shared" si="0"/>
        <v>37</v>
      </c>
      <c r="Q24" s="636"/>
      <c r="R24" s="637">
        <v>1</v>
      </c>
      <c r="S24" s="637"/>
      <c r="T24" s="96">
        <f t="shared" si="4"/>
        <v>37</v>
      </c>
      <c r="U24" s="97">
        <f t="shared" si="5"/>
        <v>198575.52</v>
      </c>
    </row>
    <row r="25" spans="1:21" x14ac:dyDescent="0.25">
      <c r="A25" s="586" t="s">
        <v>90</v>
      </c>
      <c r="B25" s="586"/>
      <c r="C25" s="151">
        <v>16</v>
      </c>
      <c r="D25" s="151">
        <v>14.18</v>
      </c>
      <c r="E25" s="117">
        <f t="shared" si="1"/>
        <v>30.18</v>
      </c>
      <c r="F25" s="622">
        <f>'0664'!F25:G25</f>
        <v>5.7069999999999999</v>
      </c>
      <c r="G25" s="622"/>
      <c r="H25" s="81">
        <f t="shared" si="2"/>
        <v>172.2373</v>
      </c>
      <c r="I25" s="102">
        <f t="shared" si="3"/>
        <v>924381.41</v>
      </c>
      <c r="N25" s="635" t="s">
        <v>90</v>
      </c>
      <c r="O25" s="635"/>
      <c r="P25" s="636">
        <f t="shared" si="0"/>
        <v>30.18</v>
      </c>
      <c r="Q25" s="636"/>
      <c r="R25" s="637">
        <v>1</v>
      </c>
      <c r="S25" s="637"/>
      <c r="T25" s="96">
        <f t="shared" si="4"/>
        <v>30.18</v>
      </c>
      <c r="U25" s="97">
        <f t="shared" si="5"/>
        <v>161973.23000000001</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0</v>
      </c>
      <c r="D27" s="151">
        <v>0</v>
      </c>
      <c r="E27" s="117">
        <f t="shared" si="1"/>
        <v>0</v>
      </c>
      <c r="F27" s="622">
        <f>'0664'!F27:G27</f>
        <v>1.208</v>
      </c>
      <c r="G27" s="622"/>
      <c r="H27" s="81">
        <f t="shared" si="2"/>
        <v>0</v>
      </c>
      <c r="I27" s="102">
        <f t="shared" si="3"/>
        <v>0</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192.84</v>
      </c>
      <c r="D30" s="95">
        <f>SUM(D14:D29)</f>
        <v>193.62</v>
      </c>
      <c r="E30" s="95">
        <f>SUM(E14:E29)</f>
        <v>386.46</v>
      </c>
      <c r="F30" s="609"/>
      <c r="G30" s="609"/>
      <c r="H30" s="100">
        <f>SUM(H14:H29)</f>
        <v>1374.7992999999999</v>
      </c>
      <c r="I30" s="95">
        <f>SUM(I14:I29)</f>
        <v>7378418.7000000011</v>
      </c>
      <c r="N30" s="654" t="s">
        <v>5</v>
      </c>
      <c r="O30" s="654"/>
      <c r="P30" s="655">
        <f>SUM(P14:P29)</f>
        <v>386.46</v>
      </c>
      <c r="Q30" s="655"/>
      <c r="R30" s="656"/>
      <c r="S30" s="656"/>
      <c r="T30" s="101">
        <f>SUM(T14:T29)</f>
        <v>386.46</v>
      </c>
      <c r="U30" s="97">
        <f>SUM(U14:U29)</f>
        <v>2074094.52</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1374.7992999999999</v>
      </c>
      <c r="F46" s="34"/>
      <c r="G46" s="107"/>
      <c r="H46" s="108" t="s">
        <v>104</v>
      </c>
      <c r="I46" s="95">
        <f>SUM(I44,I30)</f>
        <v>7378418.7000000011</v>
      </c>
      <c r="N46" s="680" t="s">
        <v>44</v>
      </c>
      <c r="O46" s="680"/>
      <c r="P46" s="680"/>
      <c r="Q46" s="680"/>
      <c r="R46" s="35">
        <f>R44+T30</f>
        <v>386.46</v>
      </c>
      <c r="S46" s="656" t="s">
        <v>42</v>
      </c>
      <c r="T46" s="656"/>
      <c r="U46" s="109">
        <f>SUM(U44,U30)</f>
        <v>2074094.52</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7378418.7000000011</v>
      </c>
      <c r="G51" s="110" t="s">
        <v>6</v>
      </c>
      <c r="H51" s="425">
        <v>4.5199999999999997E-2</v>
      </c>
      <c r="I51" s="102">
        <f>ROUND(F51*H51,2)</f>
        <v>333504.53000000003</v>
      </c>
      <c r="N51" s="430"/>
      <c r="O51" s="431" t="s">
        <v>456</v>
      </c>
      <c r="P51" s="28"/>
      <c r="Q51" s="45" t="s">
        <v>457</v>
      </c>
      <c r="R51" s="432">
        <f>U30</f>
        <v>2074094.52</v>
      </c>
      <c r="S51" s="433" t="s">
        <v>6</v>
      </c>
      <c r="T51" s="434">
        <v>4.5199999999999997E-2</v>
      </c>
      <c r="U51" s="426">
        <f>ROUND(R51*T51,2)</f>
        <v>93749.07</v>
      </c>
    </row>
    <row r="52" spans="1:22" x14ac:dyDescent="0.25">
      <c r="A52" s="26"/>
      <c r="B52" s="82" t="s">
        <v>458</v>
      </c>
      <c r="C52" s="26"/>
      <c r="D52" s="26"/>
      <c r="E52" s="44" t="s">
        <v>457</v>
      </c>
      <c r="F52" s="424">
        <f>I46</f>
        <v>7378418.7000000011</v>
      </c>
      <c r="G52" s="110" t="s">
        <v>6</v>
      </c>
      <c r="H52" s="425">
        <v>1.41E-2</v>
      </c>
      <c r="I52" s="102">
        <f>ROUND(F52*H52,2)</f>
        <v>104035.7</v>
      </c>
      <c r="N52" s="28"/>
      <c r="O52" s="406" t="s">
        <v>458</v>
      </c>
      <c r="P52" s="28"/>
      <c r="Q52" s="45" t="s">
        <v>457</v>
      </c>
      <c r="R52" s="432">
        <f>U30</f>
        <v>2074094.52</v>
      </c>
      <c r="S52" s="433" t="s">
        <v>6</v>
      </c>
      <c r="T52" s="434">
        <v>1.41E-2</v>
      </c>
      <c r="U52" s="435">
        <f>ROUND(R52*T52,2)</f>
        <v>29244.73</v>
      </c>
    </row>
    <row r="53" spans="1:22" x14ac:dyDescent="0.25">
      <c r="A53" s="26"/>
      <c r="B53" s="82" t="s">
        <v>459</v>
      </c>
      <c r="C53" s="26"/>
      <c r="D53" s="26"/>
      <c r="E53" s="44"/>
      <c r="F53" s="424"/>
      <c r="G53" s="110"/>
      <c r="H53" s="425"/>
      <c r="I53" s="98">
        <f>SUM(I51:I52)</f>
        <v>437540.23000000004</v>
      </c>
      <c r="N53" s="28"/>
      <c r="O53" s="406" t="s">
        <v>459</v>
      </c>
      <c r="P53" s="28"/>
      <c r="Q53" s="45"/>
      <c r="R53" s="432"/>
      <c r="S53" s="433"/>
      <c r="T53" s="434"/>
      <c r="U53" s="426">
        <f>SUM(U51:U52)</f>
        <v>122993.8</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386.46</v>
      </c>
      <c r="D56" s="593" t="s">
        <v>476</v>
      </c>
      <c r="E56" s="593"/>
      <c r="F56" s="593"/>
      <c r="G56" s="593"/>
      <c r="H56" s="317">
        <f>'0664'!H56</f>
        <v>203305.63</v>
      </c>
      <c r="I56" s="114"/>
      <c r="N56" s="658" t="s">
        <v>466</v>
      </c>
      <c r="O56" s="635"/>
      <c r="P56" s="41">
        <f>P30</f>
        <v>386.46</v>
      </c>
      <c r="Q56" s="663" t="s">
        <v>468</v>
      </c>
      <c r="R56" s="664"/>
      <c r="S56" s="664"/>
      <c r="T56" s="662">
        <f>H56</f>
        <v>203305.63</v>
      </c>
      <c r="U56" s="662"/>
    </row>
    <row r="57" spans="1:22" x14ac:dyDescent="0.25">
      <c r="B57" s="70"/>
      <c r="G57" s="42" t="s">
        <v>12</v>
      </c>
      <c r="H57" s="115">
        <f>ROUND(C56/H56,6)</f>
        <v>1.9009999999999999E-3</v>
      </c>
      <c r="I57" s="116"/>
      <c r="N57" s="635"/>
      <c r="O57" s="635"/>
      <c r="P57" s="635"/>
      <c r="Q57" s="635"/>
      <c r="R57" s="635"/>
      <c r="S57" s="635"/>
      <c r="T57" s="665">
        <f>ROUND(P56/T56,6)</f>
        <v>1.9009999999999999E-3</v>
      </c>
      <c r="U57" s="665"/>
    </row>
    <row r="58" spans="1:22" x14ac:dyDescent="0.25">
      <c r="A58" s="423" t="s">
        <v>461</v>
      </c>
      <c r="N58" s="406" t="s">
        <v>483</v>
      </c>
      <c r="O58" s="52"/>
      <c r="P58" s="52"/>
      <c r="Q58" s="52"/>
      <c r="R58" s="52"/>
      <c r="S58" s="52"/>
      <c r="T58" s="52"/>
      <c r="U58" s="52"/>
    </row>
    <row r="59" spans="1:22" x14ac:dyDescent="0.25">
      <c r="A59" s="585" t="s">
        <v>463</v>
      </c>
      <c r="B59" s="586"/>
      <c r="C59" s="437">
        <f>H30</f>
        <v>1374.7992999999999</v>
      </c>
      <c r="D59" s="593" t="s">
        <v>477</v>
      </c>
      <c r="E59" s="593"/>
      <c r="F59" s="593"/>
      <c r="G59" s="593"/>
      <c r="H59" s="318">
        <f>'0664'!H59</f>
        <v>227540.36</v>
      </c>
      <c r="I59" s="117"/>
      <c r="N59" s="658" t="s">
        <v>467</v>
      </c>
      <c r="O59" s="635"/>
      <c r="P59" s="41">
        <f>T30</f>
        <v>386.46</v>
      </c>
      <c r="Q59" s="663" t="s">
        <v>469</v>
      </c>
      <c r="R59" s="664"/>
      <c r="S59" s="664"/>
      <c r="T59" s="662">
        <f>H59</f>
        <v>227540.36</v>
      </c>
      <c r="U59" s="662"/>
    </row>
    <row r="60" spans="1:22" x14ac:dyDescent="0.25">
      <c r="G60" s="42" t="s">
        <v>12</v>
      </c>
      <c r="H60" s="115">
        <f>ROUND(C59/H59,6)</f>
        <v>6.0419999999999996E-3</v>
      </c>
      <c r="I60" s="115"/>
      <c r="N60" s="635"/>
      <c r="O60" s="635"/>
      <c r="P60" s="635"/>
      <c r="Q60" s="635"/>
      <c r="R60" s="635"/>
      <c r="S60" s="635"/>
      <c r="T60" s="665">
        <f>ROUND(P59/T59,6)</f>
        <v>1.6980000000000001E-3</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386.46</v>
      </c>
      <c r="D62" s="590" t="s">
        <v>478</v>
      </c>
      <c r="E62" s="590"/>
      <c r="F62" s="590"/>
      <c r="G62" s="590"/>
      <c r="H62" s="317">
        <f>'0664'!H62</f>
        <v>186907.73</v>
      </c>
      <c r="I62" s="114"/>
      <c r="N62" s="658" t="s">
        <v>465</v>
      </c>
      <c r="O62" s="635"/>
      <c r="P62" s="41">
        <f>P30</f>
        <v>386.46</v>
      </c>
      <c r="Q62" s="668" t="s">
        <v>470</v>
      </c>
      <c r="R62" s="669"/>
      <c r="S62" s="669"/>
      <c r="T62" s="662">
        <f>H62</f>
        <v>186907.73</v>
      </c>
      <c r="U62" s="662"/>
    </row>
    <row r="63" spans="1:22" x14ac:dyDescent="0.25">
      <c r="B63" s="70"/>
      <c r="G63" s="42" t="s">
        <v>12</v>
      </c>
      <c r="H63" s="115">
        <f>ROUND(C62/H62,6)</f>
        <v>2.068E-3</v>
      </c>
      <c r="I63" s="116"/>
      <c r="N63" s="635"/>
      <c r="O63" s="635"/>
      <c r="P63" s="635"/>
      <c r="Q63" s="635"/>
      <c r="R63" s="635"/>
      <c r="S63" s="635"/>
      <c r="T63" s="665">
        <f>ROUND(P62/T62,6)</f>
        <v>2.068E-3</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386.46</v>
      </c>
      <c r="D65" s="606" t="s">
        <v>479</v>
      </c>
      <c r="E65" s="606"/>
      <c r="F65" s="606"/>
      <c r="G65" s="606"/>
      <c r="H65" s="317">
        <f>'0664'!H65</f>
        <v>203080.55</v>
      </c>
      <c r="I65" s="114"/>
      <c r="N65" s="658" t="s">
        <v>465</v>
      </c>
      <c r="O65" s="635"/>
      <c r="P65" s="41">
        <f>P30</f>
        <v>386.46</v>
      </c>
      <c r="Q65" s="666" t="s">
        <v>471</v>
      </c>
      <c r="R65" s="667"/>
      <c r="S65" s="667"/>
      <c r="T65" s="662">
        <f>H65</f>
        <v>203080.55</v>
      </c>
      <c r="U65" s="662"/>
    </row>
    <row r="66" spans="1:22" x14ac:dyDescent="0.25">
      <c r="B66" s="70"/>
      <c r="G66" s="42" t="s">
        <v>12</v>
      </c>
      <c r="H66" s="115">
        <f>ROUND(C65/H65,6)</f>
        <v>1.903E-3</v>
      </c>
      <c r="I66" s="116"/>
      <c r="N66" s="635"/>
      <c r="O66" s="635"/>
      <c r="P66" s="635"/>
      <c r="Q66" s="635"/>
      <c r="R66" s="635"/>
      <c r="S66" s="635"/>
      <c r="T66" s="665">
        <f>ROUND(P65/T65,6)</f>
        <v>1.903E-3</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386.46</v>
      </c>
      <c r="D68" s="590" t="s">
        <v>480</v>
      </c>
      <c r="E68" s="590"/>
      <c r="F68" s="590"/>
      <c r="G68" s="590"/>
      <c r="H68" s="317">
        <f>'0664'!H68</f>
        <v>186682.65</v>
      </c>
      <c r="I68" s="114"/>
      <c r="N68" s="658" t="s">
        <v>481</v>
      </c>
      <c r="O68" s="635"/>
      <c r="P68" s="41">
        <f>P30</f>
        <v>386.46</v>
      </c>
      <c r="Q68" s="668" t="s">
        <v>487</v>
      </c>
      <c r="R68" s="669"/>
      <c r="S68" s="669"/>
      <c r="T68" s="662">
        <f>H68</f>
        <v>186682.65</v>
      </c>
      <c r="U68" s="662"/>
    </row>
    <row r="69" spans="1:22" x14ac:dyDescent="0.25">
      <c r="B69" s="70"/>
      <c r="G69" s="42" t="s">
        <v>12</v>
      </c>
      <c r="H69" s="115">
        <f>ROUND(C68/H68,6)</f>
        <v>2.0699999999999998E-3</v>
      </c>
      <c r="I69" s="116"/>
      <c r="N69" s="635"/>
      <c r="O69" s="635"/>
      <c r="P69" s="635"/>
      <c r="Q69" s="635"/>
      <c r="R69" s="635"/>
      <c r="S69" s="635"/>
      <c r="T69" s="665">
        <f>ROUND(P68/T68,6)</f>
        <v>2.0699999999999998E-3</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1.903E-3</v>
      </c>
      <c r="I71" s="102">
        <f>ROUND(F71*H71,2)</f>
        <v>84998.52</v>
      </c>
      <c r="N71" s="52" t="s">
        <v>488</v>
      </c>
      <c r="O71" s="52"/>
      <c r="P71" s="52"/>
      <c r="Q71" s="45"/>
      <c r="R71" s="453">
        <f>F71</f>
        <v>44665536</v>
      </c>
      <c r="S71" s="38" t="s">
        <v>6</v>
      </c>
      <c r="T71" s="455">
        <f>T66</f>
        <v>1.903E-3</v>
      </c>
      <c r="U71" s="97">
        <f>ROUND(R71*T71,0)</f>
        <v>84999</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1.9009999999999999E-3</v>
      </c>
      <c r="I74" s="102">
        <f>ROUND(F74*H74,2)</f>
        <v>0</v>
      </c>
      <c r="N74" s="670" t="s">
        <v>110</v>
      </c>
      <c r="O74" s="635"/>
      <c r="P74" s="635"/>
      <c r="Q74" s="45"/>
      <c r="R74" s="453">
        <f>F74</f>
        <v>0</v>
      </c>
      <c r="S74" s="38" t="s">
        <v>6</v>
      </c>
      <c r="T74" s="455">
        <f>T57</f>
        <v>1.9009999999999999E-3</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2.0699999999999998E-3</v>
      </c>
      <c r="I76" s="102">
        <f>ROUND(F76*H76,2)</f>
        <v>33465.800000000003</v>
      </c>
      <c r="N76" s="431" t="s">
        <v>491</v>
      </c>
      <c r="O76" s="52"/>
      <c r="P76" s="52"/>
      <c r="Q76" s="45"/>
      <c r="R76" s="453">
        <f>F76</f>
        <v>16167052</v>
      </c>
      <c r="S76" s="38" t="s">
        <v>6</v>
      </c>
      <c r="T76" s="455">
        <f>T69</f>
        <v>2.0699999999999998E-3</v>
      </c>
      <c r="U76" s="97">
        <f>ROUND(R76*T76,0)</f>
        <v>33466</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2.068E-3</v>
      </c>
      <c r="I78" s="102">
        <f t="shared" ref="I78:I87" si="10">ROUND(F78*H78,2)</f>
        <v>20762.919999999998</v>
      </c>
      <c r="N78" s="406" t="s">
        <v>493</v>
      </c>
      <c r="O78" s="52"/>
      <c r="P78" s="52"/>
      <c r="Q78" s="45"/>
      <c r="R78" s="453">
        <f t="shared" ref="R78:R87" si="11">F78</f>
        <v>10040099</v>
      </c>
      <c r="S78" s="38" t="s">
        <v>6</v>
      </c>
      <c r="T78" s="455">
        <f>T63</f>
        <v>2.068E-3</v>
      </c>
      <c r="U78" s="97">
        <f t="shared" ref="U78:U87" si="12">ROUND(R78*T78,0)</f>
        <v>20763</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79.069999999999993</v>
      </c>
      <c r="G81" s="37"/>
      <c r="H81" s="121"/>
      <c r="I81" s="102"/>
      <c r="N81" s="406"/>
      <c r="O81" s="406" t="s">
        <v>496</v>
      </c>
      <c r="P81" s="52"/>
      <c r="Q81" s="46"/>
      <c r="R81" s="426">
        <f>IF($H$121=1,F81,0)</f>
        <v>79.069999999999993</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79.069999999999993</v>
      </c>
      <c r="G83" s="37" t="s">
        <v>6</v>
      </c>
      <c r="H83" s="448">
        <f>'0664'!H83</f>
        <v>1951.26</v>
      </c>
      <c r="I83" s="102">
        <f>ROUND(F83*H83,2)</f>
        <v>154286.13</v>
      </c>
      <c r="N83" s="406"/>
      <c r="O83" s="406" t="s">
        <v>497</v>
      </c>
      <c r="P83" s="52"/>
      <c r="Q83" s="46"/>
      <c r="R83" s="426">
        <f>R81-R82</f>
        <v>79.069999999999993</v>
      </c>
      <c r="S83" s="38" t="s">
        <v>6</v>
      </c>
      <c r="T83" s="456">
        <f>'0664'!T83</f>
        <v>1951.26</v>
      </c>
      <c r="U83" s="426">
        <f>ROUND(R83*T83,0)</f>
        <v>154286</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6.0419999999999996E-3</v>
      </c>
      <c r="I85" s="102">
        <f t="shared" si="10"/>
        <v>1416174.9</v>
      </c>
      <c r="N85" s="635" t="s">
        <v>500</v>
      </c>
      <c r="O85" s="635"/>
      <c r="P85" s="635"/>
      <c r="Q85" s="45"/>
      <c r="R85" s="453">
        <f t="shared" si="11"/>
        <v>234388431</v>
      </c>
      <c r="S85" s="38" t="s">
        <v>6</v>
      </c>
      <c r="T85" s="455">
        <f>T60</f>
        <v>1.6980000000000001E-3</v>
      </c>
      <c r="U85" s="97">
        <f t="shared" si="12"/>
        <v>397992</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6.0419999999999996E-3</v>
      </c>
      <c r="I87" s="102">
        <f t="shared" si="10"/>
        <v>0</v>
      </c>
      <c r="N87" s="658" t="s">
        <v>501</v>
      </c>
      <c r="O87" s="635"/>
      <c r="P87" s="635"/>
      <c r="Q87" s="45"/>
      <c r="R87" s="453">
        <f t="shared" si="11"/>
        <v>0</v>
      </c>
      <c r="S87" s="38" t="s">
        <v>6</v>
      </c>
      <c r="T87" s="455">
        <f>T60</f>
        <v>1.6980000000000001E-3</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462.39599999999996</v>
      </c>
      <c r="D92" s="597"/>
      <c r="E92" s="47">
        <f>H8</f>
        <v>1.0442</v>
      </c>
      <c r="F92" s="320">
        <f>'0664'!F92</f>
        <v>947.59</v>
      </c>
      <c r="G92" s="39" t="s">
        <v>12</v>
      </c>
      <c r="H92" s="102">
        <f>ROUND(C92*E92*F92,2)</f>
        <v>457528.58</v>
      </c>
      <c r="I92" s="105"/>
      <c r="N92" s="28" t="s">
        <v>17</v>
      </c>
      <c r="O92" s="48">
        <f>T14+T15+T20+T23+T26</f>
        <v>126.5</v>
      </c>
      <c r="P92" s="673">
        <f>T8</f>
        <v>1.0442</v>
      </c>
      <c r="Q92" s="673"/>
      <c r="R92" s="49">
        <f>F92</f>
        <v>947.59</v>
      </c>
      <c r="S92" s="40" t="s">
        <v>12</v>
      </c>
      <c r="T92" s="123">
        <f>ROUND(O92*P92*R92,0)</f>
        <v>125168</v>
      </c>
      <c r="U92" s="103"/>
    </row>
    <row r="93" spans="1:21" x14ac:dyDescent="0.25">
      <c r="A93" s="50"/>
      <c r="B93" s="50" t="s">
        <v>116</v>
      </c>
      <c r="C93" s="597">
        <f>H16+H17+H21+H24+H27</f>
        <v>467.99</v>
      </c>
      <c r="D93" s="597"/>
      <c r="E93" s="47">
        <f>H8</f>
        <v>1.0442</v>
      </c>
      <c r="F93" s="320">
        <f>'0664'!F93</f>
        <v>904.74</v>
      </c>
      <c r="G93" s="39" t="s">
        <v>12</v>
      </c>
      <c r="H93" s="102">
        <f>ROUND(C93*E93*F93,2)</f>
        <v>442123.96</v>
      </c>
      <c r="N93" s="51" t="s">
        <v>13</v>
      </c>
      <c r="O93" s="48">
        <f>T16+T17+T21+T24+T27</f>
        <v>122</v>
      </c>
      <c r="P93" s="673">
        <f>T8</f>
        <v>1.0442</v>
      </c>
      <c r="Q93" s="673"/>
      <c r="R93" s="49">
        <f>F93</f>
        <v>904.74</v>
      </c>
      <c r="S93" s="40" t="s">
        <v>12</v>
      </c>
      <c r="T93" s="123">
        <f>ROUND(O93*P93*R93,0)</f>
        <v>115257</v>
      </c>
      <c r="U93" s="52"/>
    </row>
    <row r="94" spans="1:21" ht="16.5" thickBot="1" x14ac:dyDescent="0.3">
      <c r="A94" s="53"/>
      <c r="B94" s="53" t="s">
        <v>115</v>
      </c>
      <c r="C94" s="597">
        <f>H18+H19+H22+H25+H28+H29</f>
        <v>444.41329999999999</v>
      </c>
      <c r="D94" s="597"/>
      <c r="E94" s="47">
        <f>H8</f>
        <v>1.0442</v>
      </c>
      <c r="F94" s="320">
        <f>'0664'!F94</f>
        <v>906.93</v>
      </c>
      <c r="G94" s="39" t="s">
        <v>12</v>
      </c>
      <c r="H94" s="95">
        <f>ROUND(C94*E94*F94,2)</f>
        <v>420866.64</v>
      </c>
      <c r="N94" s="54" t="s">
        <v>14</v>
      </c>
      <c r="O94" s="55">
        <f>T18+T19+T22+T25+T28+T29</f>
        <v>137.96</v>
      </c>
      <c r="P94" s="673">
        <f>T8</f>
        <v>1.0442</v>
      </c>
      <c r="Q94" s="673"/>
      <c r="R94" s="49">
        <f>F94</f>
        <v>906.93</v>
      </c>
      <c r="S94" s="40" t="s">
        <v>12</v>
      </c>
      <c r="T94" s="123">
        <f>ROUND(O94*P94*R94,0)</f>
        <v>130650</v>
      </c>
      <c r="U94" s="52"/>
    </row>
    <row r="95" spans="1:21" ht="16.5" thickBot="1" x14ac:dyDescent="0.3">
      <c r="A95" s="56"/>
      <c r="B95" s="129" t="s">
        <v>114</v>
      </c>
      <c r="C95" s="601">
        <f>SUM(C92:C94)</f>
        <v>1374.7992999999999</v>
      </c>
      <c r="D95" s="601"/>
      <c r="E95" s="130"/>
      <c r="F95" s="130"/>
      <c r="G95" s="130"/>
      <c r="H95" s="131" t="s">
        <v>112</v>
      </c>
      <c r="I95" s="102">
        <f>IF(A1=75,0,H94+H93+H92)</f>
        <v>1320519.1800000002</v>
      </c>
      <c r="N95" s="57" t="s">
        <v>95</v>
      </c>
      <c r="O95" s="58">
        <f>SUM(O92:O94)</f>
        <v>386.46000000000004</v>
      </c>
      <c r="P95" s="674" t="s">
        <v>16</v>
      </c>
      <c r="Q95" s="675"/>
      <c r="R95" s="675"/>
      <c r="S95" s="675"/>
      <c r="T95" s="675"/>
      <c r="U95" s="97">
        <f>IF(N1=75,0,T94+T93+T92)</f>
        <v>371075</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0</v>
      </c>
      <c r="D101" s="151">
        <v>1</v>
      </c>
      <c r="E101" s="117">
        <f>(C101+D101)/2</f>
        <v>0.5</v>
      </c>
      <c r="F101" s="134" t="s">
        <v>30</v>
      </c>
      <c r="G101" s="321">
        <f>'0664'!G101</f>
        <v>565</v>
      </c>
      <c r="I101" s="102">
        <f>ROUND(G101*E101,2)</f>
        <v>282.5</v>
      </c>
      <c r="N101" s="684" t="s">
        <v>54</v>
      </c>
      <c r="O101" s="684"/>
      <c r="P101" s="672">
        <f>IF(H121=1,E101,0)</f>
        <v>0.5</v>
      </c>
      <c r="Q101" s="672"/>
      <c r="R101" s="672"/>
      <c r="S101" s="84" t="s">
        <v>30</v>
      </c>
      <c r="T101" s="59">
        <f>G101</f>
        <v>565</v>
      </c>
      <c r="U101" s="97">
        <f>ROUND(T101*P101,0)</f>
        <v>283</v>
      </c>
    </row>
    <row r="102" spans="1:21" x14ac:dyDescent="0.25">
      <c r="A102" s="590" t="s">
        <v>436</v>
      </c>
      <c r="B102" s="596"/>
      <c r="C102" s="151">
        <v>0</v>
      </c>
      <c r="D102" s="151">
        <v>1</v>
      </c>
      <c r="E102" s="117">
        <f>(C102+D102)/2</f>
        <v>0.5</v>
      </c>
      <c r="F102" s="134" t="s">
        <v>30</v>
      </c>
      <c r="G102" s="321">
        <f>'0664'!G102</f>
        <v>1762</v>
      </c>
      <c r="I102" s="102">
        <f>ROUND(G102*E102,2)</f>
        <v>881</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3136958.52</v>
      </c>
    </row>
    <row r="116" spans="1:21" ht="16.5" thickTop="1" x14ac:dyDescent="0.25">
      <c r="A116" s="584" t="s">
        <v>8</v>
      </c>
      <c r="B116" s="584"/>
      <c r="C116" s="584"/>
      <c r="D116" s="584"/>
      <c r="E116" s="584"/>
      <c r="F116" s="584"/>
      <c r="G116" s="584"/>
      <c r="H116" s="584"/>
      <c r="I116" s="95">
        <f>SUM(I30,I44,I53,I71,I74,I76,I78,I83,I85,I87,I95,I101,I102,I112,I114)</f>
        <v>10847329.880000001</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10409789.65</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f>IF(E30=0,"",IF((E15+E17+SUM(E19:E25))/E30&gt;0.75,1,""))</f>
        <v>1</v>
      </c>
      <c r="I121" s="117">
        <f>U115</f>
        <v>3136958.52</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3136958.52</v>
      </c>
      <c r="I123" s="95">
        <f>ROUND(IF(E30=0,0,IF(E30&gt;250,-(((250/E30)*H123)*IF(G123="H",0.02,0.05)),IF(G123="H",-0.02*H123,-0.05*H123))),2)</f>
        <v>-101464.53</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10745865.350000001</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10745865.350000001</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895488.78</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IF(G123="H",(H123*0.02)+I123,(H123*0.05)+I123)</f>
        <v>55383.396000000008</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N140:U140"/>
    <mergeCell ref="N120:U120"/>
    <mergeCell ref="N114:P114"/>
    <mergeCell ref="A114:C114"/>
    <mergeCell ref="N115:T115"/>
    <mergeCell ref="A116:H116"/>
    <mergeCell ref="A120:G120"/>
    <mergeCell ref="A111:B111"/>
    <mergeCell ref="F111:G111"/>
    <mergeCell ref="N111:O111"/>
    <mergeCell ref="P111:Q111"/>
    <mergeCell ref="F114:H114"/>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&amp;L&amp;8&amp;Z&amp;F&amp;R&amp;P of &amp;N</oddFooter>
  </headerFooter>
  <rowBreaks count="1" manualBreakCount="1">
    <brk id="139"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CCC"/>
  </sheetPr>
  <dimension ref="A1:V209"/>
  <sheetViews>
    <sheetView showGridLines="0" zoomScaleNormal="100" workbookViewId="0">
      <pane ySplit="1" topLeftCell="A102"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350</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0</v>
      </c>
      <c r="D16" s="151">
        <v>0</v>
      </c>
      <c r="E16" s="117">
        <f t="shared" si="1"/>
        <v>0</v>
      </c>
      <c r="F16" s="622">
        <f>'0664'!F16:G16</f>
        <v>1</v>
      </c>
      <c r="G16" s="622"/>
      <c r="H16" s="81">
        <f t="shared" si="2"/>
        <v>0</v>
      </c>
      <c r="I16" s="102">
        <f t="shared" si="3"/>
        <v>0</v>
      </c>
      <c r="N16" s="635" t="s">
        <v>22</v>
      </c>
      <c r="O16" s="635"/>
      <c r="P16" s="636">
        <f t="shared" si="0"/>
        <v>0</v>
      </c>
      <c r="Q16" s="636"/>
      <c r="R16" s="637">
        <v>1</v>
      </c>
      <c r="S16" s="637"/>
      <c r="T16" s="96">
        <f t="shared" si="4"/>
        <v>0</v>
      </c>
      <c r="U16" s="97">
        <f t="shared" si="5"/>
        <v>0</v>
      </c>
    </row>
    <row r="17" spans="1:21" x14ac:dyDescent="0.25">
      <c r="A17" s="586" t="s">
        <v>23</v>
      </c>
      <c r="B17" s="586"/>
      <c r="C17" s="151">
        <v>0</v>
      </c>
      <c r="D17" s="151">
        <v>0</v>
      </c>
      <c r="E17" s="117">
        <f t="shared" si="1"/>
        <v>0</v>
      </c>
      <c r="F17" s="622">
        <f>'0664'!F17:G17</f>
        <v>1</v>
      </c>
      <c r="G17" s="622"/>
      <c r="H17" s="81">
        <f t="shared" si="2"/>
        <v>0</v>
      </c>
      <c r="I17" s="102">
        <f t="shared" si="3"/>
        <v>0</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5.5</v>
      </c>
      <c r="D19" s="151">
        <v>5</v>
      </c>
      <c r="E19" s="117">
        <f t="shared" si="1"/>
        <v>10.5</v>
      </c>
      <c r="F19" s="622">
        <f>'0664'!F19:G19</f>
        <v>0.98799999999999999</v>
      </c>
      <c r="G19" s="622"/>
      <c r="H19" s="81">
        <f t="shared" si="2"/>
        <v>10.374000000000001</v>
      </c>
      <c r="I19" s="102">
        <f t="shared" si="3"/>
        <v>55676.28</v>
      </c>
      <c r="J19" s="66"/>
      <c r="N19" s="635" t="s">
        <v>25</v>
      </c>
      <c r="O19" s="635"/>
      <c r="P19" s="636">
        <f t="shared" si="0"/>
        <v>10.5</v>
      </c>
      <c r="Q19" s="636"/>
      <c r="R19" s="637">
        <v>1</v>
      </c>
      <c r="S19" s="637"/>
      <c r="T19" s="96">
        <f t="shared" si="4"/>
        <v>10.5</v>
      </c>
      <c r="U19" s="99">
        <f t="shared" si="5"/>
        <v>56352.51</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24</v>
      </c>
      <c r="D22" s="151">
        <v>23.5</v>
      </c>
      <c r="E22" s="117">
        <f t="shared" si="1"/>
        <v>47.5</v>
      </c>
      <c r="F22" s="622">
        <f>'0664'!F22:G22</f>
        <v>3.706</v>
      </c>
      <c r="G22" s="622"/>
      <c r="H22" s="81">
        <f t="shared" si="2"/>
        <v>176.035</v>
      </c>
      <c r="I22" s="102">
        <f t="shared" si="3"/>
        <v>944763.31</v>
      </c>
      <c r="N22" s="635" t="s">
        <v>87</v>
      </c>
      <c r="O22" s="635"/>
      <c r="P22" s="636">
        <f t="shared" si="0"/>
        <v>47.5</v>
      </c>
      <c r="Q22" s="636"/>
      <c r="R22" s="637">
        <v>1</v>
      </c>
      <c r="S22" s="637"/>
      <c r="T22" s="96">
        <f t="shared" si="4"/>
        <v>47.5</v>
      </c>
      <c r="U22" s="97">
        <f t="shared" si="5"/>
        <v>254928.04</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32.5</v>
      </c>
      <c r="D25" s="151">
        <v>33.5</v>
      </c>
      <c r="E25" s="117">
        <f t="shared" si="1"/>
        <v>66</v>
      </c>
      <c r="F25" s="622">
        <f>'0664'!F25:G25</f>
        <v>5.7069999999999999</v>
      </c>
      <c r="G25" s="622"/>
      <c r="H25" s="81">
        <f t="shared" si="2"/>
        <v>376.66199999999998</v>
      </c>
      <c r="I25" s="102">
        <f t="shared" si="3"/>
        <v>2021509.57</v>
      </c>
      <c r="N25" s="635" t="s">
        <v>90</v>
      </c>
      <c r="O25" s="635"/>
      <c r="P25" s="636">
        <f t="shared" si="0"/>
        <v>66</v>
      </c>
      <c r="Q25" s="636"/>
      <c r="R25" s="637">
        <v>1</v>
      </c>
      <c r="S25" s="637"/>
      <c r="T25" s="96">
        <f t="shared" si="4"/>
        <v>66</v>
      </c>
      <c r="U25" s="97">
        <f t="shared" si="5"/>
        <v>354215.8</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0</v>
      </c>
      <c r="D27" s="151">
        <v>0</v>
      </c>
      <c r="E27" s="117">
        <f t="shared" si="1"/>
        <v>0</v>
      </c>
      <c r="F27" s="622">
        <f>'0664'!F27:G27</f>
        <v>1.208</v>
      </c>
      <c r="G27" s="622"/>
      <c r="H27" s="81">
        <f t="shared" si="2"/>
        <v>0</v>
      </c>
      <c r="I27" s="102">
        <f t="shared" si="3"/>
        <v>0</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62</v>
      </c>
      <c r="D30" s="95">
        <f>SUM(D14:D29)</f>
        <v>62</v>
      </c>
      <c r="E30" s="95">
        <f>SUM(E14:E29)</f>
        <v>124</v>
      </c>
      <c r="F30" s="609"/>
      <c r="G30" s="609"/>
      <c r="H30" s="100">
        <f>SUM(H14:H29)</f>
        <v>563.07099999999991</v>
      </c>
      <c r="I30" s="95">
        <f>SUM(I14:I29)</f>
        <v>3021949.16</v>
      </c>
      <c r="N30" s="654" t="s">
        <v>5</v>
      </c>
      <c r="O30" s="654"/>
      <c r="P30" s="655">
        <f>SUM(P14:P29)</f>
        <v>124</v>
      </c>
      <c r="Q30" s="655"/>
      <c r="R30" s="656"/>
      <c r="S30" s="656"/>
      <c r="T30" s="101">
        <f>SUM(T14:T29)</f>
        <v>124</v>
      </c>
      <c r="U30" s="97">
        <f>SUM(U14:U29)</f>
        <v>665496.35</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563.07099999999991</v>
      </c>
      <c r="F46" s="34"/>
      <c r="G46" s="107"/>
      <c r="H46" s="108" t="s">
        <v>104</v>
      </c>
      <c r="I46" s="95">
        <f>SUM(I44,I30)</f>
        <v>3021949.16</v>
      </c>
      <c r="N46" s="680" t="s">
        <v>44</v>
      </c>
      <c r="O46" s="680"/>
      <c r="P46" s="680"/>
      <c r="Q46" s="680"/>
      <c r="R46" s="35">
        <f>R44+T30</f>
        <v>124</v>
      </c>
      <c r="S46" s="656" t="s">
        <v>42</v>
      </c>
      <c r="T46" s="656"/>
      <c r="U46" s="109">
        <f>SUM(U44,U30)</f>
        <v>665496.35</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3021949.16</v>
      </c>
      <c r="G51" s="110" t="s">
        <v>6</v>
      </c>
      <c r="H51" s="425">
        <v>4.5199999999999997E-2</v>
      </c>
      <c r="I51" s="102">
        <f>ROUND(F51*H51,2)</f>
        <v>136592.1</v>
      </c>
      <c r="N51" s="430"/>
      <c r="O51" s="431" t="s">
        <v>456</v>
      </c>
      <c r="P51" s="28"/>
      <c r="Q51" s="45" t="s">
        <v>457</v>
      </c>
      <c r="R51" s="432">
        <f>U30</f>
        <v>665496.35</v>
      </c>
      <c r="S51" s="433" t="s">
        <v>6</v>
      </c>
      <c r="T51" s="434">
        <v>4.5199999999999997E-2</v>
      </c>
      <c r="U51" s="426">
        <f>ROUND(R51*T51,2)</f>
        <v>30080.44</v>
      </c>
    </row>
    <row r="52" spans="1:22" x14ac:dyDescent="0.25">
      <c r="A52" s="26"/>
      <c r="B52" s="82" t="s">
        <v>458</v>
      </c>
      <c r="C52" s="26"/>
      <c r="D52" s="26"/>
      <c r="E52" s="44" t="s">
        <v>457</v>
      </c>
      <c r="F52" s="424">
        <f>I46</f>
        <v>3021949.16</v>
      </c>
      <c r="G52" s="110" t="s">
        <v>6</v>
      </c>
      <c r="H52" s="425">
        <v>1.41E-2</v>
      </c>
      <c r="I52" s="102">
        <f>ROUND(F52*H52,2)</f>
        <v>42609.48</v>
      </c>
      <c r="N52" s="28"/>
      <c r="O52" s="406" t="s">
        <v>458</v>
      </c>
      <c r="P52" s="28"/>
      <c r="Q52" s="45" t="s">
        <v>457</v>
      </c>
      <c r="R52" s="432">
        <f>U30</f>
        <v>665496.35</v>
      </c>
      <c r="S52" s="433" t="s">
        <v>6</v>
      </c>
      <c r="T52" s="434">
        <v>1.41E-2</v>
      </c>
      <c r="U52" s="435">
        <f>ROUND(R52*T52,2)</f>
        <v>9383.5</v>
      </c>
    </row>
    <row r="53" spans="1:22" x14ac:dyDescent="0.25">
      <c r="A53" s="26"/>
      <c r="B53" s="82" t="s">
        <v>459</v>
      </c>
      <c r="C53" s="26"/>
      <c r="D53" s="26"/>
      <c r="E53" s="44"/>
      <c r="F53" s="424"/>
      <c r="G53" s="110"/>
      <c r="H53" s="425"/>
      <c r="I53" s="98">
        <f>SUM(I51:I52)</f>
        <v>179201.58000000002</v>
      </c>
      <c r="N53" s="28"/>
      <c r="O53" s="406" t="s">
        <v>459</v>
      </c>
      <c r="P53" s="28"/>
      <c r="Q53" s="45"/>
      <c r="R53" s="432"/>
      <c r="S53" s="433"/>
      <c r="T53" s="434"/>
      <c r="U53" s="426">
        <f>SUM(U51:U52)</f>
        <v>39463.94</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124</v>
      </c>
      <c r="D56" s="593" t="s">
        <v>476</v>
      </c>
      <c r="E56" s="593"/>
      <c r="F56" s="593"/>
      <c r="G56" s="593"/>
      <c r="H56" s="317">
        <f>'0664'!H56</f>
        <v>203305.63</v>
      </c>
      <c r="I56" s="114"/>
      <c r="N56" s="658" t="s">
        <v>466</v>
      </c>
      <c r="O56" s="635"/>
      <c r="P56" s="41">
        <f>P30</f>
        <v>124</v>
      </c>
      <c r="Q56" s="663" t="s">
        <v>468</v>
      </c>
      <c r="R56" s="664"/>
      <c r="S56" s="664"/>
      <c r="T56" s="662">
        <f>H56</f>
        <v>203305.63</v>
      </c>
      <c r="U56" s="662"/>
    </row>
    <row r="57" spans="1:22" x14ac:dyDescent="0.25">
      <c r="B57" s="70"/>
      <c r="G57" s="42" t="s">
        <v>12</v>
      </c>
      <c r="H57" s="115">
        <f>ROUND(C56/H56,6)</f>
        <v>6.0999999999999997E-4</v>
      </c>
      <c r="I57" s="116"/>
      <c r="N57" s="635"/>
      <c r="O57" s="635"/>
      <c r="P57" s="635"/>
      <c r="Q57" s="635"/>
      <c r="R57" s="635"/>
      <c r="S57" s="635"/>
      <c r="T57" s="665">
        <f>ROUND(P56/T56,6)</f>
        <v>6.0999999999999997E-4</v>
      </c>
      <c r="U57" s="665"/>
    </row>
    <row r="58" spans="1:22" x14ac:dyDescent="0.25">
      <c r="A58" s="423" t="s">
        <v>461</v>
      </c>
      <c r="N58" s="406" t="s">
        <v>483</v>
      </c>
      <c r="O58" s="52"/>
      <c r="P58" s="52"/>
      <c r="Q58" s="52"/>
      <c r="R58" s="52"/>
      <c r="S58" s="52"/>
      <c r="T58" s="52"/>
      <c r="U58" s="52"/>
    </row>
    <row r="59" spans="1:22" x14ac:dyDescent="0.25">
      <c r="A59" s="585" t="s">
        <v>463</v>
      </c>
      <c r="B59" s="586"/>
      <c r="C59" s="437">
        <f>H30</f>
        <v>563.07099999999991</v>
      </c>
      <c r="D59" s="593" t="s">
        <v>477</v>
      </c>
      <c r="E59" s="593"/>
      <c r="F59" s="593"/>
      <c r="G59" s="593"/>
      <c r="H59" s="318">
        <f>'0664'!H59</f>
        <v>227540.36</v>
      </c>
      <c r="I59" s="117"/>
      <c r="N59" s="658" t="s">
        <v>467</v>
      </c>
      <c r="O59" s="635"/>
      <c r="P59" s="41">
        <f>T30</f>
        <v>124</v>
      </c>
      <c r="Q59" s="663" t="s">
        <v>469</v>
      </c>
      <c r="R59" s="664"/>
      <c r="S59" s="664"/>
      <c r="T59" s="662">
        <f>H59</f>
        <v>227540.36</v>
      </c>
      <c r="U59" s="662"/>
    </row>
    <row r="60" spans="1:22" x14ac:dyDescent="0.25">
      <c r="G60" s="42" t="s">
        <v>12</v>
      </c>
      <c r="H60" s="115">
        <f>ROUND(C59/H59,6)</f>
        <v>2.4750000000000002E-3</v>
      </c>
      <c r="I60" s="115"/>
      <c r="N60" s="635"/>
      <c r="O60" s="635"/>
      <c r="P60" s="635"/>
      <c r="Q60" s="635"/>
      <c r="R60" s="635"/>
      <c r="S60" s="635"/>
      <c r="T60" s="665">
        <f>ROUND(P59/T59,6)</f>
        <v>5.4500000000000002E-4</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124</v>
      </c>
      <c r="D62" s="590" t="s">
        <v>478</v>
      </c>
      <c r="E62" s="590"/>
      <c r="F62" s="590"/>
      <c r="G62" s="590"/>
      <c r="H62" s="317">
        <f>'0664'!H62</f>
        <v>186907.73</v>
      </c>
      <c r="I62" s="114"/>
      <c r="N62" s="658" t="s">
        <v>465</v>
      </c>
      <c r="O62" s="635"/>
      <c r="P62" s="41">
        <f>P30</f>
        <v>124</v>
      </c>
      <c r="Q62" s="668" t="s">
        <v>470</v>
      </c>
      <c r="R62" s="669"/>
      <c r="S62" s="669"/>
      <c r="T62" s="662">
        <f>H62</f>
        <v>186907.73</v>
      </c>
      <c r="U62" s="662"/>
    </row>
    <row r="63" spans="1:22" x14ac:dyDescent="0.25">
      <c r="B63" s="70"/>
      <c r="G63" s="42" t="s">
        <v>12</v>
      </c>
      <c r="H63" s="115">
        <f>ROUND(C62/H62,6)</f>
        <v>6.6299999999999996E-4</v>
      </c>
      <c r="I63" s="116"/>
      <c r="N63" s="635"/>
      <c r="O63" s="635"/>
      <c r="P63" s="635"/>
      <c r="Q63" s="635"/>
      <c r="R63" s="635"/>
      <c r="S63" s="635"/>
      <c r="T63" s="665">
        <f>ROUND(P62/T62,6)</f>
        <v>6.6299999999999996E-4</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124</v>
      </c>
      <c r="D65" s="606" t="s">
        <v>479</v>
      </c>
      <c r="E65" s="606"/>
      <c r="F65" s="606"/>
      <c r="G65" s="606"/>
      <c r="H65" s="317">
        <f>'0664'!H65</f>
        <v>203080.55</v>
      </c>
      <c r="I65" s="114"/>
      <c r="N65" s="658" t="s">
        <v>465</v>
      </c>
      <c r="O65" s="635"/>
      <c r="P65" s="41">
        <f>P30</f>
        <v>124</v>
      </c>
      <c r="Q65" s="666" t="s">
        <v>471</v>
      </c>
      <c r="R65" s="667"/>
      <c r="S65" s="667"/>
      <c r="T65" s="662">
        <f>H65</f>
        <v>203080.55</v>
      </c>
      <c r="U65" s="662"/>
    </row>
    <row r="66" spans="1:22" x14ac:dyDescent="0.25">
      <c r="B66" s="70"/>
      <c r="G66" s="42" t="s">
        <v>12</v>
      </c>
      <c r="H66" s="115">
        <f>ROUND(C65/H65,6)</f>
        <v>6.11E-4</v>
      </c>
      <c r="I66" s="116"/>
      <c r="N66" s="635"/>
      <c r="O66" s="635"/>
      <c r="P66" s="635"/>
      <c r="Q66" s="635"/>
      <c r="R66" s="635"/>
      <c r="S66" s="635"/>
      <c r="T66" s="665">
        <f>ROUND(P65/T65,6)</f>
        <v>6.11E-4</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124</v>
      </c>
      <c r="D68" s="590" t="s">
        <v>480</v>
      </c>
      <c r="E68" s="590"/>
      <c r="F68" s="590"/>
      <c r="G68" s="590"/>
      <c r="H68" s="317">
        <f>'0664'!H68</f>
        <v>186682.65</v>
      </c>
      <c r="I68" s="114"/>
      <c r="N68" s="658" t="s">
        <v>481</v>
      </c>
      <c r="O68" s="635"/>
      <c r="P68" s="41">
        <f>P30</f>
        <v>124</v>
      </c>
      <c r="Q68" s="668" t="s">
        <v>487</v>
      </c>
      <c r="R68" s="669"/>
      <c r="S68" s="669"/>
      <c r="T68" s="662">
        <f>H68</f>
        <v>186682.65</v>
      </c>
      <c r="U68" s="662"/>
    </row>
    <row r="69" spans="1:22" x14ac:dyDescent="0.25">
      <c r="B69" s="70"/>
      <c r="G69" s="42" t="s">
        <v>12</v>
      </c>
      <c r="H69" s="115">
        <f>ROUND(C68/H68,6)</f>
        <v>6.6399999999999999E-4</v>
      </c>
      <c r="I69" s="116"/>
      <c r="N69" s="635"/>
      <c r="O69" s="635"/>
      <c r="P69" s="635"/>
      <c r="Q69" s="635"/>
      <c r="R69" s="635"/>
      <c r="S69" s="635"/>
      <c r="T69" s="665">
        <f>ROUND(P68/T68,6)</f>
        <v>6.6399999999999999E-4</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6.11E-4</v>
      </c>
      <c r="I71" s="102">
        <f>ROUND(F71*H71,2)</f>
        <v>27290.639999999999</v>
      </c>
      <c r="N71" s="52" t="s">
        <v>488</v>
      </c>
      <c r="O71" s="52"/>
      <c r="P71" s="52"/>
      <c r="Q71" s="45"/>
      <c r="R71" s="453">
        <f>F71</f>
        <v>44665536</v>
      </c>
      <c r="S71" s="38" t="s">
        <v>6</v>
      </c>
      <c r="T71" s="455">
        <f>T66</f>
        <v>6.11E-4</v>
      </c>
      <c r="U71" s="97">
        <f>ROUND(R71*T71,0)</f>
        <v>27291</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6.0999999999999997E-4</v>
      </c>
      <c r="I74" s="102">
        <f>ROUND(F74*H74,2)</f>
        <v>0</v>
      </c>
      <c r="N74" s="670" t="s">
        <v>110</v>
      </c>
      <c r="O74" s="635"/>
      <c r="P74" s="635"/>
      <c r="Q74" s="45"/>
      <c r="R74" s="453">
        <f>F74</f>
        <v>0</v>
      </c>
      <c r="S74" s="38" t="s">
        <v>6</v>
      </c>
      <c r="T74" s="455">
        <f>T57</f>
        <v>6.0999999999999997E-4</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6.6399999999999999E-4</v>
      </c>
      <c r="I76" s="102">
        <f>ROUND(F76*H76,2)</f>
        <v>10734.92</v>
      </c>
      <c r="N76" s="431" t="s">
        <v>491</v>
      </c>
      <c r="O76" s="52"/>
      <c r="P76" s="52"/>
      <c r="Q76" s="45"/>
      <c r="R76" s="453">
        <f>F76</f>
        <v>16167052</v>
      </c>
      <c r="S76" s="38" t="s">
        <v>6</v>
      </c>
      <c r="T76" s="455">
        <f>T69</f>
        <v>6.6399999999999999E-4</v>
      </c>
      <c r="U76" s="97">
        <f>ROUND(R76*T76,0)</f>
        <v>10735</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6.6299999999999996E-4</v>
      </c>
      <c r="I78" s="102">
        <f t="shared" ref="I78:I87" si="10">ROUND(F78*H78,2)</f>
        <v>6656.59</v>
      </c>
      <c r="N78" s="406" t="s">
        <v>493</v>
      </c>
      <c r="O78" s="52"/>
      <c r="P78" s="52"/>
      <c r="Q78" s="45"/>
      <c r="R78" s="453">
        <f t="shared" ref="R78:R87" si="11">F78</f>
        <v>10040099</v>
      </c>
      <c r="S78" s="38" t="s">
        <v>6</v>
      </c>
      <c r="T78" s="455">
        <f>T63</f>
        <v>6.6299999999999996E-4</v>
      </c>
      <c r="U78" s="97">
        <f t="shared" ref="U78:U87" si="12">ROUND(R78*T78,0)</f>
        <v>6657</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10.5</v>
      </c>
      <c r="G81" s="37"/>
      <c r="H81" s="121"/>
      <c r="I81" s="102"/>
      <c r="N81" s="406"/>
      <c r="O81" s="406" t="s">
        <v>496</v>
      </c>
      <c r="P81" s="52"/>
      <c r="Q81" s="46"/>
      <c r="R81" s="426">
        <f>IF($H$121=1,F81,0)</f>
        <v>10.5</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10.5</v>
      </c>
      <c r="G83" s="37" t="s">
        <v>6</v>
      </c>
      <c r="H83" s="448">
        <f>'0664'!H83</f>
        <v>1951.26</v>
      </c>
      <c r="I83" s="102">
        <f>ROUND(F83*H83,2)</f>
        <v>20488.23</v>
      </c>
      <c r="N83" s="406"/>
      <c r="O83" s="406" t="s">
        <v>497</v>
      </c>
      <c r="P83" s="52"/>
      <c r="Q83" s="46"/>
      <c r="R83" s="426">
        <f>R81-R82</f>
        <v>10.5</v>
      </c>
      <c r="S83" s="38" t="s">
        <v>6</v>
      </c>
      <c r="T83" s="456">
        <f>'0664'!T83</f>
        <v>1951.26</v>
      </c>
      <c r="U83" s="426">
        <f>ROUND(R83*T83,0)</f>
        <v>20488</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2.4750000000000002E-3</v>
      </c>
      <c r="I85" s="102">
        <f t="shared" si="10"/>
        <v>580111.37</v>
      </c>
      <c r="N85" s="635" t="s">
        <v>500</v>
      </c>
      <c r="O85" s="635"/>
      <c r="P85" s="635"/>
      <c r="Q85" s="45"/>
      <c r="R85" s="453">
        <f t="shared" si="11"/>
        <v>234388431</v>
      </c>
      <c r="S85" s="38" t="s">
        <v>6</v>
      </c>
      <c r="T85" s="455">
        <f>T60</f>
        <v>5.4500000000000002E-4</v>
      </c>
      <c r="U85" s="97">
        <f t="shared" si="12"/>
        <v>127742</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2.4750000000000002E-3</v>
      </c>
      <c r="I87" s="102">
        <f t="shared" si="10"/>
        <v>0</v>
      </c>
      <c r="N87" s="658" t="s">
        <v>501</v>
      </c>
      <c r="O87" s="635"/>
      <c r="P87" s="635"/>
      <c r="Q87" s="45"/>
      <c r="R87" s="453">
        <f t="shared" si="11"/>
        <v>0</v>
      </c>
      <c r="S87" s="38" t="s">
        <v>6</v>
      </c>
      <c r="T87" s="455">
        <f>T60</f>
        <v>5.4500000000000002E-4</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0</v>
      </c>
      <c r="D92" s="597"/>
      <c r="E92" s="47">
        <f>H8</f>
        <v>1.0442</v>
      </c>
      <c r="F92" s="320">
        <f>'0664'!F92</f>
        <v>947.59</v>
      </c>
      <c r="G92" s="39" t="s">
        <v>12</v>
      </c>
      <c r="H92" s="102">
        <f>ROUND(C92*E92*F92,2)</f>
        <v>0</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0</v>
      </c>
      <c r="D93" s="597"/>
      <c r="E93" s="47">
        <f>H8</f>
        <v>1.0442</v>
      </c>
      <c r="F93" s="320">
        <f>'0664'!F93</f>
        <v>904.74</v>
      </c>
      <c r="G93" s="39" t="s">
        <v>12</v>
      </c>
      <c r="H93" s="102">
        <f>ROUND(C93*E93*F93,2)</f>
        <v>0</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563.07099999999991</v>
      </c>
      <c r="D94" s="597"/>
      <c r="E94" s="47">
        <f>H8</f>
        <v>1.0442</v>
      </c>
      <c r="F94" s="320">
        <f>'0664'!F94</f>
        <v>906.93</v>
      </c>
      <c r="G94" s="39" t="s">
        <v>12</v>
      </c>
      <c r="H94" s="95">
        <f>ROUND(C94*E94*F94,2)</f>
        <v>533237.42000000004</v>
      </c>
      <c r="N94" s="54" t="s">
        <v>14</v>
      </c>
      <c r="O94" s="55">
        <f>T18+T19+T22+T25+T28+T29</f>
        <v>124</v>
      </c>
      <c r="P94" s="673">
        <f>T8</f>
        <v>1.0442</v>
      </c>
      <c r="Q94" s="673"/>
      <c r="R94" s="49">
        <f>F94</f>
        <v>906.93</v>
      </c>
      <c r="S94" s="40" t="s">
        <v>12</v>
      </c>
      <c r="T94" s="123">
        <f>ROUND(O94*P94*R94,0)</f>
        <v>117430</v>
      </c>
      <c r="U94" s="52"/>
    </row>
    <row r="95" spans="1:21" ht="16.5" thickBot="1" x14ac:dyDescent="0.3">
      <c r="A95" s="56"/>
      <c r="B95" s="129" t="s">
        <v>114</v>
      </c>
      <c r="C95" s="601">
        <f>SUM(C92:C94)</f>
        <v>563.07099999999991</v>
      </c>
      <c r="D95" s="601"/>
      <c r="E95" s="130"/>
      <c r="F95" s="130"/>
      <c r="G95" s="130"/>
      <c r="H95" s="131" t="s">
        <v>112</v>
      </c>
      <c r="I95" s="102">
        <f>IF(A1=75,0,H94+H93+H92)</f>
        <v>533237.42000000004</v>
      </c>
      <c r="N95" s="57" t="s">
        <v>95</v>
      </c>
      <c r="O95" s="58">
        <f>SUM(O92:O94)</f>
        <v>124</v>
      </c>
      <c r="P95" s="674" t="s">
        <v>16</v>
      </c>
      <c r="Q95" s="675"/>
      <c r="R95" s="675"/>
      <c r="S95" s="675"/>
      <c r="T95" s="675"/>
      <c r="U95" s="97">
        <f>IF(N1=75,0,T94+T93+T92)</f>
        <v>117430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0</v>
      </c>
      <c r="D101" s="151">
        <v>0</v>
      </c>
      <c r="E101" s="117">
        <f>(C101+D101)/2</f>
        <v>0</v>
      </c>
      <c r="F101" s="134" t="s">
        <v>30</v>
      </c>
      <c r="G101" s="321">
        <f>'0664'!G101</f>
        <v>565</v>
      </c>
      <c r="I101" s="102">
        <f>ROUND(G101*E101,2)</f>
        <v>0</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975839.35</v>
      </c>
    </row>
    <row r="116" spans="1:21" ht="16.5" thickTop="1" x14ac:dyDescent="0.25">
      <c r="A116" s="584" t="s">
        <v>8</v>
      </c>
      <c r="B116" s="584"/>
      <c r="C116" s="584"/>
      <c r="D116" s="584"/>
      <c r="E116" s="584"/>
      <c r="F116" s="584"/>
      <c r="G116" s="584"/>
      <c r="H116" s="584"/>
      <c r="I116" s="95">
        <f>SUM(I30,I44,I53,I71,I74,I76,I78,I83,I85,I87,I95,I101,I102,I112,I114)</f>
        <v>4379669.91</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4200468.33</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f>IF(E30=0,"",IF((E15+E17+SUM(E19:E25))/E30&gt;0.75,1,""))</f>
        <v>1</v>
      </c>
      <c r="I121" s="117">
        <f>U115</f>
        <v>975839.35</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975839.35</v>
      </c>
      <c r="I123" s="95">
        <f>ROUND(IF(E30=0,0,IF(E30&gt;250,-(((250/E30)*H123)*IF(G123="H",0.02,0.05)),IF(G123="H",-0.02*H123,-0.05*H123))),2)</f>
        <v>-48791.97</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4330877.9400000004</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4330877.9400000004</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360906.5</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0</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T69:U69"/>
    <mergeCell ref="A85:C85"/>
    <mergeCell ref="A74:C74"/>
    <mergeCell ref="N85:P85"/>
    <mergeCell ref="A87:C87"/>
    <mergeCell ref="N87:P87"/>
    <mergeCell ref="C90:D90"/>
    <mergeCell ref="C91:D91"/>
    <mergeCell ref="N91:O91"/>
    <mergeCell ref="P91:Q91"/>
    <mergeCell ref="N74:P74"/>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CCC"/>
  </sheetPr>
  <dimension ref="A1:V209"/>
  <sheetViews>
    <sheetView showGridLines="0" zoomScaleNormal="100" workbookViewId="0">
      <pane ySplit="1" topLeftCell="A114" activePane="bottomLeft" state="frozen"/>
      <selection activeCell="A58" sqref="A58"/>
      <selection pane="bottomLeft" activeCell="I28" sqref="I2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416</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0</v>
      </c>
      <c r="D16" s="151">
        <v>0</v>
      </c>
      <c r="E16" s="117">
        <f t="shared" si="1"/>
        <v>0</v>
      </c>
      <c r="F16" s="622">
        <f>'0664'!F16:G16</f>
        <v>1</v>
      </c>
      <c r="G16" s="622"/>
      <c r="H16" s="81">
        <f t="shared" si="2"/>
        <v>0</v>
      </c>
      <c r="I16" s="102">
        <f t="shared" si="3"/>
        <v>0</v>
      </c>
      <c r="N16" s="635" t="s">
        <v>22</v>
      </c>
      <c r="O16" s="635"/>
      <c r="P16" s="636">
        <f t="shared" si="0"/>
        <v>0</v>
      </c>
      <c r="Q16" s="636"/>
      <c r="R16" s="637">
        <v>1</v>
      </c>
      <c r="S16" s="637"/>
      <c r="T16" s="96">
        <f t="shared" si="4"/>
        <v>0</v>
      </c>
      <c r="U16" s="97">
        <f t="shared" si="5"/>
        <v>0</v>
      </c>
    </row>
    <row r="17" spans="1:21" x14ac:dyDescent="0.25">
      <c r="A17" s="586" t="s">
        <v>23</v>
      </c>
      <c r="B17" s="586"/>
      <c r="C17" s="151">
        <v>0</v>
      </c>
      <c r="D17" s="151">
        <v>0</v>
      </c>
      <c r="E17" s="117">
        <f t="shared" si="1"/>
        <v>0</v>
      </c>
      <c r="F17" s="622">
        <f>'0664'!F17:G17</f>
        <v>1</v>
      </c>
      <c r="G17" s="622"/>
      <c r="H17" s="81">
        <f t="shared" si="2"/>
        <v>0</v>
      </c>
      <c r="I17" s="102">
        <f t="shared" si="3"/>
        <v>0</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23.5</v>
      </c>
      <c r="D19" s="151">
        <v>25.94</v>
      </c>
      <c r="E19" s="117">
        <f t="shared" si="1"/>
        <v>49.44</v>
      </c>
      <c r="F19" s="622">
        <f>'0664'!F19:G19</f>
        <v>0.98799999999999999</v>
      </c>
      <c r="G19" s="622"/>
      <c r="H19" s="81">
        <f t="shared" si="2"/>
        <v>48.846699999999998</v>
      </c>
      <c r="I19" s="102">
        <f t="shared" si="3"/>
        <v>262155.65000000002</v>
      </c>
      <c r="J19" s="66"/>
      <c r="N19" s="635" t="s">
        <v>25</v>
      </c>
      <c r="O19" s="635"/>
      <c r="P19" s="636">
        <f t="shared" si="0"/>
        <v>49.44</v>
      </c>
      <c r="Q19" s="636"/>
      <c r="R19" s="637">
        <v>1</v>
      </c>
      <c r="S19" s="637"/>
      <c r="T19" s="96">
        <f t="shared" si="4"/>
        <v>49.44</v>
      </c>
      <c r="U19" s="99">
        <f t="shared" si="5"/>
        <v>265339.84000000003</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0</v>
      </c>
      <c r="D27" s="151">
        <v>0</v>
      </c>
      <c r="E27" s="117">
        <f t="shared" si="1"/>
        <v>0</v>
      </c>
      <c r="F27" s="622">
        <f>'0664'!F27:G27</f>
        <v>1.208</v>
      </c>
      <c r="G27" s="622"/>
      <c r="H27" s="81">
        <f t="shared" si="2"/>
        <v>0</v>
      </c>
      <c r="I27" s="102">
        <f t="shared" si="3"/>
        <v>0</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23.5</v>
      </c>
      <c r="D30" s="95">
        <f>SUM(D14:D29)</f>
        <v>25.94</v>
      </c>
      <c r="E30" s="95">
        <f>SUM(E14:E29)</f>
        <v>49.44</v>
      </c>
      <c r="F30" s="609"/>
      <c r="G30" s="609"/>
      <c r="H30" s="100">
        <f>SUM(H14:H29)</f>
        <v>48.846699999999998</v>
      </c>
      <c r="I30" s="95">
        <f>SUM(I14:I29)</f>
        <v>262155.65000000002</v>
      </c>
      <c r="N30" s="654" t="s">
        <v>5</v>
      </c>
      <c r="O30" s="654"/>
      <c r="P30" s="655">
        <f>SUM(P14:P29)</f>
        <v>49.44</v>
      </c>
      <c r="Q30" s="655"/>
      <c r="R30" s="656"/>
      <c r="S30" s="656"/>
      <c r="T30" s="101">
        <f>SUM(T14:T29)</f>
        <v>49.44</v>
      </c>
      <c r="U30" s="97">
        <f>SUM(U14:U29)</f>
        <v>265339.84000000003</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48.846699999999998</v>
      </c>
      <c r="F46" s="34"/>
      <c r="G46" s="107"/>
      <c r="H46" s="108" t="s">
        <v>104</v>
      </c>
      <c r="I46" s="95">
        <f>SUM(I44,I30)</f>
        <v>262155.65000000002</v>
      </c>
      <c r="N46" s="680" t="s">
        <v>44</v>
      </c>
      <c r="O46" s="680"/>
      <c r="P46" s="680"/>
      <c r="Q46" s="680"/>
      <c r="R46" s="35">
        <f>R44+T30</f>
        <v>49.44</v>
      </c>
      <c r="S46" s="656" t="s">
        <v>42</v>
      </c>
      <c r="T46" s="656"/>
      <c r="U46" s="109">
        <f>SUM(U44,U30)</f>
        <v>265339.84000000003</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262155.65000000002</v>
      </c>
      <c r="G51" s="110" t="s">
        <v>6</v>
      </c>
      <c r="H51" s="425">
        <v>4.5199999999999997E-2</v>
      </c>
      <c r="I51" s="102">
        <f>ROUND(F51*H51,2)</f>
        <v>11849.44</v>
      </c>
      <c r="N51" s="430"/>
      <c r="O51" s="431" t="s">
        <v>456</v>
      </c>
      <c r="P51" s="28"/>
      <c r="Q51" s="45" t="s">
        <v>457</v>
      </c>
      <c r="R51" s="432">
        <f>U30</f>
        <v>265339.84000000003</v>
      </c>
      <c r="S51" s="433" t="s">
        <v>6</v>
      </c>
      <c r="T51" s="434">
        <v>4.5199999999999997E-2</v>
      </c>
      <c r="U51" s="426">
        <f>ROUND(R51*T51,2)</f>
        <v>11993.36</v>
      </c>
    </row>
    <row r="52" spans="1:22" x14ac:dyDescent="0.25">
      <c r="A52" s="26"/>
      <c r="B52" s="82" t="s">
        <v>458</v>
      </c>
      <c r="C52" s="26"/>
      <c r="D52" s="26"/>
      <c r="E52" s="44" t="s">
        <v>457</v>
      </c>
      <c r="F52" s="424">
        <f>I46</f>
        <v>262155.65000000002</v>
      </c>
      <c r="G52" s="110" t="s">
        <v>6</v>
      </c>
      <c r="H52" s="425">
        <v>1.41E-2</v>
      </c>
      <c r="I52" s="102">
        <f>ROUND(F52*H52,2)</f>
        <v>3696.39</v>
      </c>
      <c r="N52" s="28"/>
      <c r="O52" s="406" t="s">
        <v>458</v>
      </c>
      <c r="P52" s="28"/>
      <c r="Q52" s="45" t="s">
        <v>457</v>
      </c>
      <c r="R52" s="432">
        <f>U30</f>
        <v>265339.84000000003</v>
      </c>
      <c r="S52" s="433" t="s">
        <v>6</v>
      </c>
      <c r="T52" s="434">
        <v>1.41E-2</v>
      </c>
      <c r="U52" s="435">
        <f>ROUND(R52*T52,2)</f>
        <v>3741.29</v>
      </c>
    </row>
    <row r="53" spans="1:22" x14ac:dyDescent="0.25">
      <c r="A53" s="26"/>
      <c r="B53" s="82" t="s">
        <v>459</v>
      </c>
      <c r="C53" s="26"/>
      <c r="D53" s="26"/>
      <c r="E53" s="44"/>
      <c r="F53" s="424"/>
      <c r="G53" s="110"/>
      <c r="H53" s="425"/>
      <c r="I53" s="98">
        <f>SUM(I51:I52)</f>
        <v>15545.83</v>
      </c>
      <c r="N53" s="28"/>
      <c r="O53" s="406" t="s">
        <v>459</v>
      </c>
      <c r="P53" s="28"/>
      <c r="Q53" s="45"/>
      <c r="R53" s="432"/>
      <c r="S53" s="433"/>
      <c r="T53" s="434"/>
      <c r="U53" s="426">
        <f>SUM(U51:U52)</f>
        <v>15734.650000000001</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49.44</v>
      </c>
      <c r="D56" s="593" t="s">
        <v>476</v>
      </c>
      <c r="E56" s="593"/>
      <c r="F56" s="593"/>
      <c r="G56" s="593"/>
      <c r="H56" s="317">
        <f>'0664'!H56</f>
        <v>203305.63</v>
      </c>
      <c r="I56" s="114"/>
      <c r="N56" s="658" t="s">
        <v>466</v>
      </c>
      <c r="O56" s="635"/>
      <c r="P56" s="41">
        <f>P30</f>
        <v>49.44</v>
      </c>
      <c r="Q56" s="663" t="s">
        <v>468</v>
      </c>
      <c r="R56" s="664"/>
      <c r="S56" s="664"/>
      <c r="T56" s="662">
        <f>H56</f>
        <v>203305.63</v>
      </c>
      <c r="U56" s="662"/>
    </row>
    <row r="57" spans="1:22" x14ac:dyDescent="0.25">
      <c r="B57" s="70"/>
      <c r="G57" s="42" t="s">
        <v>12</v>
      </c>
      <c r="H57" s="115">
        <f>ROUND(C56/H56,6)</f>
        <v>2.43E-4</v>
      </c>
      <c r="I57" s="116"/>
      <c r="N57" s="635"/>
      <c r="O57" s="635"/>
      <c r="P57" s="635"/>
      <c r="Q57" s="635"/>
      <c r="R57" s="635"/>
      <c r="S57" s="635"/>
      <c r="T57" s="665">
        <f>ROUND(P56/T56,6)</f>
        <v>2.43E-4</v>
      </c>
      <c r="U57" s="665"/>
    </row>
    <row r="58" spans="1:22" x14ac:dyDescent="0.25">
      <c r="A58" s="423" t="s">
        <v>461</v>
      </c>
      <c r="N58" s="406" t="s">
        <v>483</v>
      </c>
      <c r="O58" s="52"/>
      <c r="P58" s="52"/>
      <c r="Q58" s="52"/>
      <c r="R58" s="52"/>
      <c r="S58" s="52"/>
      <c r="T58" s="52"/>
      <c r="U58" s="52"/>
    </row>
    <row r="59" spans="1:22" x14ac:dyDescent="0.25">
      <c r="A59" s="585" t="s">
        <v>463</v>
      </c>
      <c r="B59" s="586"/>
      <c r="C59" s="437">
        <f>H30</f>
        <v>48.846699999999998</v>
      </c>
      <c r="D59" s="593" t="s">
        <v>477</v>
      </c>
      <c r="E59" s="593"/>
      <c r="F59" s="593"/>
      <c r="G59" s="593"/>
      <c r="H59" s="318">
        <f>'0664'!H59</f>
        <v>227540.36</v>
      </c>
      <c r="I59" s="117"/>
      <c r="N59" s="658" t="s">
        <v>467</v>
      </c>
      <c r="O59" s="635"/>
      <c r="P59" s="41">
        <f>T30</f>
        <v>49.44</v>
      </c>
      <c r="Q59" s="663" t="s">
        <v>469</v>
      </c>
      <c r="R59" s="664"/>
      <c r="S59" s="664"/>
      <c r="T59" s="662">
        <f>H59</f>
        <v>227540.36</v>
      </c>
      <c r="U59" s="662"/>
    </row>
    <row r="60" spans="1:22" x14ac:dyDescent="0.25">
      <c r="G60" s="42" t="s">
        <v>12</v>
      </c>
      <c r="H60" s="115">
        <f>ROUND(C59/H59,6)</f>
        <v>2.1499999999999999E-4</v>
      </c>
      <c r="I60" s="115"/>
      <c r="N60" s="635"/>
      <c r="O60" s="635"/>
      <c r="P60" s="635"/>
      <c r="Q60" s="635"/>
      <c r="R60" s="635"/>
      <c r="S60" s="635"/>
      <c r="T60" s="665">
        <f>ROUND(P59/T59,6)</f>
        <v>2.1699999999999999E-4</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49.44</v>
      </c>
      <c r="D62" s="590" t="s">
        <v>478</v>
      </c>
      <c r="E62" s="590"/>
      <c r="F62" s="590"/>
      <c r="G62" s="590"/>
      <c r="H62" s="317">
        <f>'0664'!H62</f>
        <v>186907.73</v>
      </c>
      <c r="I62" s="114"/>
      <c r="N62" s="658" t="s">
        <v>465</v>
      </c>
      <c r="O62" s="635"/>
      <c r="P62" s="41">
        <f>P30</f>
        <v>49.44</v>
      </c>
      <c r="Q62" s="668" t="s">
        <v>470</v>
      </c>
      <c r="R62" s="669"/>
      <c r="S62" s="669"/>
      <c r="T62" s="662">
        <f>H62</f>
        <v>186907.73</v>
      </c>
      <c r="U62" s="662"/>
    </row>
    <row r="63" spans="1:22" x14ac:dyDescent="0.25">
      <c r="B63" s="70"/>
      <c r="G63" s="42" t="s">
        <v>12</v>
      </c>
      <c r="H63" s="115">
        <f>ROUND(C62/H62,6)</f>
        <v>2.6499999999999999E-4</v>
      </c>
      <c r="I63" s="116"/>
      <c r="N63" s="635"/>
      <c r="O63" s="635"/>
      <c r="P63" s="635"/>
      <c r="Q63" s="635"/>
      <c r="R63" s="635"/>
      <c r="S63" s="635"/>
      <c r="T63" s="665">
        <f>ROUND(P62/T62,6)</f>
        <v>2.6499999999999999E-4</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49.44</v>
      </c>
      <c r="D65" s="606" t="s">
        <v>479</v>
      </c>
      <c r="E65" s="606"/>
      <c r="F65" s="606"/>
      <c r="G65" s="606"/>
      <c r="H65" s="317">
        <f>'0664'!H65</f>
        <v>203080.55</v>
      </c>
      <c r="I65" s="114"/>
      <c r="N65" s="658" t="s">
        <v>465</v>
      </c>
      <c r="O65" s="635"/>
      <c r="P65" s="41">
        <f>P30</f>
        <v>49.44</v>
      </c>
      <c r="Q65" s="666" t="s">
        <v>471</v>
      </c>
      <c r="R65" s="667"/>
      <c r="S65" s="667"/>
      <c r="T65" s="662">
        <f>H65</f>
        <v>203080.55</v>
      </c>
      <c r="U65" s="662"/>
    </row>
    <row r="66" spans="1:22" x14ac:dyDescent="0.25">
      <c r="B66" s="70"/>
      <c r="G66" s="42" t="s">
        <v>12</v>
      </c>
      <c r="H66" s="115">
        <f>ROUND(C65/H65,6)</f>
        <v>2.43E-4</v>
      </c>
      <c r="I66" s="116"/>
      <c r="N66" s="635"/>
      <c r="O66" s="635"/>
      <c r="P66" s="635"/>
      <c r="Q66" s="635"/>
      <c r="R66" s="635"/>
      <c r="S66" s="635"/>
      <c r="T66" s="665">
        <f>ROUND(P65/T65,6)</f>
        <v>2.43E-4</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49.44</v>
      </c>
      <c r="D68" s="590" t="s">
        <v>480</v>
      </c>
      <c r="E68" s="590"/>
      <c r="F68" s="590"/>
      <c r="G68" s="590"/>
      <c r="H68" s="317">
        <f>'0664'!H68</f>
        <v>186682.65</v>
      </c>
      <c r="I68" s="114"/>
      <c r="N68" s="658" t="s">
        <v>481</v>
      </c>
      <c r="O68" s="635"/>
      <c r="P68" s="41">
        <f>P30</f>
        <v>49.44</v>
      </c>
      <c r="Q68" s="668" t="s">
        <v>487</v>
      </c>
      <c r="R68" s="669"/>
      <c r="S68" s="669"/>
      <c r="T68" s="662">
        <f>H68</f>
        <v>186682.65</v>
      </c>
      <c r="U68" s="662"/>
    </row>
    <row r="69" spans="1:22" x14ac:dyDescent="0.25">
      <c r="B69" s="70"/>
      <c r="G69" s="42" t="s">
        <v>12</v>
      </c>
      <c r="H69" s="115">
        <f>ROUND(C68/H68,6)</f>
        <v>2.6499999999999999E-4</v>
      </c>
      <c r="I69" s="116"/>
      <c r="N69" s="635"/>
      <c r="O69" s="635"/>
      <c r="P69" s="635"/>
      <c r="Q69" s="635"/>
      <c r="R69" s="635"/>
      <c r="S69" s="635"/>
      <c r="T69" s="665">
        <f>ROUND(P68/T68,6)</f>
        <v>2.6499999999999999E-4</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2.43E-4</v>
      </c>
      <c r="I71" s="102">
        <f>ROUND(F71*H71,2)</f>
        <v>10853.73</v>
      </c>
      <c r="N71" s="52" t="s">
        <v>488</v>
      </c>
      <c r="O71" s="52"/>
      <c r="P71" s="52"/>
      <c r="Q71" s="45"/>
      <c r="R71" s="453">
        <f>F71</f>
        <v>44665536</v>
      </c>
      <c r="S71" s="38" t="s">
        <v>6</v>
      </c>
      <c r="T71" s="455">
        <f>T66</f>
        <v>2.43E-4</v>
      </c>
      <c r="U71" s="97">
        <f>ROUND(R71*T71,0)</f>
        <v>10854</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2.43E-4</v>
      </c>
      <c r="I74" s="102">
        <f>ROUND(F74*H74,2)</f>
        <v>0</v>
      </c>
      <c r="N74" s="670" t="s">
        <v>110</v>
      </c>
      <c r="O74" s="635"/>
      <c r="P74" s="635"/>
      <c r="Q74" s="45"/>
      <c r="R74" s="453">
        <f>F74</f>
        <v>0</v>
      </c>
      <c r="S74" s="38" t="s">
        <v>6</v>
      </c>
      <c r="T74" s="455">
        <f>T57</f>
        <v>2.43E-4</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2.6499999999999999E-4</v>
      </c>
      <c r="I76" s="102">
        <f>ROUND(F76*H76,2)</f>
        <v>4284.2700000000004</v>
      </c>
      <c r="N76" s="431" t="s">
        <v>491</v>
      </c>
      <c r="O76" s="52"/>
      <c r="P76" s="52"/>
      <c r="Q76" s="45"/>
      <c r="R76" s="453">
        <f>F76</f>
        <v>16167052</v>
      </c>
      <c r="S76" s="38" t="s">
        <v>6</v>
      </c>
      <c r="T76" s="455">
        <f>T69</f>
        <v>2.6499999999999999E-4</v>
      </c>
      <c r="U76" s="97">
        <f>ROUND(R76*T76,0)</f>
        <v>4284</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2.6499999999999999E-4</v>
      </c>
      <c r="I78" s="102">
        <f t="shared" ref="I78:I87" si="10">ROUND(F78*H78,2)</f>
        <v>2660.63</v>
      </c>
      <c r="N78" s="406" t="s">
        <v>493</v>
      </c>
      <c r="O78" s="52"/>
      <c r="P78" s="52"/>
      <c r="Q78" s="45"/>
      <c r="R78" s="453">
        <f t="shared" ref="R78:R87" si="11">F78</f>
        <v>10040099</v>
      </c>
      <c r="S78" s="38" t="s">
        <v>6</v>
      </c>
      <c r="T78" s="455">
        <f>T63</f>
        <v>2.6499999999999999E-4</v>
      </c>
      <c r="U78" s="97">
        <f t="shared" ref="U78:U87" si="12">ROUND(R78*T78,0)</f>
        <v>2661</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49.44</v>
      </c>
      <c r="G81" s="37"/>
      <c r="H81" s="121"/>
      <c r="I81" s="102"/>
      <c r="N81" s="406"/>
      <c r="O81" s="406" t="s">
        <v>496</v>
      </c>
      <c r="P81" s="52"/>
      <c r="Q81" s="46"/>
      <c r="R81" s="426">
        <f>IF($H$121=1,F81,0)</f>
        <v>49.44</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49.44</v>
      </c>
      <c r="G83" s="37" t="s">
        <v>6</v>
      </c>
      <c r="H83" s="448">
        <f>'0664'!H83</f>
        <v>1951.26</v>
      </c>
      <c r="I83" s="102">
        <f>ROUND(F83*H83,2)</f>
        <v>96470.29</v>
      </c>
      <c r="N83" s="406"/>
      <c r="O83" s="406" t="s">
        <v>497</v>
      </c>
      <c r="P83" s="52"/>
      <c r="Q83" s="46"/>
      <c r="R83" s="426">
        <f>R81-R82</f>
        <v>49.44</v>
      </c>
      <c r="S83" s="38" t="s">
        <v>6</v>
      </c>
      <c r="T83" s="456">
        <f>'0664'!T83</f>
        <v>1951.26</v>
      </c>
      <c r="U83" s="426">
        <f>ROUND(R83*T83,0)</f>
        <v>96470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2.1499999999999999E-4</v>
      </c>
      <c r="I85" s="102">
        <f t="shared" si="10"/>
        <v>50393.51</v>
      </c>
      <c r="N85" s="635" t="s">
        <v>500</v>
      </c>
      <c r="O85" s="635"/>
      <c r="P85" s="635"/>
      <c r="Q85" s="45"/>
      <c r="R85" s="453">
        <f t="shared" si="11"/>
        <v>234388431</v>
      </c>
      <c r="S85" s="38" t="s">
        <v>6</v>
      </c>
      <c r="T85" s="455">
        <f>T60</f>
        <v>2.1699999999999999E-4</v>
      </c>
      <c r="U85" s="97">
        <f t="shared" si="12"/>
        <v>50862</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2.1499999999999999E-4</v>
      </c>
      <c r="I87" s="102">
        <f t="shared" si="10"/>
        <v>0</v>
      </c>
      <c r="N87" s="658" t="s">
        <v>501</v>
      </c>
      <c r="O87" s="635"/>
      <c r="P87" s="635"/>
      <c r="Q87" s="45"/>
      <c r="R87" s="453">
        <f t="shared" si="11"/>
        <v>0</v>
      </c>
      <c r="S87" s="38" t="s">
        <v>6</v>
      </c>
      <c r="T87" s="455">
        <f>T60</f>
        <v>2.1699999999999999E-4</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0</v>
      </c>
      <c r="D92" s="597"/>
      <c r="E92" s="47">
        <f>H8</f>
        <v>1.0442</v>
      </c>
      <c r="F92" s="320">
        <f>'0664'!F92</f>
        <v>947.59</v>
      </c>
      <c r="G92" s="39" t="s">
        <v>12</v>
      </c>
      <c r="H92" s="102">
        <f>ROUND(C92*E92*F92,2)</f>
        <v>0</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0</v>
      </c>
      <c r="D93" s="597"/>
      <c r="E93" s="47">
        <f>H8</f>
        <v>1.0442</v>
      </c>
      <c r="F93" s="320">
        <f>'0664'!F93</f>
        <v>904.74</v>
      </c>
      <c r="G93" s="39" t="s">
        <v>12</v>
      </c>
      <c r="H93" s="102">
        <f>ROUND(C93*E93*F93,2)</f>
        <v>0</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48.846699999999998</v>
      </c>
      <c r="D94" s="597"/>
      <c r="E94" s="47">
        <f>H8</f>
        <v>1.0442</v>
      </c>
      <c r="F94" s="320">
        <f>'0664'!F94</f>
        <v>906.93</v>
      </c>
      <c r="G94" s="39" t="s">
        <v>12</v>
      </c>
      <c r="H94" s="95">
        <f>ROUND(C94*E94*F94,2)</f>
        <v>46258.62</v>
      </c>
      <c r="N94" s="54" t="s">
        <v>14</v>
      </c>
      <c r="O94" s="55">
        <f>T18+T19+T22+T25+T28+T29</f>
        <v>49.44</v>
      </c>
      <c r="P94" s="673">
        <f>T8</f>
        <v>1.0442</v>
      </c>
      <c r="Q94" s="673"/>
      <c r="R94" s="49">
        <f>F94</f>
        <v>906.93</v>
      </c>
      <c r="S94" s="40" t="s">
        <v>12</v>
      </c>
      <c r="T94" s="123">
        <f>ROUND(O94*P94*R94,0)</f>
        <v>46820</v>
      </c>
      <c r="U94" s="52"/>
    </row>
    <row r="95" spans="1:21" ht="16.5" thickBot="1" x14ac:dyDescent="0.3">
      <c r="A95" s="56"/>
      <c r="B95" s="129" t="s">
        <v>114</v>
      </c>
      <c r="C95" s="601">
        <f>SUM(C92:C94)</f>
        <v>48.846699999999998</v>
      </c>
      <c r="D95" s="601"/>
      <c r="E95" s="130"/>
      <c r="F95" s="130"/>
      <c r="G95" s="130"/>
      <c r="H95" s="131" t="s">
        <v>112</v>
      </c>
      <c r="I95" s="102">
        <f>IF(A1=75,0,H94+H93+H92)</f>
        <v>46258.62</v>
      </c>
      <c r="N95" s="57" t="s">
        <v>95</v>
      </c>
      <c r="O95" s="58">
        <f>SUM(O92:O94)</f>
        <v>49.44</v>
      </c>
      <c r="P95" s="674" t="s">
        <v>16</v>
      </c>
      <c r="Q95" s="675"/>
      <c r="R95" s="675"/>
      <c r="S95" s="675"/>
      <c r="T95" s="675"/>
      <c r="U95" s="97">
        <f>IF(N1=75,0,T94+T93+T92)</f>
        <v>46820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47</v>
      </c>
      <c r="D101" s="151">
        <v>50</v>
      </c>
      <c r="E101" s="117">
        <f>(C101+D101)/2</f>
        <v>48.5</v>
      </c>
      <c r="F101" s="134" t="s">
        <v>30</v>
      </c>
      <c r="G101" s="321">
        <f>'0664'!G101</f>
        <v>565</v>
      </c>
      <c r="I101" s="102">
        <f>ROUND(G101*E101,2)</f>
        <v>27402.5</v>
      </c>
      <c r="N101" s="684" t="s">
        <v>54</v>
      </c>
      <c r="O101" s="684"/>
      <c r="P101" s="672">
        <f>IF(H121=1,E101,0)</f>
        <v>48.5</v>
      </c>
      <c r="Q101" s="672"/>
      <c r="R101" s="672"/>
      <c r="S101" s="84" t="s">
        <v>30</v>
      </c>
      <c r="T101" s="59">
        <f>G101</f>
        <v>565</v>
      </c>
      <c r="U101" s="97">
        <f>ROUND(T101*P101,0)</f>
        <v>27403</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504693.84</v>
      </c>
    </row>
    <row r="116" spans="1:21" ht="16.5" thickTop="1" x14ac:dyDescent="0.25">
      <c r="A116" s="584" t="s">
        <v>8</v>
      </c>
      <c r="B116" s="584"/>
      <c r="C116" s="584"/>
      <c r="D116" s="584"/>
      <c r="E116" s="584"/>
      <c r="F116" s="584"/>
      <c r="G116" s="584"/>
      <c r="H116" s="584"/>
      <c r="I116" s="95">
        <f>SUM(I30,I44,I53,I71,I74,I76,I78,I83,I85,I87,I95,I101,I102,I112,I114)</f>
        <v>516025.03</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500479.2</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f>IF(E30=0,"",IF((E15+E17+SUM(E19:E25))/E30&gt;0.75,1,""))</f>
        <v>1</v>
      </c>
      <c r="I121" s="117">
        <f>U115</f>
        <v>504693.84</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504693.84</v>
      </c>
      <c r="I123" s="95">
        <f>ROUND(IF(E30=0,0,IF(E30&gt;250,-(((250/E30)*H123)*IF(G123="H",0.02,0.05)),IF(G123="H",-0.02*H123,-0.05*H123))),2)</f>
        <v>-25234.69</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490790.34</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490790.34</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40899.199999999997</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0</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T69:U69"/>
    <mergeCell ref="A85:C85"/>
    <mergeCell ref="A74:C74"/>
    <mergeCell ref="N85:P85"/>
    <mergeCell ref="A87:C87"/>
    <mergeCell ref="N87:P87"/>
    <mergeCell ref="C90:D90"/>
    <mergeCell ref="C91:D91"/>
    <mergeCell ref="N91:O91"/>
    <mergeCell ref="P91:Q91"/>
    <mergeCell ref="N74:P74"/>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CCCC"/>
  </sheetPr>
  <dimension ref="A1:V209"/>
  <sheetViews>
    <sheetView showGridLines="0" zoomScaleNormal="100" workbookViewId="0">
      <pane ySplit="1" topLeftCell="A123"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130</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191.79</v>
      </c>
      <c r="D14" s="149">
        <v>186</v>
      </c>
      <c r="E14" s="196">
        <f>IF(D$30=0,C14*2,C14+D14)</f>
        <v>377.78999999999996</v>
      </c>
      <c r="F14" s="625">
        <f>'0664'!F14:G14</f>
        <v>1.1220000000000001</v>
      </c>
      <c r="G14" s="625"/>
      <c r="H14" s="153">
        <f>ROUND(E14*F14,4)</f>
        <v>423.88040000000001</v>
      </c>
      <c r="I14" s="112">
        <f>ROUND(ROUND(ROUND(H14*$C$8,4)*($H$8),2)*(MAX($H$9,1)),2)</f>
        <v>2274926.29</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33.5</v>
      </c>
      <c r="D15" s="151">
        <v>42.27</v>
      </c>
      <c r="E15" s="117">
        <f t="shared" ref="E15:E29" si="1">IF(D$30=0,C15*2,C15+D15)</f>
        <v>75.77000000000001</v>
      </c>
      <c r="F15" s="622">
        <f>'0664'!F15:G15</f>
        <v>1.1220000000000001</v>
      </c>
      <c r="G15" s="622"/>
      <c r="H15" s="81">
        <f t="shared" ref="H15:H29" si="2">ROUND(E15*F15,4)</f>
        <v>85.013900000000007</v>
      </c>
      <c r="I15" s="102">
        <f t="shared" ref="I15:I29" si="3">ROUND(ROUND(ROUND(H15*$C$8,4)*($H$8),2)*(MAX($H$9,1)),2)</f>
        <v>456261.62</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224.82</v>
      </c>
      <c r="D16" s="151">
        <v>225.24</v>
      </c>
      <c r="E16" s="117">
        <f t="shared" si="1"/>
        <v>450.06</v>
      </c>
      <c r="F16" s="622">
        <f>'0664'!F16:G16</f>
        <v>1</v>
      </c>
      <c r="G16" s="622"/>
      <c r="H16" s="81">
        <f t="shared" si="2"/>
        <v>450.06</v>
      </c>
      <c r="I16" s="102">
        <f t="shared" si="3"/>
        <v>2415429.7400000002</v>
      </c>
      <c r="N16" s="635" t="s">
        <v>22</v>
      </c>
      <c r="O16" s="635"/>
      <c r="P16" s="636">
        <f t="shared" si="0"/>
        <v>0</v>
      </c>
      <c r="Q16" s="636"/>
      <c r="R16" s="637">
        <v>1</v>
      </c>
      <c r="S16" s="637"/>
      <c r="T16" s="96">
        <f t="shared" si="4"/>
        <v>0</v>
      </c>
      <c r="U16" s="97">
        <f t="shared" si="5"/>
        <v>0</v>
      </c>
    </row>
    <row r="17" spans="1:21" x14ac:dyDescent="0.25">
      <c r="A17" s="586" t="s">
        <v>23</v>
      </c>
      <c r="B17" s="586"/>
      <c r="C17" s="151">
        <v>57</v>
      </c>
      <c r="D17" s="151">
        <v>55.33</v>
      </c>
      <c r="E17" s="117">
        <f t="shared" si="1"/>
        <v>112.33</v>
      </c>
      <c r="F17" s="622">
        <f>'0664'!F17:G17</f>
        <v>1</v>
      </c>
      <c r="G17" s="622"/>
      <c r="H17" s="81">
        <f t="shared" si="2"/>
        <v>112.33</v>
      </c>
      <c r="I17" s="102">
        <f t="shared" si="3"/>
        <v>602864.56000000006</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13.71</v>
      </c>
      <c r="D26" s="151">
        <v>12.9</v>
      </c>
      <c r="E26" s="117">
        <f t="shared" si="1"/>
        <v>26.61</v>
      </c>
      <c r="F26" s="622">
        <f>'0664'!F26:G26</f>
        <v>1.208</v>
      </c>
      <c r="G26" s="622"/>
      <c r="H26" s="81">
        <f t="shared" si="2"/>
        <v>32.1449</v>
      </c>
      <c r="I26" s="102">
        <f t="shared" si="3"/>
        <v>172518.66</v>
      </c>
      <c r="N26" s="635" t="s">
        <v>91</v>
      </c>
      <c r="O26" s="635"/>
      <c r="P26" s="636">
        <f t="shared" si="0"/>
        <v>0</v>
      </c>
      <c r="Q26" s="636"/>
      <c r="R26" s="637">
        <v>1</v>
      </c>
      <c r="S26" s="637"/>
      <c r="T26" s="96">
        <f t="shared" si="4"/>
        <v>0</v>
      </c>
      <c r="U26" s="97">
        <f t="shared" si="5"/>
        <v>0</v>
      </c>
    </row>
    <row r="27" spans="1:21" x14ac:dyDescent="0.25">
      <c r="A27" s="586" t="s">
        <v>92</v>
      </c>
      <c r="B27" s="586"/>
      <c r="C27" s="151">
        <v>1.98</v>
      </c>
      <c r="D27" s="151">
        <v>1.98</v>
      </c>
      <c r="E27" s="117">
        <f t="shared" si="1"/>
        <v>3.96</v>
      </c>
      <c r="F27" s="622">
        <f>'0664'!F27:G27</f>
        <v>1.208</v>
      </c>
      <c r="G27" s="622"/>
      <c r="H27" s="81">
        <f t="shared" si="2"/>
        <v>4.7836999999999996</v>
      </c>
      <c r="I27" s="102">
        <f t="shared" si="3"/>
        <v>25673.67</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522.80000000000007</v>
      </c>
      <c r="D30" s="95">
        <f>SUM(D14:D29)</f>
        <v>523.72</v>
      </c>
      <c r="E30" s="95">
        <f>SUM(E14:E29)</f>
        <v>1046.52</v>
      </c>
      <c r="F30" s="609"/>
      <c r="G30" s="609"/>
      <c r="H30" s="100">
        <f>SUM(H14:H29)</f>
        <v>1108.2129</v>
      </c>
      <c r="I30" s="95">
        <f>SUM(I14:I29)</f>
        <v>5947674.540000001</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1108.2129</v>
      </c>
      <c r="F46" s="34"/>
      <c r="G46" s="107"/>
      <c r="H46" s="108" t="s">
        <v>104</v>
      </c>
      <c r="I46" s="95">
        <f>SUM(I44,I30)</f>
        <v>5947674.540000001</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5947674.540000001</v>
      </c>
      <c r="G51" s="110" t="s">
        <v>6</v>
      </c>
      <c r="H51" s="425">
        <v>4.5199999999999997E-2</v>
      </c>
      <c r="I51" s="102">
        <f>ROUND(F51*H51,2)</f>
        <v>268834.89</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5947674.540000001</v>
      </c>
      <c r="G52" s="110" t="s">
        <v>6</v>
      </c>
      <c r="H52" s="425">
        <v>1.41E-2</v>
      </c>
      <c r="I52" s="102">
        <f>ROUND(F52*H52,2)</f>
        <v>83862.210000000006</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352697.10000000003</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1046.52</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5.1479999999999998E-3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1108.2129</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4.8700000000000002E-3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1046.52</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5.5989999999999998E-3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1046.52</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5.1529999999999996E-3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1046.52</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5.6059999999999999E-3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5.1529999999999996E-3</v>
      </c>
      <c r="I71" s="102">
        <f>ROUND(F71*H71,2)</f>
        <v>230161.51</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5.1479999999999998E-3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5.6059999999999999E-3</v>
      </c>
      <c r="I76" s="102">
        <f>ROUND(F76*H76,2)</f>
        <v>90632.49</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5.5989999999999998E-3</v>
      </c>
      <c r="I78" s="102">
        <f t="shared" ref="I78:I87" si="10">ROUND(F78*H78,2)</f>
        <v>56214.51</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188.10000000000002</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188.10000000000002</v>
      </c>
      <c r="G83" s="37" t="s">
        <v>6</v>
      </c>
      <c r="H83" s="448">
        <f>'0664'!H83</f>
        <v>1951.26</v>
      </c>
      <c r="I83" s="102">
        <f>ROUND(F83*H83,2)</f>
        <v>367032.01</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4.8700000000000002E-3</v>
      </c>
      <c r="I85" s="102">
        <f t="shared" si="10"/>
        <v>1141471.6599999999</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4.8700000000000002E-3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541.03920000000005</v>
      </c>
      <c r="D92" s="597"/>
      <c r="E92" s="47">
        <f>H8</f>
        <v>1.0442</v>
      </c>
      <c r="F92" s="320">
        <f>'0664'!F92</f>
        <v>947.59</v>
      </c>
      <c r="G92" s="39" t="s">
        <v>12</v>
      </c>
      <c r="H92" s="102">
        <f>ROUND(C92*E92*F92,2)</f>
        <v>535343.93999999994</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567.17369999999994</v>
      </c>
      <c r="D93" s="597"/>
      <c r="E93" s="47">
        <f>H8</f>
        <v>1.0442</v>
      </c>
      <c r="F93" s="320">
        <f>'0664'!F93</f>
        <v>904.74</v>
      </c>
      <c r="G93" s="39" t="s">
        <v>12</v>
      </c>
      <c r="H93" s="102">
        <f>ROUND(C93*E93*F93,2)</f>
        <v>535825.73</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1108.2129</v>
      </c>
      <c r="D95" s="601"/>
      <c r="E95" s="130"/>
      <c r="F95" s="130"/>
      <c r="G95" s="130"/>
      <c r="H95" s="131" t="s">
        <v>112</v>
      </c>
      <c r="I95" s="102">
        <f>IF(A1=75,0,H94+H93+H92)</f>
        <v>1071169.67</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71</v>
      </c>
      <c r="D101" s="151">
        <v>78</v>
      </c>
      <c r="E101" s="117">
        <f>(C101+D101)/2</f>
        <v>74.5</v>
      </c>
      <c r="F101" s="134" t="s">
        <v>30</v>
      </c>
      <c r="G101" s="321">
        <f>'0664'!G101</f>
        <v>565</v>
      </c>
      <c r="I101" s="102">
        <f>ROUND(G101*E101,2)</f>
        <v>42092.5</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9299145.9900000002</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8946448.8900000006</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1" t="s">
        <v>258</v>
      </c>
      <c r="H123" s="147">
        <f>IF(H121=1,I121,I118)</f>
        <v>8946448.8900000006</v>
      </c>
      <c r="I123" s="95">
        <f>ROUND(IF(E30=0,0,IF(E30&gt;250,-(((250/E30)*H123)*IF(G123="H",0.02,0.05)),IF(G123="H",-0.02*H123,-0.05*H123))),2)</f>
        <v>-42743.8</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9256402.1899999995</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9256402.1899999995</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771366.85</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136185.18</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T69:U69"/>
    <mergeCell ref="A85:C85"/>
    <mergeCell ref="A74:C74"/>
    <mergeCell ref="N85:P85"/>
    <mergeCell ref="A87:C87"/>
    <mergeCell ref="N87:P87"/>
    <mergeCell ref="C90:D90"/>
    <mergeCell ref="C91:D91"/>
    <mergeCell ref="N91:O91"/>
    <mergeCell ref="P91:Q91"/>
    <mergeCell ref="N74:P74"/>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CCC"/>
  </sheetPr>
  <dimension ref="A1:V209"/>
  <sheetViews>
    <sheetView showGridLines="0" zoomScaleNormal="100" workbookViewId="0">
      <pane ySplit="1" topLeftCell="A102" activePane="bottomLeft" state="frozen"/>
      <selection activeCell="A58" sqref="A58"/>
      <selection pane="bottomLeft" activeCell="H31" sqref="H31"/>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131</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9" t="s">
        <v>333</v>
      </c>
      <c r="D10" s="89"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51.08</v>
      </c>
      <c r="D14" s="149">
        <v>49.85</v>
      </c>
      <c r="E14" s="196">
        <f>IF(D$30=0,C14*2,C14+D14)</f>
        <v>100.93</v>
      </c>
      <c r="F14" s="625">
        <f>'0664'!F14:G14</f>
        <v>1.1220000000000001</v>
      </c>
      <c r="G14" s="625"/>
      <c r="H14" s="153">
        <f>ROUND(E14*F14,4)</f>
        <v>113.2435</v>
      </c>
      <c r="I14" s="112">
        <f>ROUND(ROUND(ROUND(H14*$C$8,4)*($H$8),2)*(MAX($H$9,1)),2)</f>
        <v>607767.23</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7</v>
      </c>
      <c r="D15" s="151">
        <v>7.91</v>
      </c>
      <c r="E15" s="117">
        <f t="shared" ref="E15:E29" si="1">IF(D$30=0,C15*2,C15+D15)</f>
        <v>14.91</v>
      </c>
      <c r="F15" s="622">
        <f>'0664'!F15:G15</f>
        <v>1.1220000000000001</v>
      </c>
      <c r="G15" s="622"/>
      <c r="H15" s="81">
        <f t="shared" ref="H15:H29" si="2">ROUND(E15*F15,4)</f>
        <v>16.728999999999999</v>
      </c>
      <c r="I15" s="102">
        <f t="shared" ref="I15:I29" si="3">ROUND(ROUND(ROUND(H15*$C$8,4)*($H$8),2)*(MAX($H$9,1)),2)</f>
        <v>89782.97</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60</v>
      </c>
      <c r="D16" s="151">
        <v>60.58</v>
      </c>
      <c r="E16" s="117">
        <f t="shared" si="1"/>
        <v>120.58</v>
      </c>
      <c r="F16" s="622">
        <f>'0664'!F16:G16</f>
        <v>1</v>
      </c>
      <c r="G16" s="622"/>
      <c r="H16" s="81">
        <f t="shared" si="2"/>
        <v>120.58</v>
      </c>
      <c r="I16" s="102">
        <f t="shared" si="3"/>
        <v>647141.53</v>
      </c>
      <c r="N16" s="635" t="s">
        <v>22</v>
      </c>
      <c r="O16" s="635"/>
      <c r="P16" s="636">
        <f t="shared" si="0"/>
        <v>0</v>
      </c>
      <c r="Q16" s="636"/>
      <c r="R16" s="637">
        <v>1</v>
      </c>
      <c r="S16" s="637"/>
      <c r="T16" s="96">
        <f t="shared" si="4"/>
        <v>0</v>
      </c>
      <c r="U16" s="97">
        <f t="shared" si="5"/>
        <v>0</v>
      </c>
    </row>
    <row r="17" spans="1:21" x14ac:dyDescent="0.25">
      <c r="A17" s="586" t="s">
        <v>23</v>
      </c>
      <c r="B17" s="586"/>
      <c r="C17" s="151">
        <v>12</v>
      </c>
      <c r="D17" s="151">
        <v>11</v>
      </c>
      <c r="E17" s="117">
        <f t="shared" si="1"/>
        <v>23</v>
      </c>
      <c r="F17" s="622">
        <f>'0664'!F17:G17</f>
        <v>1</v>
      </c>
      <c r="G17" s="622"/>
      <c r="H17" s="81">
        <f t="shared" si="2"/>
        <v>23</v>
      </c>
      <c r="I17" s="102">
        <f t="shared" si="3"/>
        <v>123438.84</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0.92</v>
      </c>
      <c r="D26" s="151">
        <v>0.92</v>
      </c>
      <c r="E26" s="117">
        <f t="shared" si="1"/>
        <v>1.84</v>
      </c>
      <c r="F26" s="622">
        <f>'0664'!F26:G26</f>
        <v>1.208</v>
      </c>
      <c r="G26" s="622"/>
      <c r="H26" s="81">
        <f t="shared" si="2"/>
        <v>2.2227000000000001</v>
      </c>
      <c r="I26" s="102">
        <f t="shared" si="3"/>
        <v>11929.02</v>
      </c>
      <c r="N26" s="635" t="s">
        <v>91</v>
      </c>
      <c r="O26" s="635"/>
      <c r="P26" s="636">
        <f t="shared" si="0"/>
        <v>0</v>
      </c>
      <c r="Q26" s="636"/>
      <c r="R26" s="637">
        <v>1</v>
      </c>
      <c r="S26" s="637"/>
      <c r="T26" s="96">
        <f t="shared" si="4"/>
        <v>0</v>
      </c>
      <c r="U26" s="97">
        <f t="shared" si="5"/>
        <v>0</v>
      </c>
    </row>
    <row r="27" spans="1:21" x14ac:dyDescent="0.25">
      <c r="A27" s="586" t="s">
        <v>92</v>
      </c>
      <c r="B27" s="586"/>
      <c r="C27" s="151">
        <v>2.5</v>
      </c>
      <c r="D27" s="151">
        <v>0.42</v>
      </c>
      <c r="E27" s="117">
        <f t="shared" si="1"/>
        <v>2.92</v>
      </c>
      <c r="F27" s="622">
        <f>'0664'!F27:G27</f>
        <v>1.208</v>
      </c>
      <c r="G27" s="622"/>
      <c r="H27" s="81">
        <f t="shared" si="2"/>
        <v>3.5274000000000001</v>
      </c>
      <c r="I27" s="102">
        <f t="shared" si="3"/>
        <v>18931.22</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133.49999999999997</v>
      </c>
      <c r="D30" s="95">
        <f>SUM(D14:D29)</f>
        <v>130.67999999999998</v>
      </c>
      <c r="E30" s="95">
        <f>SUM(E14:E29)</f>
        <v>264.18</v>
      </c>
      <c r="F30" s="609"/>
      <c r="G30" s="609"/>
      <c r="H30" s="100">
        <f>SUM(H14:H29)</f>
        <v>279.30259999999998</v>
      </c>
      <c r="I30" s="95">
        <f>SUM(I14:I29)</f>
        <v>1498990.81</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279.30259999999998</v>
      </c>
      <c r="F46" s="34"/>
      <c r="G46" s="107"/>
      <c r="H46" s="108" t="s">
        <v>104</v>
      </c>
      <c r="I46" s="95">
        <f>SUM(I44,I30)</f>
        <v>1498990.81</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1498990.81</v>
      </c>
      <c r="G51" s="110" t="s">
        <v>6</v>
      </c>
      <c r="H51" s="425">
        <v>4.5199999999999997E-2</v>
      </c>
      <c r="I51" s="102">
        <f>ROUND(F51*H51,2)</f>
        <v>67754.38</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1498990.81</v>
      </c>
      <c r="G52" s="110" t="s">
        <v>6</v>
      </c>
      <c r="H52" s="425">
        <v>1.41E-2</v>
      </c>
      <c r="I52" s="102">
        <f>ROUND(F52*H52,2)</f>
        <v>21135.77</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88890.150000000009</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264.18</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1.299E-3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279.30259999999998</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1.227E-3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264.18</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1.413E-3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264.18</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1.3010000000000001E-3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264.18</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1.415E-3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1.3010000000000001E-3</v>
      </c>
      <c r="I71" s="102">
        <f>ROUND(F71*H71,2)</f>
        <v>58109.86</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1.299E-3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1.415E-3</v>
      </c>
      <c r="I76" s="102">
        <f>ROUND(F76*H76,2)</f>
        <v>22876.38</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1.413E-3</v>
      </c>
      <c r="I78" s="102">
        <f t="shared" ref="I78:I87" si="10">ROUND(F78*H78,2)</f>
        <v>14186.66</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37.909999999999997</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37.909999999999997</v>
      </c>
      <c r="G83" s="37" t="s">
        <v>6</v>
      </c>
      <c r="H83" s="448">
        <f>'0664'!H83</f>
        <v>1951.26</v>
      </c>
      <c r="I83" s="102">
        <f>ROUND(F83*H83,2)</f>
        <v>73972.27</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1.227E-3</v>
      </c>
      <c r="I85" s="102">
        <f t="shared" si="10"/>
        <v>287594.59999999998</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1.227E-3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132.1952</v>
      </c>
      <c r="D92" s="597"/>
      <c r="E92" s="47">
        <f>H8</f>
        <v>1.0442</v>
      </c>
      <c r="F92" s="320">
        <f>'0664'!F92</f>
        <v>947.59</v>
      </c>
      <c r="G92" s="39" t="s">
        <v>12</v>
      </c>
      <c r="H92" s="102">
        <f>ROUND(C92*E92*F92,2)</f>
        <v>130803.64</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147.10739999999998</v>
      </c>
      <c r="D93" s="597"/>
      <c r="E93" s="47">
        <f>H8</f>
        <v>1.0442</v>
      </c>
      <c r="F93" s="320">
        <f>'0664'!F93</f>
        <v>904.74</v>
      </c>
      <c r="G93" s="39" t="s">
        <v>12</v>
      </c>
      <c r="H93" s="102">
        <f>ROUND(C93*E93*F93,2)</f>
        <v>138976.70000000001</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279.30259999999998</v>
      </c>
      <c r="D95" s="601"/>
      <c r="E95" s="130"/>
      <c r="F95" s="130"/>
      <c r="G95" s="130"/>
      <c r="H95" s="131" t="s">
        <v>112</v>
      </c>
      <c r="I95" s="102">
        <f>IF(A1=75,0,H94+H93+H92)</f>
        <v>269780.34000000003</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182</v>
      </c>
      <c r="D101" s="151">
        <v>253</v>
      </c>
      <c r="E101" s="117">
        <f>(C101+D101)/2</f>
        <v>217.5</v>
      </c>
      <c r="F101" s="134" t="s">
        <v>30</v>
      </c>
      <c r="G101" s="321">
        <f>'0664'!G101</f>
        <v>565</v>
      </c>
      <c r="I101" s="102">
        <f>ROUND(G101*E101,2)</f>
        <v>122887.5</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2437288.5699999998</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2348398.42</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2348398.42</v>
      </c>
      <c r="I123" s="95">
        <f>ROUND(IF(E30=0,0,IF(E30&gt;250,-(((250/E30)*H123)*IF(G123="H",0.02,0.05)),IF(G123="H",-0.02*H123,-0.05*H123))),2)</f>
        <v>-111117.35</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2326171.2199999997</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2326171.2199999997</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193847.6</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6302.57</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C93:D93"/>
    <mergeCell ref="P93:Q93"/>
    <mergeCell ref="C94:D94"/>
    <mergeCell ref="P94:Q94"/>
    <mergeCell ref="C95:D95"/>
    <mergeCell ref="P95:T95"/>
    <mergeCell ref="A96:I96"/>
    <mergeCell ref="N96:U96"/>
    <mergeCell ref="F98:I98"/>
    <mergeCell ref="N98:P98"/>
    <mergeCell ref="Q98:T98"/>
    <mergeCell ref="R108:S108"/>
    <mergeCell ref="A101:B101"/>
    <mergeCell ref="N101:O101"/>
    <mergeCell ref="P101:R101"/>
    <mergeCell ref="A102:B102"/>
    <mergeCell ref="N102:O102"/>
    <mergeCell ref="P102:R102"/>
    <mergeCell ref="R110:S110"/>
    <mergeCell ref="A105:C105"/>
    <mergeCell ref="F105:I105"/>
    <mergeCell ref="N105:U105"/>
    <mergeCell ref="C106:E106"/>
    <mergeCell ref="F107:G107"/>
    <mergeCell ref="A108:B108"/>
    <mergeCell ref="F108:G108"/>
    <mergeCell ref="N108:O108"/>
    <mergeCell ref="P108:Q108"/>
    <mergeCell ref="A109:B109"/>
    <mergeCell ref="F109:G109"/>
    <mergeCell ref="N109:O109"/>
    <mergeCell ref="P109:Q109"/>
    <mergeCell ref="R109:S109"/>
    <mergeCell ref="A110:B110"/>
    <mergeCell ref="F110:G110"/>
    <mergeCell ref="N110:O110"/>
    <mergeCell ref="P110:Q110"/>
    <mergeCell ref="A111:B111"/>
    <mergeCell ref="F111:G111"/>
    <mergeCell ref="N111:O111"/>
    <mergeCell ref="P111:Q111"/>
    <mergeCell ref="R111:S111"/>
    <mergeCell ref="A112:B112"/>
    <mergeCell ref="N112:O112"/>
    <mergeCell ref="N140:U140"/>
    <mergeCell ref="N120:U120"/>
    <mergeCell ref="N114:P114"/>
    <mergeCell ref="A114:C114"/>
    <mergeCell ref="F114:H114"/>
    <mergeCell ref="N115:T115"/>
    <mergeCell ref="A116:H116"/>
    <mergeCell ref="A120:G120"/>
    <mergeCell ref="N121:U121"/>
    <mergeCell ref="A121:G121"/>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CCCC"/>
  </sheetPr>
  <dimension ref="A1:V209"/>
  <sheetViews>
    <sheetView showGridLines="0" zoomScaleNormal="100" workbookViewId="0">
      <pane ySplit="1" topLeftCell="A123"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132</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0</v>
      </c>
      <c r="D16" s="151">
        <v>0</v>
      </c>
      <c r="E16" s="117">
        <f t="shared" si="1"/>
        <v>0</v>
      </c>
      <c r="F16" s="622">
        <f>'0664'!F16:G16</f>
        <v>1</v>
      </c>
      <c r="G16" s="622"/>
      <c r="H16" s="81">
        <f t="shared" si="2"/>
        <v>0</v>
      </c>
      <c r="I16" s="102">
        <f t="shared" si="3"/>
        <v>0</v>
      </c>
      <c r="N16" s="635" t="s">
        <v>22</v>
      </c>
      <c r="O16" s="635"/>
      <c r="P16" s="636">
        <f t="shared" si="0"/>
        <v>0</v>
      </c>
      <c r="Q16" s="636"/>
      <c r="R16" s="637">
        <v>1</v>
      </c>
      <c r="S16" s="637"/>
      <c r="T16" s="96">
        <f t="shared" si="4"/>
        <v>0</v>
      </c>
      <c r="U16" s="97">
        <f t="shared" si="5"/>
        <v>0</v>
      </c>
    </row>
    <row r="17" spans="1:21" x14ac:dyDescent="0.25">
      <c r="A17" s="586" t="s">
        <v>23</v>
      </c>
      <c r="B17" s="586"/>
      <c r="C17" s="151">
        <v>1.5</v>
      </c>
      <c r="D17" s="151">
        <v>1</v>
      </c>
      <c r="E17" s="117">
        <f t="shared" si="1"/>
        <v>2.5</v>
      </c>
      <c r="F17" s="622">
        <f>'0664'!F17:G17</f>
        <v>1</v>
      </c>
      <c r="G17" s="622"/>
      <c r="H17" s="81">
        <f t="shared" si="2"/>
        <v>2.5</v>
      </c>
      <c r="I17" s="102">
        <f t="shared" si="3"/>
        <v>13417.27</v>
      </c>
      <c r="J17" s="66"/>
      <c r="N17" s="635" t="s">
        <v>23</v>
      </c>
      <c r="O17" s="635"/>
      <c r="P17" s="636">
        <f t="shared" si="0"/>
        <v>2.5</v>
      </c>
      <c r="Q17" s="636"/>
      <c r="R17" s="637">
        <v>1</v>
      </c>
      <c r="S17" s="637"/>
      <c r="T17" s="96">
        <f t="shared" si="4"/>
        <v>2.5</v>
      </c>
      <c r="U17" s="97">
        <f t="shared" si="5"/>
        <v>13417.27</v>
      </c>
    </row>
    <row r="18" spans="1:21" x14ac:dyDescent="0.25">
      <c r="A18" s="586" t="s">
        <v>24</v>
      </c>
      <c r="B18" s="586"/>
      <c r="C18" s="151">
        <v>0</v>
      </c>
      <c r="D18" s="151"/>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15</v>
      </c>
      <c r="D19" s="151">
        <v>14.96</v>
      </c>
      <c r="E19" s="117">
        <f t="shared" si="1"/>
        <v>29.96</v>
      </c>
      <c r="F19" s="622">
        <f>'0664'!F19:G19</f>
        <v>0.98799999999999999</v>
      </c>
      <c r="G19" s="622"/>
      <c r="H19" s="81">
        <f t="shared" si="2"/>
        <v>29.6005</v>
      </c>
      <c r="I19" s="102">
        <f t="shared" si="3"/>
        <v>158863.1</v>
      </c>
      <c r="J19" s="66"/>
      <c r="N19" s="635" t="s">
        <v>25</v>
      </c>
      <c r="O19" s="635"/>
      <c r="P19" s="636">
        <f t="shared" si="0"/>
        <v>29.96</v>
      </c>
      <c r="Q19" s="636"/>
      <c r="R19" s="637">
        <v>1</v>
      </c>
      <c r="S19" s="637"/>
      <c r="T19" s="96">
        <f t="shared" si="4"/>
        <v>29.96</v>
      </c>
      <c r="U19" s="99">
        <f t="shared" si="5"/>
        <v>160792.51</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0</v>
      </c>
      <c r="D27" s="151">
        <v>0</v>
      </c>
      <c r="E27" s="117">
        <f t="shared" si="1"/>
        <v>0</v>
      </c>
      <c r="F27" s="622">
        <f>'0664'!F27:G27</f>
        <v>1.208</v>
      </c>
      <c r="G27" s="622"/>
      <c r="H27" s="81">
        <f t="shared" si="2"/>
        <v>0</v>
      </c>
      <c r="I27" s="102">
        <f t="shared" si="3"/>
        <v>0</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16.5</v>
      </c>
      <c r="D30" s="95">
        <f>SUM(D14:D29)</f>
        <v>15.96</v>
      </c>
      <c r="E30" s="95">
        <f>SUM(E14:E29)</f>
        <v>32.46</v>
      </c>
      <c r="F30" s="609"/>
      <c r="G30" s="609"/>
      <c r="H30" s="100">
        <f>SUM(H14:H29)</f>
        <v>32.100499999999997</v>
      </c>
      <c r="I30" s="95">
        <f>SUM(I14:I29)</f>
        <v>172280.37</v>
      </c>
      <c r="N30" s="654" t="s">
        <v>5</v>
      </c>
      <c r="O30" s="654"/>
      <c r="P30" s="655">
        <f>SUM(P14:P29)</f>
        <v>32.46</v>
      </c>
      <c r="Q30" s="655"/>
      <c r="R30" s="656"/>
      <c r="S30" s="656"/>
      <c r="T30" s="101">
        <f>SUM(T14:T29)</f>
        <v>32.46</v>
      </c>
      <c r="U30" s="97">
        <f>SUM(U14:U29)</f>
        <v>174209.78</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32.100499999999997</v>
      </c>
      <c r="F46" s="34"/>
      <c r="G46" s="107"/>
      <c r="H46" s="108" t="s">
        <v>104</v>
      </c>
      <c r="I46" s="95">
        <f>SUM(I44,I30)</f>
        <v>172280.37</v>
      </c>
      <c r="N46" s="680" t="s">
        <v>44</v>
      </c>
      <c r="O46" s="680"/>
      <c r="P46" s="680"/>
      <c r="Q46" s="680"/>
      <c r="R46" s="35">
        <f>R44+T30</f>
        <v>32.46</v>
      </c>
      <c r="S46" s="656" t="s">
        <v>42</v>
      </c>
      <c r="T46" s="656"/>
      <c r="U46" s="109">
        <f>SUM(U44,U30)</f>
        <v>174209.78</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172280.37</v>
      </c>
      <c r="G51" s="110" t="s">
        <v>6</v>
      </c>
      <c r="H51" s="425">
        <v>4.5199999999999997E-2</v>
      </c>
      <c r="I51" s="102">
        <f>ROUND(F51*H51,2)</f>
        <v>7787.07</v>
      </c>
      <c r="N51" s="430"/>
      <c r="O51" s="431" t="s">
        <v>456</v>
      </c>
      <c r="P51" s="28"/>
      <c r="Q51" s="45" t="s">
        <v>457</v>
      </c>
      <c r="R51" s="432">
        <f>U30</f>
        <v>174209.78</v>
      </c>
      <c r="S51" s="433" t="s">
        <v>6</v>
      </c>
      <c r="T51" s="434">
        <v>4.5199999999999997E-2</v>
      </c>
      <c r="U51" s="426">
        <f>ROUND(R51*T51,2)</f>
        <v>7874.28</v>
      </c>
    </row>
    <row r="52" spans="1:22" x14ac:dyDescent="0.25">
      <c r="A52" s="26"/>
      <c r="B52" s="82" t="s">
        <v>458</v>
      </c>
      <c r="C52" s="26"/>
      <c r="D52" s="26"/>
      <c r="E52" s="44" t="s">
        <v>457</v>
      </c>
      <c r="F52" s="424">
        <f>I46</f>
        <v>172280.37</v>
      </c>
      <c r="G52" s="110" t="s">
        <v>6</v>
      </c>
      <c r="H52" s="425">
        <v>1.41E-2</v>
      </c>
      <c r="I52" s="102">
        <f>ROUND(F52*H52,2)</f>
        <v>2429.15</v>
      </c>
      <c r="N52" s="28"/>
      <c r="O52" s="406" t="s">
        <v>458</v>
      </c>
      <c r="P52" s="28"/>
      <c r="Q52" s="45" t="s">
        <v>457</v>
      </c>
      <c r="R52" s="432">
        <f>U30</f>
        <v>174209.78</v>
      </c>
      <c r="S52" s="433" t="s">
        <v>6</v>
      </c>
      <c r="T52" s="434">
        <v>1.41E-2</v>
      </c>
      <c r="U52" s="435">
        <f>ROUND(R52*T52,2)</f>
        <v>2456.36</v>
      </c>
    </row>
    <row r="53" spans="1:22" x14ac:dyDescent="0.25">
      <c r="A53" s="26"/>
      <c r="B53" s="82" t="s">
        <v>459</v>
      </c>
      <c r="C53" s="26"/>
      <c r="D53" s="26"/>
      <c r="E53" s="44"/>
      <c r="F53" s="424"/>
      <c r="G53" s="110"/>
      <c r="H53" s="425"/>
      <c r="I53" s="98">
        <f>SUM(I51:I52)</f>
        <v>10216.219999999999</v>
      </c>
      <c r="N53" s="28"/>
      <c r="O53" s="406" t="s">
        <v>459</v>
      </c>
      <c r="P53" s="28"/>
      <c r="Q53" s="45"/>
      <c r="R53" s="432"/>
      <c r="S53" s="433"/>
      <c r="T53" s="434"/>
      <c r="U53" s="426">
        <f>SUM(U51:U52)</f>
        <v>10330.64</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32.46</v>
      </c>
      <c r="D56" s="593" t="s">
        <v>476</v>
      </c>
      <c r="E56" s="593"/>
      <c r="F56" s="593"/>
      <c r="G56" s="593"/>
      <c r="H56" s="317">
        <f>'0664'!H56</f>
        <v>203305.63</v>
      </c>
      <c r="I56" s="114"/>
      <c r="N56" s="658" t="s">
        <v>466</v>
      </c>
      <c r="O56" s="635"/>
      <c r="P56" s="41">
        <f>P30</f>
        <v>32.46</v>
      </c>
      <c r="Q56" s="663" t="s">
        <v>468</v>
      </c>
      <c r="R56" s="664"/>
      <c r="S56" s="664"/>
      <c r="T56" s="662">
        <f>H56</f>
        <v>203305.63</v>
      </c>
      <c r="U56" s="662"/>
    </row>
    <row r="57" spans="1:22" x14ac:dyDescent="0.25">
      <c r="B57" s="70"/>
      <c r="G57" s="42" t="s">
        <v>12</v>
      </c>
      <c r="H57" s="115">
        <f>ROUND(C56/H56,6)</f>
        <v>1.6000000000000001E-4</v>
      </c>
      <c r="I57" s="116"/>
      <c r="N57" s="635"/>
      <c r="O57" s="635"/>
      <c r="P57" s="635"/>
      <c r="Q57" s="635"/>
      <c r="R57" s="635"/>
      <c r="S57" s="635"/>
      <c r="T57" s="665">
        <f>ROUND(P56/T56,6)</f>
        <v>1.6000000000000001E-4</v>
      </c>
      <c r="U57" s="665"/>
    </row>
    <row r="58" spans="1:22" x14ac:dyDescent="0.25">
      <c r="A58" s="423" t="s">
        <v>461</v>
      </c>
      <c r="N58" s="406" t="s">
        <v>483</v>
      </c>
      <c r="O58" s="52"/>
      <c r="P58" s="52"/>
      <c r="Q58" s="52"/>
      <c r="R58" s="52"/>
      <c r="S58" s="52"/>
      <c r="T58" s="52"/>
      <c r="U58" s="52"/>
    </row>
    <row r="59" spans="1:22" x14ac:dyDescent="0.25">
      <c r="A59" s="585" t="s">
        <v>463</v>
      </c>
      <c r="B59" s="586"/>
      <c r="C59" s="437">
        <f>H30</f>
        <v>32.100499999999997</v>
      </c>
      <c r="D59" s="593" t="s">
        <v>477</v>
      </c>
      <c r="E59" s="593"/>
      <c r="F59" s="593"/>
      <c r="G59" s="593"/>
      <c r="H59" s="318">
        <f>'0664'!H59</f>
        <v>227540.36</v>
      </c>
      <c r="I59" s="117"/>
      <c r="N59" s="658" t="s">
        <v>467</v>
      </c>
      <c r="O59" s="635"/>
      <c r="P59" s="41">
        <f>T30</f>
        <v>32.46</v>
      </c>
      <c r="Q59" s="663" t="s">
        <v>469</v>
      </c>
      <c r="R59" s="664"/>
      <c r="S59" s="664"/>
      <c r="T59" s="662">
        <f>H59</f>
        <v>227540.36</v>
      </c>
      <c r="U59" s="662"/>
    </row>
    <row r="60" spans="1:22" x14ac:dyDescent="0.25">
      <c r="G60" s="42" t="s">
        <v>12</v>
      </c>
      <c r="H60" s="115">
        <f>ROUND(C59/H59,6)</f>
        <v>1.4100000000000001E-4</v>
      </c>
      <c r="I60" s="115"/>
      <c r="N60" s="635"/>
      <c r="O60" s="635"/>
      <c r="P60" s="635"/>
      <c r="Q60" s="635"/>
      <c r="R60" s="635"/>
      <c r="S60" s="635"/>
      <c r="T60" s="665">
        <f>ROUND(P59/T59,6)</f>
        <v>1.4300000000000001E-4</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32.46</v>
      </c>
      <c r="D62" s="590" t="s">
        <v>478</v>
      </c>
      <c r="E62" s="590"/>
      <c r="F62" s="590"/>
      <c r="G62" s="590"/>
      <c r="H62" s="317">
        <f>'0664'!H62</f>
        <v>186907.73</v>
      </c>
      <c r="I62" s="114"/>
      <c r="N62" s="658" t="s">
        <v>465</v>
      </c>
      <c r="O62" s="635"/>
      <c r="P62" s="41">
        <f>P30</f>
        <v>32.46</v>
      </c>
      <c r="Q62" s="668" t="s">
        <v>470</v>
      </c>
      <c r="R62" s="669"/>
      <c r="S62" s="669"/>
      <c r="T62" s="662">
        <f>H62</f>
        <v>186907.73</v>
      </c>
      <c r="U62" s="662"/>
    </row>
    <row r="63" spans="1:22" x14ac:dyDescent="0.25">
      <c r="B63" s="70"/>
      <c r="G63" s="42" t="s">
        <v>12</v>
      </c>
      <c r="H63" s="115">
        <f>ROUND(C62/H62,6)</f>
        <v>1.74E-4</v>
      </c>
      <c r="I63" s="116"/>
      <c r="N63" s="635"/>
      <c r="O63" s="635"/>
      <c r="P63" s="635"/>
      <c r="Q63" s="635"/>
      <c r="R63" s="635"/>
      <c r="S63" s="635"/>
      <c r="T63" s="665">
        <f>ROUND(P62/T62,6)</f>
        <v>1.74E-4</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32.46</v>
      </c>
      <c r="D65" s="606" t="s">
        <v>479</v>
      </c>
      <c r="E65" s="606"/>
      <c r="F65" s="606"/>
      <c r="G65" s="606"/>
      <c r="H65" s="317">
        <f>'0664'!H65</f>
        <v>203080.55</v>
      </c>
      <c r="I65" s="114"/>
      <c r="N65" s="658" t="s">
        <v>465</v>
      </c>
      <c r="O65" s="635"/>
      <c r="P65" s="41">
        <f>P30</f>
        <v>32.46</v>
      </c>
      <c r="Q65" s="666" t="s">
        <v>471</v>
      </c>
      <c r="R65" s="667"/>
      <c r="S65" s="667"/>
      <c r="T65" s="662">
        <f>H65</f>
        <v>203080.55</v>
      </c>
      <c r="U65" s="662"/>
    </row>
    <row r="66" spans="1:22" x14ac:dyDescent="0.25">
      <c r="B66" s="70"/>
      <c r="G66" s="42" t="s">
        <v>12</v>
      </c>
      <c r="H66" s="115">
        <f>ROUND(C65/H65,6)</f>
        <v>1.6000000000000001E-4</v>
      </c>
      <c r="I66" s="116"/>
      <c r="N66" s="635"/>
      <c r="O66" s="635"/>
      <c r="P66" s="635"/>
      <c r="Q66" s="635"/>
      <c r="R66" s="635"/>
      <c r="S66" s="635"/>
      <c r="T66" s="665">
        <f>ROUND(P65/T65,6)</f>
        <v>1.6000000000000001E-4</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32.46</v>
      </c>
      <c r="D68" s="590" t="s">
        <v>480</v>
      </c>
      <c r="E68" s="590"/>
      <c r="F68" s="590"/>
      <c r="G68" s="590"/>
      <c r="H68" s="317">
        <f>'0664'!H68</f>
        <v>186682.65</v>
      </c>
      <c r="I68" s="114"/>
      <c r="N68" s="658" t="s">
        <v>481</v>
      </c>
      <c r="O68" s="635"/>
      <c r="P68" s="41">
        <f>P30</f>
        <v>32.46</v>
      </c>
      <c r="Q68" s="668" t="s">
        <v>487</v>
      </c>
      <c r="R68" s="669"/>
      <c r="S68" s="669"/>
      <c r="T68" s="662">
        <f>H68</f>
        <v>186682.65</v>
      </c>
      <c r="U68" s="662"/>
    </row>
    <row r="69" spans="1:22" x14ac:dyDescent="0.25">
      <c r="B69" s="70"/>
      <c r="G69" s="42" t="s">
        <v>12</v>
      </c>
      <c r="H69" s="115">
        <f>ROUND(C68/H68,6)</f>
        <v>1.74E-4</v>
      </c>
      <c r="I69" s="116"/>
      <c r="N69" s="635"/>
      <c r="O69" s="635"/>
      <c r="P69" s="635"/>
      <c r="Q69" s="635"/>
      <c r="R69" s="635"/>
      <c r="S69" s="635"/>
      <c r="T69" s="665">
        <f>ROUND(P68/T68,6)</f>
        <v>1.74E-4</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1.6000000000000001E-4</v>
      </c>
      <c r="I71" s="102">
        <f>ROUND(F71*H71,2)</f>
        <v>7146.49</v>
      </c>
      <c r="N71" s="52" t="s">
        <v>488</v>
      </c>
      <c r="O71" s="52"/>
      <c r="P71" s="52"/>
      <c r="Q71" s="45"/>
      <c r="R71" s="453">
        <f>F71</f>
        <v>44665536</v>
      </c>
      <c r="S71" s="38" t="s">
        <v>6</v>
      </c>
      <c r="T71" s="455">
        <f>T66</f>
        <v>1.6000000000000001E-4</v>
      </c>
      <c r="U71" s="97">
        <f>ROUND(R71*T71,0)</f>
        <v>7146</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1.6000000000000001E-4</v>
      </c>
      <c r="I74" s="102">
        <f>ROUND(F74*H74,2)</f>
        <v>0</v>
      </c>
      <c r="N74" s="670" t="s">
        <v>110</v>
      </c>
      <c r="O74" s="635"/>
      <c r="P74" s="635"/>
      <c r="Q74" s="45"/>
      <c r="R74" s="453">
        <f>F74</f>
        <v>0</v>
      </c>
      <c r="S74" s="38" t="s">
        <v>6</v>
      </c>
      <c r="T74" s="455">
        <f>T57</f>
        <v>1.6000000000000001E-4</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1.74E-4</v>
      </c>
      <c r="I76" s="102">
        <f>ROUND(F76*H76,2)</f>
        <v>2813.07</v>
      </c>
      <c r="N76" s="431" t="s">
        <v>491</v>
      </c>
      <c r="O76" s="52"/>
      <c r="P76" s="52"/>
      <c r="Q76" s="45"/>
      <c r="R76" s="453">
        <f>F76</f>
        <v>16167052</v>
      </c>
      <c r="S76" s="38" t="s">
        <v>6</v>
      </c>
      <c r="T76" s="455">
        <f>T69</f>
        <v>1.74E-4</v>
      </c>
      <c r="U76" s="97">
        <f>ROUND(R76*T76,0)</f>
        <v>2813</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1.74E-4</v>
      </c>
      <c r="I78" s="102">
        <f t="shared" ref="I78:I87" si="10">ROUND(F78*H78,2)</f>
        <v>1746.98</v>
      </c>
      <c r="N78" s="406" t="s">
        <v>493</v>
      </c>
      <c r="O78" s="52"/>
      <c r="P78" s="52"/>
      <c r="Q78" s="45"/>
      <c r="R78" s="453">
        <f t="shared" ref="R78:R87" si="11">F78</f>
        <v>10040099</v>
      </c>
      <c r="S78" s="38" t="s">
        <v>6</v>
      </c>
      <c r="T78" s="455">
        <f>T63</f>
        <v>1.74E-4</v>
      </c>
      <c r="U78" s="97">
        <f t="shared" ref="U78:U87" si="12">ROUND(R78*T78,0)</f>
        <v>1747</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32.46</v>
      </c>
      <c r="G81" s="37"/>
      <c r="H81" s="121"/>
      <c r="I81" s="102"/>
      <c r="N81" s="406"/>
      <c r="O81" s="406" t="s">
        <v>496</v>
      </c>
      <c r="P81" s="52"/>
      <c r="Q81" s="46"/>
      <c r="R81" s="426">
        <f>IF($H$121=1,F81,0)</f>
        <v>32.46</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32.46</v>
      </c>
      <c r="G83" s="37" t="s">
        <v>6</v>
      </c>
      <c r="H83" s="448">
        <f>'0664'!H83</f>
        <v>1951.26</v>
      </c>
      <c r="I83" s="102">
        <f>ROUND(F83*H83,2)</f>
        <v>63337.9</v>
      </c>
      <c r="N83" s="406"/>
      <c r="O83" s="406" t="s">
        <v>497</v>
      </c>
      <c r="P83" s="52"/>
      <c r="Q83" s="46"/>
      <c r="R83" s="426">
        <f>R81-R82</f>
        <v>32.46</v>
      </c>
      <c r="S83" s="38" t="s">
        <v>6</v>
      </c>
      <c r="T83" s="456">
        <f>'0664'!T83</f>
        <v>1951.26</v>
      </c>
      <c r="U83" s="426">
        <f>ROUND(R83*T83,0)</f>
        <v>63338</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1.4100000000000001E-4</v>
      </c>
      <c r="I85" s="102">
        <f t="shared" si="10"/>
        <v>33048.769999999997</v>
      </c>
      <c r="N85" s="635" t="s">
        <v>500</v>
      </c>
      <c r="O85" s="635"/>
      <c r="P85" s="635"/>
      <c r="Q85" s="45"/>
      <c r="R85" s="453">
        <f t="shared" si="11"/>
        <v>234388431</v>
      </c>
      <c r="S85" s="38" t="s">
        <v>6</v>
      </c>
      <c r="T85" s="455">
        <f>T60</f>
        <v>1.4300000000000001E-4</v>
      </c>
      <c r="U85" s="97">
        <f t="shared" si="12"/>
        <v>33518</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1.4100000000000001E-4</v>
      </c>
      <c r="I87" s="102">
        <f t="shared" si="10"/>
        <v>0</v>
      </c>
      <c r="N87" s="658" t="s">
        <v>501</v>
      </c>
      <c r="O87" s="635"/>
      <c r="P87" s="635"/>
      <c r="Q87" s="45"/>
      <c r="R87" s="453">
        <f t="shared" si="11"/>
        <v>0</v>
      </c>
      <c r="S87" s="38" t="s">
        <v>6</v>
      </c>
      <c r="T87" s="455">
        <f>T60</f>
        <v>1.4300000000000001E-4</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0</v>
      </c>
      <c r="D92" s="597"/>
      <c r="E92" s="47">
        <f>H8</f>
        <v>1.0442</v>
      </c>
      <c r="F92" s="320">
        <f>'0664'!F92</f>
        <v>947.59</v>
      </c>
      <c r="G92" s="39" t="s">
        <v>12</v>
      </c>
      <c r="H92" s="102">
        <f>ROUND(C92*E92*F92,2)</f>
        <v>0</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2.5</v>
      </c>
      <c r="D93" s="597"/>
      <c r="E93" s="47">
        <f>H8</f>
        <v>1.0442</v>
      </c>
      <c r="F93" s="320">
        <f>'0664'!F93</f>
        <v>904.74</v>
      </c>
      <c r="G93" s="39" t="s">
        <v>12</v>
      </c>
      <c r="H93" s="102">
        <f>ROUND(C93*E93*F93,2)</f>
        <v>2361.8200000000002</v>
      </c>
      <c r="N93" s="51" t="s">
        <v>13</v>
      </c>
      <c r="O93" s="48">
        <f>T16+T17+T21+T24+T27</f>
        <v>2.5</v>
      </c>
      <c r="P93" s="673">
        <f>T8</f>
        <v>1.0442</v>
      </c>
      <c r="Q93" s="673"/>
      <c r="R93" s="49">
        <f>F93</f>
        <v>904.74</v>
      </c>
      <c r="S93" s="40" t="s">
        <v>12</v>
      </c>
      <c r="T93" s="123">
        <f>ROUND(O93*P93*R93,0)</f>
        <v>2362</v>
      </c>
      <c r="U93" s="52"/>
    </row>
    <row r="94" spans="1:21" ht="16.5" thickBot="1" x14ac:dyDescent="0.3">
      <c r="A94" s="53"/>
      <c r="B94" s="53" t="s">
        <v>115</v>
      </c>
      <c r="C94" s="597">
        <f>H18+H19+H22+H25+H28+H29</f>
        <v>29.6005</v>
      </c>
      <c r="D94" s="597"/>
      <c r="E94" s="47">
        <f>H8</f>
        <v>1.0442</v>
      </c>
      <c r="F94" s="320">
        <f>'0664'!F94</f>
        <v>906.93</v>
      </c>
      <c r="G94" s="39" t="s">
        <v>12</v>
      </c>
      <c r="H94" s="95">
        <f>ROUND(C94*E94*F94,2)</f>
        <v>28032.16</v>
      </c>
      <c r="N94" s="54" t="s">
        <v>14</v>
      </c>
      <c r="O94" s="55">
        <f>T18+T19+T22+T25+T28+T29</f>
        <v>29.96</v>
      </c>
      <c r="P94" s="673">
        <f>T8</f>
        <v>1.0442</v>
      </c>
      <c r="Q94" s="673"/>
      <c r="R94" s="49">
        <f>F94</f>
        <v>906.93</v>
      </c>
      <c r="S94" s="40" t="s">
        <v>12</v>
      </c>
      <c r="T94" s="123">
        <f>ROUND(O94*P94*R94,0)</f>
        <v>28373</v>
      </c>
      <c r="U94" s="52"/>
    </row>
    <row r="95" spans="1:21" ht="16.5" thickBot="1" x14ac:dyDescent="0.3">
      <c r="A95" s="56"/>
      <c r="B95" s="129" t="s">
        <v>114</v>
      </c>
      <c r="C95" s="601">
        <f>SUM(C92:C94)</f>
        <v>32.100499999999997</v>
      </c>
      <c r="D95" s="601"/>
      <c r="E95" s="130"/>
      <c r="F95" s="130"/>
      <c r="G95" s="130"/>
      <c r="H95" s="131" t="s">
        <v>112</v>
      </c>
      <c r="I95" s="102">
        <f>IF(A1=75,0,H94+H93+H92)</f>
        <v>30393.98</v>
      </c>
      <c r="N95" s="57" t="s">
        <v>95</v>
      </c>
      <c r="O95" s="58">
        <f>SUM(O92:O94)</f>
        <v>32.46</v>
      </c>
      <c r="P95" s="674" t="s">
        <v>16</v>
      </c>
      <c r="Q95" s="675"/>
      <c r="R95" s="675"/>
      <c r="S95" s="675"/>
      <c r="T95" s="675"/>
      <c r="U95" s="97">
        <f>IF(N1=75,0,T94+T93+T92)</f>
        <v>30735</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31</v>
      </c>
      <c r="D101" s="151">
        <v>28</v>
      </c>
      <c r="E101" s="117">
        <f>(C101+D101)/2</f>
        <v>29.5</v>
      </c>
      <c r="F101" s="134" t="s">
        <v>30</v>
      </c>
      <c r="G101" s="321">
        <f>'0664'!G101</f>
        <v>565</v>
      </c>
      <c r="I101" s="102">
        <f>ROUND(G101*E101,2)</f>
        <v>16667.5</v>
      </c>
      <c r="N101" s="684" t="s">
        <v>54</v>
      </c>
      <c r="O101" s="684"/>
      <c r="P101" s="672">
        <f>IF(H121=1,E101,0)</f>
        <v>29.5</v>
      </c>
      <c r="Q101" s="672"/>
      <c r="R101" s="672"/>
      <c r="S101" s="84" t="s">
        <v>30</v>
      </c>
      <c r="T101" s="59">
        <f>G101</f>
        <v>565</v>
      </c>
      <c r="U101" s="97">
        <f>ROUND(T101*P101,0)</f>
        <v>16668</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330174.78000000003</v>
      </c>
    </row>
    <row r="116" spans="1:21" ht="16.5" thickTop="1" x14ac:dyDescent="0.25">
      <c r="A116" s="584" t="s">
        <v>8</v>
      </c>
      <c r="B116" s="584"/>
      <c r="C116" s="584"/>
      <c r="D116" s="584"/>
      <c r="E116" s="584"/>
      <c r="F116" s="584"/>
      <c r="G116" s="584"/>
      <c r="H116" s="584"/>
      <c r="I116" s="95">
        <f>SUM(I30,I44,I53,I71,I74,I76,I78,I83,I85,I87,I95,I101,I102,I112,I114)</f>
        <v>337651.27999999997</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327435.06</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v>1</v>
      </c>
      <c r="I121" s="117">
        <f>U115</f>
        <v>330174.78000000003</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330174.78000000003</v>
      </c>
      <c r="I123" s="95">
        <f>ROUND(IF(E30=0,0,IF(E30&gt;250,-(((250/E30)*H123)*IF(G123="H",0.02,0.05)),IF(G123="H",-0.02*H123,-0.05*H123))),2)</f>
        <v>-16508.740000000002</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321142.53999999998</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321142.53999999998</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26761.88</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0</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T69:U69"/>
    <mergeCell ref="A85:C85"/>
    <mergeCell ref="A74:C74"/>
    <mergeCell ref="N85:P85"/>
    <mergeCell ref="A87:C87"/>
    <mergeCell ref="N87:P87"/>
    <mergeCell ref="C90:D90"/>
    <mergeCell ref="C91:D91"/>
    <mergeCell ref="N91:O91"/>
    <mergeCell ref="P91:Q91"/>
    <mergeCell ref="N74:P74"/>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F110:G110"/>
    <mergeCell ref="N110:O110"/>
    <mergeCell ref="P110:Q110"/>
    <mergeCell ref="R110:S110"/>
    <mergeCell ref="A105:C105"/>
    <mergeCell ref="F105:I105"/>
    <mergeCell ref="N105:U105"/>
    <mergeCell ref="C106:E106"/>
    <mergeCell ref="F107:G107"/>
    <mergeCell ref="A108:B108"/>
    <mergeCell ref="F108:G108"/>
    <mergeCell ref="N108:O108"/>
    <mergeCell ref="P108:Q108"/>
    <mergeCell ref="R108:S108"/>
    <mergeCell ref="N140:U140"/>
    <mergeCell ref="N120:U120"/>
    <mergeCell ref="N114:P114"/>
    <mergeCell ref="A114:C114"/>
    <mergeCell ref="F114:H114"/>
    <mergeCell ref="N115:T115"/>
    <mergeCell ref="A116:H116"/>
    <mergeCell ref="A120:G120"/>
    <mergeCell ref="A12:B12"/>
    <mergeCell ref="A121:G121"/>
    <mergeCell ref="N121:U121"/>
    <mergeCell ref="A111:B111"/>
    <mergeCell ref="F111:G111"/>
    <mergeCell ref="N111:O111"/>
    <mergeCell ref="P111:Q111"/>
    <mergeCell ref="R111:S111"/>
    <mergeCell ref="A112:B112"/>
    <mergeCell ref="N112:O112"/>
    <mergeCell ref="A109:B109"/>
    <mergeCell ref="F109:G109"/>
    <mergeCell ref="N109:O109"/>
    <mergeCell ref="P109:Q109"/>
    <mergeCell ref="R109:S109"/>
    <mergeCell ref="A110:B110"/>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5"/>
  <sheetViews>
    <sheetView showGridLines="0" zoomScaleNormal="100" workbookViewId="0">
      <pane ySplit="3" topLeftCell="A4" activePane="bottomLeft" state="frozen"/>
      <selection pane="bottomLeft" activeCell="Q26" sqref="Q26"/>
    </sheetView>
  </sheetViews>
  <sheetFormatPr defaultColWidth="8.85546875" defaultRowHeight="12.75" customHeight="1" x14ac:dyDescent="0.2"/>
  <cols>
    <col min="1" max="1" width="5" style="481" bestFit="1" customWidth="1"/>
    <col min="2" max="2" width="39.42578125" style="479" bestFit="1" customWidth="1"/>
    <col min="3" max="4" width="13.5703125" style="479" bestFit="1" customWidth="1"/>
    <col min="5" max="5" width="12.42578125" style="479" bestFit="1" customWidth="1"/>
    <col min="6" max="6" width="2.7109375" style="480" customWidth="1"/>
    <col min="7" max="8" width="13.5703125" style="479" bestFit="1" customWidth="1"/>
    <col min="9" max="9" width="12.42578125" style="479" bestFit="1" customWidth="1"/>
    <col min="10" max="16384" width="8.85546875" style="479"/>
  </cols>
  <sheetData>
    <row r="1" spans="1:9" ht="12.75" customHeight="1" x14ac:dyDescent="0.2">
      <c r="A1" s="506" t="s">
        <v>547</v>
      </c>
    </row>
    <row r="2" spans="1:9" ht="12.75" customHeight="1" x14ac:dyDescent="0.2">
      <c r="C2" s="495"/>
      <c r="D2" s="495"/>
      <c r="G2" s="575"/>
      <c r="H2" s="575"/>
      <c r="I2" s="575"/>
    </row>
    <row r="3" spans="1:9" ht="12.75" customHeight="1" x14ac:dyDescent="0.2">
      <c r="A3" s="505" t="s">
        <v>546</v>
      </c>
      <c r="B3" s="504" t="s">
        <v>244</v>
      </c>
      <c r="C3" s="503" t="s">
        <v>545</v>
      </c>
      <c r="D3" s="503" t="s">
        <v>544</v>
      </c>
      <c r="E3" s="502" t="s">
        <v>541</v>
      </c>
      <c r="F3" s="501"/>
      <c r="G3" s="500" t="s">
        <v>543</v>
      </c>
      <c r="H3" s="499" t="s">
        <v>542</v>
      </c>
      <c r="I3" s="498" t="s">
        <v>541</v>
      </c>
    </row>
    <row r="4" spans="1:9" ht="12.75" customHeight="1" x14ac:dyDescent="0.2">
      <c r="A4" s="493">
        <v>664</v>
      </c>
      <c r="B4" s="494" t="s">
        <v>206</v>
      </c>
      <c r="C4" s="490">
        <v>70874.16</v>
      </c>
      <c r="D4" s="490">
        <v>71141.97</v>
      </c>
      <c r="E4" s="490">
        <f t="shared" ref="E4:E51" si="0">C4-D4</f>
        <v>-267.80999999999767</v>
      </c>
      <c r="F4" s="495"/>
      <c r="G4" s="490">
        <v>70874.16</v>
      </c>
      <c r="H4" s="490">
        <f>769343.3/12</f>
        <v>64111.941666666673</v>
      </c>
      <c r="I4" s="490">
        <f t="shared" ref="I4:I51" si="1">G4-H4</f>
        <v>6762.2183333333305</v>
      </c>
    </row>
    <row r="5" spans="1:9" ht="12.75" customHeight="1" x14ac:dyDescent="0.2">
      <c r="A5" s="493">
        <v>1461</v>
      </c>
      <c r="B5" s="494" t="s">
        <v>208</v>
      </c>
      <c r="C5" s="490">
        <v>530592.16</v>
      </c>
      <c r="D5" s="490">
        <v>450060.78</v>
      </c>
      <c r="E5" s="490">
        <f t="shared" si="0"/>
        <v>80531.38</v>
      </c>
      <c r="F5" s="491"/>
      <c r="G5" s="490">
        <v>530592.16</v>
      </c>
      <c r="H5" s="490">
        <f>5801740.38/12</f>
        <v>483478.36499999999</v>
      </c>
      <c r="I5" s="490">
        <f t="shared" si="1"/>
        <v>47113.795000000042</v>
      </c>
    </row>
    <row r="6" spans="1:9" ht="12.75" customHeight="1" x14ac:dyDescent="0.2">
      <c r="A6" s="493">
        <v>1571</v>
      </c>
      <c r="B6" s="494" t="s">
        <v>210</v>
      </c>
      <c r="C6" s="490">
        <v>819717.67</v>
      </c>
      <c r="D6" s="490">
        <v>734602.94</v>
      </c>
      <c r="E6" s="490">
        <f t="shared" si="0"/>
        <v>85114.730000000098</v>
      </c>
      <c r="F6" s="497"/>
      <c r="G6" s="490">
        <v>819717.67</v>
      </c>
      <c r="H6" s="490">
        <f>8858689.41/12</f>
        <v>738224.11750000005</v>
      </c>
      <c r="I6" s="490">
        <f t="shared" si="1"/>
        <v>81493.552499999991</v>
      </c>
    </row>
    <row r="7" spans="1:9" ht="12.75" customHeight="1" x14ac:dyDescent="0.2">
      <c r="A7" s="493">
        <v>2521</v>
      </c>
      <c r="B7" s="494" t="s">
        <v>211</v>
      </c>
      <c r="C7" s="490">
        <v>93289.4</v>
      </c>
      <c r="D7" s="490">
        <v>90115.38</v>
      </c>
      <c r="E7" s="490">
        <f t="shared" si="0"/>
        <v>3174.0199999999895</v>
      </c>
      <c r="F7" s="491"/>
      <c r="G7" s="490">
        <v>93289.4</v>
      </c>
      <c r="H7" s="490">
        <f>1254336.78/12</f>
        <v>104528.065</v>
      </c>
      <c r="I7" s="490">
        <f t="shared" si="1"/>
        <v>-11238.665000000008</v>
      </c>
    </row>
    <row r="8" spans="1:9" ht="12.75" customHeight="1" x14ac:dyDescent="0.2">
      <c r="A8" s="493">
        <v>2531</v>
      </c>
      <c r="B8" s="494" t="s">
        <v>212</v>
      </c>
      <c r="C8" s="490">
        <v>81895.520000000004</v>
      </c>
      <c r="D8" s="490">
        <v>63560.01</v>
      </c>
      <c r="E8" s="490">
        <f t="shared" si="0"/>
        <v>18335.510000000002</v>
      </c>
      <c r="F8" s="491"/>
      <c r="G8" s="490">
        <v>81895.520000000004</v>
      </c>
      <c r="H8" s="490">
        <f>864135.82/12</f>
        <v>72011.318333333329</v>
      </c>
      <c r="I8" s="490">
        <f t="shared" si="1"/>
        <v>9884.201666666675</v>
      </c>
    </row>
    <row r="9" spans="1:9" ht="12.75" customHeight="1" x14ac:dyDescent="0.2">
      <c r="A9" s="493">
        <v>2791</v>
      </c>
      <c r="B9" s="496" t="s">
        <v>540</v>
      </c>
      <c r="C9" s="490">
        <v>412342.41</v>
      </c>
      <c r="D9" s="490">
        <v>371608.45</v>
      </c>
      <c r="E9" s="490">
        <f t="shared" si="0"/>
        <v>40733.959999999963</v>
      </c>
      <c r="F9" s="495"/>
      <c r="G9" s="490">
        <v>412342.41</v>
      </c>
      <c r="H9" s="490">
        <f>4403236.3/12</f>
        <v>366936.35833333334</v>
      </c>
      <c r="I9" s="490">
        <f t="shared" si="1"/>
        <v>45406.051666666637</v>
      </c>
    </row>
    <row r="10" spans="1:9" ht="12.75" customHeight="1" x14ac:dyDescent="0.2">
      <c r="A10" s="493">
        <v>2801</v>
      </c>
      <c r="B10" s="492" t="s">
        <v>409</v>
      </c>
      <c r="C10" s="490">
        <v>451535.35</v>
      </c>
      <c r="D10" s="490">
        <v>399753.18</v>
      </c>
      <c r="E10" s="490">
        <f t="shared" si="0"/>
        <v>51782.169999999984</v>
      </c>
      <c r="F10" s="495"/>
      <c r="G10" s="490">
        <v>451535.35</v>
      </c>
      <c r="H10" s="490">
        <f>4990751.5/12</f>
        <v>415895.95833333331</v>
      </c>
      <c r="I10" s="490">
        <f t="shared" si="1"/>
        <v>35639.391666666663</v>
      </c>
    </row>
    <row r="11" spans="1:9" ht="12.75" customHeight="1" x14ac:dyDescent="0.2">
      <c r="A11" s="493">
        <v>2911</v>
      </c>
      <c r="B11" s="494" t="s">
        <v>214</v>
      </c>
      <c r="C11" s="490">
        <v>416679.61</v>
      </c>
      <c r="D11" s="490">
        <v>452561.72</v>
      </c>
      <c r="E11" s="490">
        <f t="shared" si="0"/>
        <v>-35882.109999999986</v>
      </c>
      <c r="F11" s="491"/>
      <c r="G11" s="490">
        <v>416679.61</v>
      </c>
      <c r="H11" s="490">
        <f>4569048.94/12</f>
        <v>380754.07833333337</v>
      </c>
      <c r="I11" s="490">
        <f t="shared" si="1"/>
        <v>35925.531666666619</v>
      </c>
    </row>
    <row r="12" spans="1:9" ht="12.75" customHeight="1" x14ac:dyDescent="0.2">
      <c r="A12" s="493">
        <v>2941</v>
      </c>
      <c r="B12" s="494" t="s">
        <v>215</v>
      </c>
      <c r="C12" s="490">
        <v>895488.78</v>
      </c>
      <c r="D12" s="490">
        <v>852465.99</v>
      </c>
      <c r="E12" s="490">
        <f t="shared" si="0"/>
        <v>43022.790000000037</v>
      </c>
      <c r="F12" s="491"/>
      <c r="G12" s="490">
        <v>895488.78</v>
      </c>
      <c r="H12" s="490">
        <f>10023802.49/12</f>
        <v>835316.87416666665</v>
      </c>
      <c r="I12" s="490">
        <f t="shared" si="1"/>
        <v>60171.905833333381</v>
      </c>
    </row>
    <row r="13" spans="1:9" ht="12.75" customHeight="1" x14ac:dyDescent="0.2">
      <c r="A13" s="493">
        <v>3083</v>
      </c>
      <c r="B13" s="492" t="s">
        <v>539</v>
      </c>
      <c r="C13" s="490">
        <v>360906.5</v>
      </c>
      <c r="D13" s="490">
        <v>345028.74</v>
      </c>
      <c r="E13" s="490">
        <f t="shared" si="0"/>
        <v>15877.760000000009</v>
      </c>
      <c r="F13" s="491"/>
      <c r="G13" s="490">
        <v>360906.5</v>
      </c>
      <c r="H13" s="490">
        <f>3859380.85/12</f>
        <v>321615.07083333336</v>
      </c>
      <c r="I13" s="490">
        <f t="shared" si="1"/>
        <v>39291.42916666664</v>
      </c>
    </row>
    <row r="14" spans="1:9" ht="12.75" customHeight="1" x14ac:dyDescent="0.2">
      <c r="A14" s="493">
        <v>3345</v>
      </c>
      <c r="B14" s="494" t="s">
        <v>538</v>
      </c>
      <c r="C14" s="490">
        <v>40899.199999999997</v>
      </c>
      <c r="D14" s="490">
        <v>61310.85</v>
      </c>
      <c r="E14" s="490">
        <f t="shared" si="0"/>
        <v>-20411.650000000001</v>
      </c>
      <c r="F14" s="491"/>
      <c r="G14" s="490">
        <v>40899.199999999997</v>
      </c>
      <c r="H14" s="490">
        <f>686296.6/12</f>
        <v>57191.383333333331</v>
      </c>
      <c r="I14" s="490">
        <f t="shared" si="1"/>
        <v>-16292.183333333334</v>
      </c>
    </row>
    <row r="15" spans="1:9" ht="12.75" customHeight="1" x14ac:dyDescent="0.2">
      <c r="A15" s="493">
        <v>3381</v>
      </c>
      <c r="B15" s="494" t="s">
        <v>218</v>
      </c>
      <c r="C15" s="490">
        <v>771366.85</v>
      </c>
      <c r="D15" s="490">
        <v>713215.52</v>
      </c>
      <c r="E15" s="490">
        <f t="shared" si="0"/>
        <v>58151.329999999958</v>
      </c>
      <c r="F15" s="495"/>
      <c r="G15" s="490">
        <v>771366.85</v>
      </c>
      <c r="H15" s="490">
        <f>8455178.35/12</f>
        <v>704598.1958333333</v>
      </c>
      <c r="I15" s="490">
        <f t="shared" si="1"/>
        <v>66768.654166666674</v>
      </c>
    </row>
    <row r="16" spans="1:9" ht="12.75" customHeight="1" x14ac:dyDescent="0.2">
      <c r="A16" s="493">
        <v>3382</v>
      </c>
      <c r="B16" s="494" t="s">
        <v>220</v>
      </c>
      <c r="C16" s="490">
        <v>193847.6</v>
      </c>
      <c r="D16" s="490">
        <v>237810.72</v>
      </c>
      <c r="E16" s="490">
        <f t="shared" si="0"/>
        <v>-43963.119999999995</v>
      </c>
      <c r="F16" s="491"/>
      <c r="G16" s="490">
        <v>193847.6</v>
      </c>
      <c r="H16" s="490">
        <f>2128331.46/12</f>
        <v>177360.95499999999</v>
      </c>
      <c r="I16" s="490">
        <f t="shared" si="1"/>
        <v>16486.645000000019</v>
      </c>
    </row>
    <row r="17" spans="1:9" ht="12.75" customHeight="1" x14ac:dyDescent="0.2">
      <c r="A17" s="493">
        <v>3391</v>
      </c>
      <c r="B17" s="494" t="s">
        <v>222</v>
      </c>
      <c r="C17" s="490">
        <v>26761.88</v>
      </c>
      <c r="D17" s="490">
        <v>31761.58</v>
      </c>
      <c r="E17" s="490">
        <f t="shared" si="0"/>
        <v>-4999.7000000000007</v>
      </c>
      <c r="F17" s="491"/>
      <c r="G17" s="490">
        <v>26761.88</v>
      </c>
      <c r="H17" s="490">
        <f>452145.83/12</f>
        <v>37678.819166666668</v>
      </c>
      <c r="I17" s="490">
        <f t="shared" si="1"/>
        <v>-10916.939166666667</v>
      </c>
    </row>
    <row r="18" spans="1:9" ht="12.75" customHeight="1" x14ac:dyDescent="0.2">
      <c r="A18" s="493">
        <v>3394</v>
      </c>
      <c r="B18" s="494" t="s">
        <v>223</v>
      </c>
      <c r="C18" s="490">
        <v>147922.46</v>
      </c>
      <c r="D18" s="490">
        <v>153496.9</v>
      </c>
      <c r="E18" s="490">
        <f t="shared" si="0"/>
        <v>-5574.4400000000023</v>
      </c>
      <c r="F18" s="491"/>
      <c r="G18" s="490">
        <v>147922.46</v>
      </c>
      <c r="H18" s="490">
        <f>1618444.03/12</f>
        <v>134870.33583333335</v>
      </c>
      <c r="I18" s="490">
        <f t="shared" si="1"/>
        <v>13052.124166666646</v>
      </c>
    </row>
    <row r="19" spans="1:9" ht="12.75" customHeight="1" x14ac:dyDescent="0.2">
      <c r="A19" s="493">
        <v>3395</v>
      </c>
      <c r="B19" s="496" t="s">
        <v>310</v>
      </c>
      <c r="C19" s="490">
        <v>369350.33</v>
      </c>
      <c r="D19" s="490">
        <v>344077.31</v>
      </c>
      <c r="E19" s="490">
        <f t="shared" si="0"/>
        <v>25273.020000000019</v>
      </c>
      <c r="F19" s="491"/>
      <c r="G19" s="490">
        <v>369350.33</v>
      </c>
      <c r="H19" s="490">
        <f>4058545.07/12</f>
        <v>338212.08916666667</v>
      </c>
      <c r="I19" s="490">
        <f t="shared" si="1"/>
        <v>31138.240833333344</v>
      </c>
    </row>
    <row r="20" spans="1:9" ht="12.75" customHeight="1" x14ac:dyDescent="0.2">
      <c r="A20" s="493">
        <v>3396</v>
      </c>
      <c r="B20" s="492" t="s">
        <v>245</v>
      </c>
      <c r="C20" s="490">
        <v>511586.76</v>
      </c>
      <c r="D20" s="490">
        <v>466014.15</v>
      </c>
      <c r="E20" s="490">
        <f t="shared" si="0"/>
        <v>45572.609999999986</v>
      </c>
      <c r="F20" s="491"/>
      <c r="G20" s="490">
        <v>511586.76</v>
      </c>
      <c r="H20" s="490">
        <f>5562695.22/12</f>
        <v>463557.935</v>
      </c>
      <c r="I20" s="490">
        <f t="shared" si="1"/>
        <v>48028.825000000012</v>
      </c>
    </row>
    <row r="21" spans="1:9" ht="12.75" customHeight="1" x14ac:dyDescent="0.2">
      <c r="A21" s="493">
        <v>3398</v>
      </c>
      <c r="B21" s="494" t="s">
        <v>213</v>
      </c>
      <c r="C21" s="490">
        <v>94144.34</v>
      </c>
      <c r="D21" s="490">
        <v>92871</v>
      </c>
      <c r="E21" s="490">
        <f t="shared" si="0"/>
        <v>1273.3399999999965</v>
      </c>
      <c r="F21" s="491"/>
      <c r="G21" s="490">
        <v>94144.34</v>
      </c>
      <c r="H21" s="490">
        <f>1025837.54/12</f>
        <v>85486.46166666667</v>
      </c>
      <c r="I21" s="490">
        <f t="shared" si="1"/>
        <v>8657.8783333333267</v>
      </c>
    </row>
    <row r="22" spans="1:9" ht="12.75" customHeight="1" x14ac:dyDescent="0.2">
      <c r="A22" s="493">
        <v>3400</v>
      </c>
      <c r="B22" s="494" t="s">
        <v>207</v>
      </c>
      <c r="C22" s="490">
        <v>77471.75</v>
      </c>
      <c r="D22" s="490">
        <v>104610.62</v>
      </c>
      <c r="E22" s="490">
        <f t="shared" si="0"/>
        <v>-27138.869999999995</v>
      </c>
      <c r="F22" s="495"/>
      <c r="G22" s="490">
        <v>77471.75</v>
      </c>
      <c r="H22" s="490">
        <f>1159348.62/12</f>
        <v>96612.385000000009</v>
      </c>
      <c r="I22" s="490">
        <f t="shared" si="1"/>
        <v>-19140.635000000009</v>
      </c>
    </row>
    <row r="23" spans="1:9" ht="12.75" customHeight="1" x14ac:dyDescent="0.2">
      <c r="A23" s="493">
        <v>3401</v>
      </c>
      <c r="B23" s="494" t="s">
        <v>224</v>
      </c>
      <c r="C23" s="490">
        <v>237827.66</v>
      </c>
      <c r="D23" s="490">
        <v>272121.09000000003</v>
      </c>
      <c r="E23" s="490">
        <f t="shared" si="0"/>
        <v>-34293.430000000022</v>
      </c>
      <c r="F23" s="491"/>
      <c r="G23" s="490">
        <v>237827.66</v>
      </c>
      <c r="H23" s="490">
        <f>2614542.75/12</f>
        <v>217878.5625</v>
      </c>
      <c r="I23" s="490">
        <f t="shared" si="1"/>
        <v>19949.097500000003</v>
      </c>
    </row>
    <row r="24" spans="1:9" ht="12.75" customHeight="1" x14ac:dyDescent="0.2">
      <c r="A24" s="493">
        <v>3413</v>
      </c>
      <c r="B24" s="494" t="s">
        <v>225</v>
      </c>
      <c r="C24" s="490">
        <v>260556.29</v>
      </c>
      <c r="D24" s="490">
        <v>251050.22</v>
      </c>
      <c r="E24" s="490">
        <f t="shared" si="0"/>
        <v>9506.070000000007</v>
      </c>
      <c r="F24" s="495"/>
      <c r="G24" s="490">
        <v>260556.29</v>
      </c>
      <c r="H24" s="490">
        <f>2853334.25/12</f>
        <v>237777.85416666666</v>
      </c>
      <c r="I24" s="490">
        <f t="shared" si="1"/>
        <v>22778.435833333351</v>
      </c>
    </row>
    <row r="25" spans="1:9" ht="12.75" customHeight="1" x14ac:dyDescent="0.2">
      <c r="A25" s="493">
        <v>3421</v>
      </c>
      <c r="B25" s="494" t="s">
        <v>226</v>
      </c>
      <c r="C25" s="490">
        <v>217310.76</v>
      </c>
      <c r="D25" s="490">
        <v>232838.53</v>
      </c>
      <c r="E25" s="490">
        <f t="shared" si="0"/>
        <v>-15527.76999999999</v>
      </c>
      <c r="F25" s="491"/>
      <c r="G25" s="490">
        <v>217310.76</v>
      </c>
      <c r="H25" s="490">
        <f>2400024.55/12</f>
        <v>200002.04583333331</v>
      </c>
      <c r="I25" s="490">
        <f t="shared" si="1"/>
        <v>17308.714166666701</v>
      </c>
    </row>
    <row r="26" spans="1:9" ht="12.75" customHeight="1" x14ac:dyDescent="0.2">
      <c r="A26" s="493">
        <v>3431</v>
      </c>
      <c r="B26" s="494" t="s">
        <v>228</v>
      </c>
      <c r="C26" s="490">
        <v>722549.02</v>
      </c>
      <c r="D26" s="490">
        <v>662506.68000000005</v>
      </c>
      <c r="E26" s="490">
        <f t="shared" si="0"/>
        <v>60042.339999999967</v>
      </c>
      <c r="F26" s="495"/>
      <c r="G26" s="490">
        <v>722549.02</v>
      </c>
      <c r="H26" s="490">
        <f>7974736.3/12</f>
        <v>664561.35833333328</v>
      </c>
      <c r="I26" s="490">
        <f t="shared" si="1"/>
        <v>57987.66166666674</v>
      </c>
    </row>
    <row r="27" spans="1:9" ht="12.75" customHeight="1" x14ac:dyDescent="0.2">
      <c r="A27" s="493">
        <v>3441</v>
      </c>
      <c r="B27" s="492" t="s">
        <v>246</v>
      </c>
      <c r="C27" s="490">
        <v>378425.46</v>
      </c>
      <c r="D27" s="490">
        <v>357507.15</v>
      </c>
      <c r="E27" s="490">
        <f t="shared" si="0"/>
        <v>20918.309999999998</v>
      </c>
      <c r="F27" s="495"/>
      <c r="G27" s="490">
        <v>378425.46</v>
      </c>
      <c r="H27" s="490">
        <f>4150744.61/12</f>
        <v>345895.38416666666</v>
      </c>
      <c r="I27" s="490">
        <f t="shared" si="1"/>
        <v>32530.075833333365</v>
      </c>
    </row>
    <row r="28" spans="1:9" ht="12.75" customHeight="1" x14ac:dyDescent="0.2">
      <c r="A28" s="493">
        <v>3924</v>
      </c>
      <c r="B28" s="492" t="s">
        <v>408</v>
      </c>
      <c r="C28" s="490">
        <v>361321.52</v>
      </c>
      <c r="D28" s="490">
        <v>308988.55</v>
      </c>
      <c r="E28" s="490">
        <f t="shared" si="0"/>
        <v>52332.97000000003</v>
      </c>
      <c r="F28" s="495"/>
      <c r="G28" s="490">
        <v>361321.52</v>
      </c>
      <c r="H28" s="490">
        <f>3978901.86/12</f>
        <v>331575.15499999997</v>
      </c>
      <c r="I28" s="490">
        <f t="shared" si="1"/>
        <v>29746.365000000049</v>
      </c>
    </row>
    <row r="29" spans="1:9" ht="12.75" customHeight="1" x14ac:dyDescent="0.2">
      <c r="A29" s="493">
        <v>3941</v>
      </c>
      <c r="B29" s="494" t="s">
        <v>209</v>
      </c>
      <c r="C29" s="490">
        <v>182821.5</v>
      </c>
      <c r="D29" s="490">
        <v>161346.07999999999</v>
      </c>
      <c r="E29" s="490">
        <f t="shared" si="0"/>
        <v>21475.420000000013</v>
      </c>
      <c r="F29" s="495"/>
      <c r="G29" s="490">
        <v>182821.5</v>
      </c>
      <c r="H29" s="490">
        <f>2017256.59/12</f>
        <v>168104.71583333335</v>
      </c>
      <c r="I29" s="490">
        <f t="shared" si="1"/>
        <v>14716.78416666665</v>
      </c>
    </row>
    <row r="30" spans="1:9" ht="12.75" customHeight="1" x14ac:dyDescent="0.2">
      <c r="A30" s="493">
        <v>3961</v>
      </c>
      <c r="B30" s="494" t="s">
        <v>219</v>
      </c>
      <c r="C30" s="490">
        <v>245513.56</v>
      </c>
      <c r="D30" s="490">
        <v>245171.3</v>
      </c>
      <c r="E30" s="490">
        <f t="shared" si="0"/>
        <v>342.26000000000931</v>
      </c>
      <c r="F30" s="495"/>
      <c r="G30" s="490">
        <v>245513.56</v>
      </c>
      <c r="H30" s="490">
        <f>2700532.59/12</f>
        <v>225044.38249999998</v>
      </c>
      <c r="I30" s="490">
        <f t="shared" si="1"/>
        <v>20469.17750000002</v>
      </c>
    </row>
    <row r="31" spans="1:9" ht="12.75" customHeight="1" x14ac:dyDescent="0.2">
      <c r="A31" s="493">
        <v>3971</v>
      </c>
      <c r="B31" s="494" t="s">
        <v>345</v>
      </c>
      <c r="C31" s="490">
        <v>403654.84</v>
      </c>
      <c r="D31" s="490">
        <v>482670.46</v>
      </c>
      <c r="E31" s="490">
        <f t="shared" si="0"/>
        <v>-79015.62</v>
      </c>
      <c r="F31" s="495"/>
      <c r="G31" s="490">
        <v>403654.84</v>
      </c>
      <c r="H31" s="490">
        <f>4386919.47/12</f>
        <v>365576.6225</v>
      </c>
      <c r="I31" s="490">
        <f t="shared" si="1"/>
        <v>38078.217500000028</v>
      </c>
    </row>
    <row r="32" spans="1:9" ht="12.75" customHeight="1" x14ac:dyDescent="0.2">
      <c r="A32" s="493">
        <v>4001</v>
      </c>
      <c r="B32" s="494" t="s">
        <v>237</v>
      </c>
      <c r="C32" s="490">
        <v>510855.5</v>
      </c>
      <c r="D32" s="490">
        <v>401822.37</v>
      </c>
      <c r="E32" s="490">
        <f t="shared" si="0"/>
        <v>109033.13</v>
      </c>
      <c r="F32" s="491"/>
      <c r="G32" s="490">
        <v>510855.5</v>
      </c>
      <c r="H32" s="490">
        <f>5663409.31/12</f>
        <v>471950.77583333332</v>
      </c>
      <c r="I32" s="490">
        <f t="shared" si="1"/>
        <v>38904.724166666681</v>
      </c>
    </row>
    <row r="33" spans="1:9" ht="12.75" customHeight="1" x14ac:dyDescent="0.2">
      <c r="A33" s="493">
        <v>4002</v>
      </c>
      <c r="B33" s="494" t="s">
        <v>236</v>
      </c>
      <c r="C33" s="490">
        <v>835353.87</v>
      </c>
      <c r="D33" s="490">
        <v>790304.19</v>
      </c>
      <c r="E33" s="490">
        <f t="shared" si="0"/>
        <v>45049.680000000051</v>
      </c>
      <c r="F33" s="495"/>
      <c r="G33" s="490">
        <v>835353.87</v>
      </c>
      <c r="H33" s="490">
        <f>9231623.51/12</f>
        <v>769301.95916666661</v>
      </c>
      <c r="I33" s="490">
        <f t="shared" si="1"/>
        <v>66051.910833333386</v>
      </c>
    </row>
    <row r="34" spans="1:9" ht="12.75" customHeight="1" x14ac:dyDescent="0.2">
      <c r="A34" s="493">
        <v>4012</v>
      </c>
      <c r="B34" s="494" t="s">
        <v>239</v>
      </c>
      <c r="C34" s="490">
        <v>476626.69</v>
      </c>
      <c r="D34" s="490">
        <v>431949.49</v>
      </c>
      <c r="E34" s="490">
        <f t="shared" si="0"/>
        <v>44677.200000000012</v>
      </c>
      <c r="F34" s="491"/>
      <c r="G34" s="490">
        <v>476626.69</v>
      </c>
      <c r="H34" s="490">
        <f>5213851.22/12</f>
        <v>434487.60166666663</v>
      </c>
      <c r="I34" s="490">
        <f t="shared" si="1"/>
        <v>42139.088333333377</v>
      </c>
    </row>
    <row r="35" spans="1:9" ht="12.75" customHeight="1" x14ac:dyDescent="0.2">
      <c r="A35" s="493">
        <v>4013</v>
      </c>
      <c r="B35" s="494" t="s">
        <v>241</v>
      </c>
      <c r="C35" s="490">
        <v>716951.2</v>
      </c>
      <c r="D35" s="490">
        <v>664127.65</v>
      </c>
      <c r="E35" s="490">
        <f t="shared" si="0"/>
        <v>52823.54999999993</v>
      </c>
      <c r="F35" s="495"/>
      <c r="G35" s="490">
        <v>716951.2</v>
      </c>
      <c r="H35" s="490">
        <f>7915149.11/12</f>
        <v>659595.75916666666</v>
      </c>
      <c r="I35" s="490">
        <f t="shared" si="1"/>
        <v>57355.440833333298</v>
      </c>
    </row>
    <row r="36" spans="1:9" ht="12.75" customHeight="1" x14ac:dyDescent="0.2">
      <c r="A36" s="493">
        <v>4020</v>
      </c>
      <c r="B36" s="494" t="s">
        <v>537</v>
      </c>
      <c r="C36" s="490">
        <v>942020.11</v>
      </c>
      <c r="D36" s="490">
        <v>862950.81</v>
      </c>
      <c r="E36" s="490">
        <f t="shared" si="0"/>
        <v>79069.29999999993</v>
      </c>
      <c r="F36" s="495"/>
      <c r="G36" s="490">
        <v>942020.11</v>
      </c>
      <c r="H36" s="490">
        <f>10411901.47/12</f>
        <v>867658.45583333343</v>
      </c>
      <c r="I36" s="490">
        <f t="shared" si="1"/>
        <v>74361.654166666558</v>
      </c>
    </row>
    <row r="37" spans="1:9" ht="12.75" customHeight="1" x14ac:dyDescent="0.2">
      <c r="A37" s="493">
        <v>4030</v>
      </c>
      <c r="B37" s="494" t="s">
        <v>340</v>
      </c>
      <c r="C37" s="490">
        <v>251916.51</v>
      </c>
      <c r="D37" s="490">
        <v>239033.14</v>
      </c>
      <c r="E37" s="490">
        <f t="shared" si="0"/>
        <v>12883.369999999995</v>
      </c>
      <c r="F37" s="491"/>
      <c r="G37" s="490">
        <v>251916.51</v>
      </c>
      <c r="H37" s="490">
        <f>2779424.21/12</f>
        <v>231618.68416666667</v>
      </c>
      <c r="I37" s="490">
        <f t="shared" si="1"/>
        <v>20297.825833333336</v>
      </c>
    </row>
    <row r="38" spans="1:9" ht="12.75" customHeight="1" x14ac:dyDescent="0.2">
      <c r="A38" s="493">
        <v>4031</v>
      </c>
      <c r="B38" s="492" t="s">
        <v>356</v>
      </c>
      <c r="C38" s="490">
        <v>334169.11</v>
      </c>
      <c r="D38" s="490">
        <v>398899.15</v>
      </c>
      <c r="E38" s="490">
        <f t="shared" si="0"/>
        <v>-64730.040000000037</v>
      </c>
      <c r="F38" s="491"/>
      <c r="G38" s="490">
        <v>334169.11</v>
      </c>
      <c r="H38" s="490">
        <f>3657157.45/12</f>
        <v>304763.12083333335</v>
      </c>
      <c r="I38" s="490">
        <f t="shared" si="1"/>
        <v>29405.989166666637</v>
      </c>
    </row>
    <row r="39" spans="1:9" ht="12.75" customHeight="1" x14ac:dyDescent="0.2">
      <c r="A39" s="493">
        <v>4041</v>
      </c>
      <c r="B39" s="494" t="s">
        <v>243</v>
      </c>
      <c r="C39" s="490">
        <v>55469.86</v>
      </c>
      <c r="D39" s="490">
        <v>45713.14</v>
      </c>
      <c r="E39" s="490">
        <f t="shared" si="0"/>
        <v>9756.7200000000012</v>
      </c>
      <c r="F39" s="495"/>
      <c r="G39" s="490">
        <v>55469.86</v>
      </c>
      <c r="H39" s="490">
        <f>612519.03/12</f>
        <v>51043.252500000002</v>
      </c>
      <c r="I39" s="490">
        <f t="shared" si="1"/>
        <v>4426.6074999999983</v>
      </c>
    </row>
    <row r="40" spans="1:9" ht="12.75" customHeight="1" x14ac:dyDescent="0.2">
      <c r="A40" s="493">
        <v>4050</v>
      </c>
      <c r="B40" s="494" t="s">
        <v>234</v>
      </c>
      <c r="C40" s="490">
        <v>574381.96</v>
      </c>
      <c r="D40" s="490">
        <v>556520.17000000004</v>
      </c>
      <c r="E40" s="490">
        <f t="shared" si="0"/>
        <v>17861.789999999921</v>
      </c>
      <c r="F40" s="495"/>
      <c r="G40" s="490">
        <v>574381.96</v>
      </c>
      <c r="H40" s="490">
        <f>6328718.82/12</f>
        <v>527393.23499999999</v>
      </c>
      <c r="I40" s="490">
        <f t="shared" si="1"/>
        <v>46988.724999999977</v>
      </c>
    </row>
    <row r="41" spans="1:9" ht="12.75" customHeight="1" x14ac:dyDescent="0.2">
      <c r="A41" s="493">
        <v>4051</v>
      </c>
      <c r="B41" s="494" t="s">
        <v>232</v>
      </c>
      <c r="C41" s="490">
        <v>603203.79</v>
      </c>
      <c r="D41" s="490">
        <v>609889.26</v>
      </c>
      <c r="E41" s="490">
        <f t="shared" si="0"/>
        <v>-6685.4699999999721</v>
      </c>
      <c r="F41" s="495"/>
      <c r="G41" s="490">
        <v>603203.79</v>
      </c>
      <c r="H41" s="490">
        <f>6618486.95/12</f>
        <v>551540.57916666672</v>
      </c>
      <c r="I41" s="490">
        <f t="shared" si="1"/>
        <v>51663.210833333316</v>
      </c>
    </row>
    <row r="42" spans="1:9" ht="12.75" customHeight="1" x14ac:dyDescent="0.2">
      <c r="A42" s="493">
        <v>4061</v>
      </c>
      <c r="B42" s="494" t="s">
        <v>536</v>
      </c>
      <c r="C42" s="490">
        <v>746335.93</v>
      </c>
      <c r="D42" s="490">
        <v>691773.07</v>
      </c>
      <c r="E42" s="490">
        <f t="shared" si="0"/>
        <v>54562.860000000102</v>
      </c>
      <c r="F42" s="491"/>
      <c r="G42" s="490">
        <v>746335.93</v>
      </c>
      <c r="H42" s="490">
        <f>8302705.7/12</f>
        <v>691892.14166666672</v>
      </c>
      <c r="I42" s="490">
        <f t="shared" si="1"/>
        <v>54443.78833333333</v>
      </c>
    </row>
    <row r="43" spans="1:9" ht="12.75" customHeight="1" x14ac:dyDescent="0.2">
      <c r="A43" s="493">
        <v>4080</v>
      </c>
      <c r="B43" s="492" t="s">
        <v>261</v>
      </c>
      <c r="C43" s="490">
        <v>196900.81</v>
      </c>
      <c r="D43" s="490">
        <v>167191.70000000001</v>
      </c>
      <c r="E43" s="490">
        <f t="shared" si="0"/>
        <v>29709.109999999986</v>
      </c>
      <c r="F43" s="491"/>
      <c r="G43" s="490">
        <v>196900.81</v>
      </c>
      <c r="H43" s="490">
        <f>2183906.72/12</f>
        <v>181992.22666666668</v>
      </c>
      <c r="I43" s="490">
        <f t="shared" si="1"/>
        <v>14908.583333333314</v>
      </c>
    </row>
    <row r="44" spans="1:9" ht="12.75" customHeight="1" x14ac:dyDescent="0.2">
      <c r="A44" s="493">
        <v>4081</v>
      </c>
      <c r="B44" s="494" t="s">
        <v>252</v>
      </c>
      <c r="C44" s="490">
        <v>95446.46</v>
      </c>
      <c r="D44" s="490">
        <v>92006.54</v>
      </c>
      <c r="E44" s="490">
        <f t="shared" si="0"/>
        <v>3439.9200000000128</v>
      </c>
      <c r="F44" s="491"/>
      <c r="G44" s="490">
        <v>95446.46</v>
      </c>
      <c r="H44" s="490">
        <f>1045476.05/12</f>
        <v>87123.004166666666</v>
      </c>
      <c r="I44" s="490">
        <f t="shared" si="1"/>
        <v>8323.4558333333407</v>
      </c>
    </row>
    <row r="45" spans="1:9" ht="12.75" customHeight="1" x14ac:dyDescent="0.2">
      <c r="A45" s="493">
        <v>4090</v>
      </c>
      <c r="B45" s="494" t="s">
        <v>298</v>
      </c>
      <c r="C45" s="490">
        <v>232657.82</v>
      </c>
      <c r="D45" s="490">
        <v>202534.94</v>
      </c>
      <c r="E45" s="490">
        <f t="shared" si="0"/>
        <v>30122.880000000005</v>
      </c>
      <c r="F45" s="491"/>
      <c r="G45" s="490">
        <v>232657.82</v>
      </c>
      <c r="H45" s="490">
        <f>2556933.9/12</f>
        <v>213077.82499999998</v>
      </c>
      <c r="I45" s="490">
        <f t="shared" si="1"/>
        <v>19579.995000000024</v>
      </c>
    </row>
    <row r="46" spans="1:9" ht="12.75" customHeight="1" x14ac:dyDescent="0.2">
      <c r="A46" s="493">
        <v>4091</v>
      </c>
      <c r="B46" s="494" t="s">
        <v>299</v>
      </c>
      <c r="C46" s="490">
        <v>300951.7</v>
      </c>
      <c r="D46" s="490">
        <v>276320.12</v>
      </c>
      <c r="E46" s="490">
        <f t="shared" si="0"/>
        <v>24631.580000000016</v>
      </c>
      <c r="F46" s="491"/>
      <c r="G46" s="490">
        <v>300951.7</v>
      </c>
      <c r="H46" s="490">
        <f>3319317.62/12</f>
        <v>276609.8016666667</v>
      </c>
      <c r="I46" s="490">
        <f t="shared" si="1"/>
        <v>24341.898333333316</v>
      </c>
    </row>
    <row r="47" spans="1:9" ht="12.75" customHeight="1" x14ac:dyDescent="0.2">
      <c r="A47" s="493">
        <v>4100</v>
      </c>
      <c r="B47" s="492" t="s">
        <v>535</v>
      </c>
      <c r="C47" s="490">
        <v>251719.1</v>
      </c>
      <c r="D47" s="490">
        <v>261667.03</v>
      </c>
      <c r="E47" s="490">
        <f t="shared" si="0"/>
        <v>-9947.929999999993</v>
      </c>
      <c r="F47" s="491"/>
      <c r="G47" s="490">
        <v>251719.1</v>
      </c>
      <c r="H47" s="490">
        <f>2675067.27/12</f>
        <v>222922.27249999999</v>
      </c>
      <c r="I47" s="490">
        <f t="shared" si="1"/>
        <v>28796.827500000014</v>
      </c>
    </row>
    <row r="48" spans="1:9" ht="12.75" customHeight="1" x14ac:dyDescent="0.2">
      <c r="A48" s="493">
        <v>4102</v>
      </c>
      <c r="B48" s="492" t="s">
        <v>306</v>
      </c>
      <c r="C48" s="490">
        <v>118832.36</v>
      </c>
      <c r="D48" s="490">
        <v>65683.31</v>
      </c>
      <c r="E48" s="490">
        <f t="shared" si="0"/>
        <v>53149.05</v>
      </c>
      <c r="F48" s="491"/>
      <c r="G48" s="490">
        <v>118832.36</v>
      </c>
      <c r="H48" s="490">
        <f>1340263.5/12</f>
        <v>111688.625</v>
      </c>
      <c r="I48" s="490">
        <f t="shared" si="1"/>
        <v>7143.7350000000006</v>
      </c>
    </row>
    <row r="49" spans="1:9" ht="12.75" customHeight="1" x14ac:dyDescent="0.2">
      <c r="A49" s="493">
        <v>4103</v>
      </c>
      <c r="B49" s="492" t="s">
        <v>534</v>
      </c>
      <c r="C49" s="490">
        <v>699826.9</v>
      </c>
      <c r="D49" s="490">
        <v>763180.36</v>
      </c>
      <c r="E49" s="490">
        <f t="shared" si="0"/>
        <v>-63353.459999999963</v>
      </c>
      <c r="F49" s="491"/>
      <c r="G49" s="490">
        <v>699826.9</v>
      </c>
      <c r="H49" s="490">
        <f>7659117.47/12</f>
        <v>638259.78916666668</v>
      </c>
      <c r="I49" s="490">
        <f t="shared" si="1"/>
        <v>61567.11083333334</v>
      </c>
    </row>
    <row r="50" spans="1:9" ht="12.75" customHeight="1" x14ac:dyDescent="0.2">
      <c r="A50" s="493">
        <v>4111</v>
      </c>
      <c r="B50" s="492" t="s">
        <v>346</v>
      </c>
      <c r="C50" s="490">
        <v>213399.23</v>
      </c>
      <c r="D50" s="490">
        <v>215445.89</v>
      </c>
      <c r="E50" s="490">
        <f t="shared" si="0"/>
        <v>-2046.6600000000035</v>
      </c>
      <c r="F50" s="491"/>
      <c r="G50" s="490">
        <v>213399.23</v>
      </c>
      <c r="H50" s="490">
        <f>2305710.34/12</f>
        <v>192142.52833333332</v>
      </c>
      <c r="I50" s="490">
        <f t="shared" si="1"/>
        <v>21256.70166666669</v>
      </c>
    </row>
    <row r="51" spans="1:9" ht="12.75" customHeight="1" x14ac:dyDescent="0.2">
      <c r="A51" s="493">
        <v>4131</v>
      </c>
      <c r="B51" s="492" t="s">
        <v>533</v>
      </c>
      <c r="C51" s="490">
        <v>25359.53</v>
      </c>
      <c r="D51" s="490">
        <v>26210.11</v>
      </c>
      <c r="E51" s="490">
        <f t="shared" si="0"/>
        <v>-850.58000000000175</v>
      </c>
      <c r="F51" s="491"/>
      <c r="G51" s="490">
        <v>25359.53</v>
      </c>
      <c r="H51" s="490">
        <f>282139/12</f>
        <v>23511.583333333332</v>
      </c>
      <c r="I51" s="490">
        <f t="shared" si="1"/>
        <v>1847.9466666666667</v>
      </c>
    </row>
    <row r="52" spans="1:9" ht="12.75" customHeight="1" x14ac:dyDescent="0.2">
      <c r="C52" s="489"/>
      <c r="D52" s="489"/>
      <c r="E52" s="488"/>
      <c r="G52" s="488"/>
      <c r="H52" s="488"/>
      <c r="I52" s="488"/>
    </row>
    <row r="53" spans="1:9" ht="12.75" customHeight="1" x14ac:dyDescent="0.2">
      <c r="B53" s="487" t="s">
        <v>8</v>
      </c>
      <c r="C53" s="485">
        <f>SUM(C4:C52)</f>
        <v>17559031.779999994</v>
      </c>
      <c r="D53" s="485">
        <v>16773490.309999999</v>
      </c>
      <c r="E53" s="485">
        <f>SUM(E4:E52)</f>
        <v>785541.4700000002</v>
      </c>
      <c r="F53" s="486"/>
      <c r="G53" s="485">
        <f>SUM(G4:G52)</f>
        <v>17559031.779999994</v>
      </c>
      <c r="H53" s="485">
        <f>193721160.11/12</f>
        <v>16143430.009166667</v>
      </c>
      <c r="I53" s="485">
        <f>SUM(I4:I52)</f>
        <v>1415601.7708333337</v>
      </c>
    </row>
    <row r="54" spans="1:9" ht="12.75" customHeight="1" x14ac:dyDescent="0.2">
      <c r="A54" s="484"/>
      <c r="B54" s="483"/>
    </row>
    <row r="55" spans="1:9" ht="12.75" customHeight="1" x14ac:dyDescent="0.2">
      <c r="A55" s="482"/>
    </row>
  </sheetData>
  <mergeCells count="1">
    <mergeCell ref="G2:I2"/>
  </mergeCells>
  <conditionalFormatting sqref="A4:C51 G4:G51 I4:I51 E4:E51">
    <cfRule type="expression" dxfId="6" priority="3">
      <formula>MOD(ROW(),2)=0</formula>
    </cfRule>
  </conditionalFormatting>
  <conditionalFormatting sqref="D4:D51">
    <cfRule type="expression" dxfId="5" priority="2">
      <formula>MOD(ROW(),2)=0</formula>
    </cfRule>
  </conditionalFormatting>
  <conditionalFormatting sqref="H4:H51">
    <cfRule type="expression" dxfId="4" priority="1">
      <formula>MOD(ROW(),2)=0</formula>
    </cfRule>
  </conditionalFormatting>
  <pageMargins left="1.25" right="0.1" top="0.5" bottom="0.5" header="0" footer="0.1"/>
  <pageSetup orientation="portrait" r:id="rId1"/>
  <headerFooter alignWithMargins="0">
    <oddFooter>&amp;L&amp;"Calibri,Regular"&amp;8&amp;Z&amp;F&amp;R&amp;8&amp;P /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CCCC"/>
  </sheetPr>
  <dimension ref="A1:V209"/>
  <sheetViews>
    <sheetView showGridLines="0" zoomScaleNormal="100" workbookViewId="0">
      <pane ySplit="1" topLeftCell="A114"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133</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9" t="s">
        <v>333</v>
      </c>
      <c r="D10" s="89"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37.03</v>
      </c>
      <c r="D14" s="149">
        <v>37.479999999999997</v>
      </c>
      <c r="E14" s="196">
        <f>IF(D$30=0,C14*2,C14+D14)</f>
        <v>74.509999999999991</v>
      </c>
      <c r="F14" s="625">
        <f>'0664'!F14:G14</f>
        <v>1.1220000000000001</v>
      </c>
      <c r="G14" s="625"/>
      <c r="H14" s="153">
        <f>ROUND(E14*F14,4)</f>
        <v>83.600200000000001</v>
      </c>
      <c r="I14" s="112">
        <f>ROUND(ROUND(ROUND(H14*$C$8,4)*($H$8),2)*(MAX($H$9,1)),2)</f>
        <v>448674.42</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9.5</v>
      </c>
      <c r="D15" s="151">
        <v>8</v>
      </c>
      <c r="E15" s="117">
        <f t="shared" ref="E15:E29" si="1">IF(D$30=0,C15*2,C15+D15)</f>
        <v>17.5</v>
      </c>
      <c r="F15" s="622">
        <f>'0664'!F15:G15</f>
        <v>1.1220000000000001</v>
      </c>
      <c r="G15" s="622"/>
      <c r="H15" s="81">
        <f t="shared" ref="H15:H29" si="2">ROUND(E15*F15,4)</f>
        <v>19.635000000000002</v>
      </c>
      <c r="I15" s="102">
        <f t="shared" ref="I15:I29" si="3">ROUND(ROUND(ROUND(H15*$C$8,4)*($H$8),2)*(MAX($H$9,1)),2)</f>
        <v>105379.2</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14.81</v>
      </c>
      <c r="D16" s="151">
        <v>15.85</v>
      </c>
      <c r="E16" s="117">
        <f t="shared" si="1"/>
        <v>30.66</v>
      </c>
      <c r="F16" s="622">
        <f>'0664'!F16:G16</f>
        <v>1</v>
      </c>
      <c r="G16" s="622"/>
      <c r="H16" s="81">
        <f t="shared" si="2"/>
        <v>30.66</v>
      </c>
      <c r="I16" s="102">
        <f t="shared" si="3"/>
        <v>164549.34</v>
      </c>
      <c r="N16" s="635" t="s">
        <v>22</v>
      </c>
      <c r="O16" s="635"/>
      <c r="P16" s="636">
        <f t="shared" si="0"/>
        <v>0</v>
      </c>
      <c r="Q16" s="636"/>
      <c r="R16" s="637">
        <v>1</v>
      </c>
      <c r="S16" s="637"/>
      <c r="T16" s="96">
        <f t="shared" si="4"/>
        <v>0</v>
      </c>
      <c r="U16" s="97">
        <f t="shared" si="5"/>
        <v>0</v>
      </c>
    </row>
    <row r="17" spans="1:21" x14ac:dyDescent="0.25">
      <c r="A17" s="586" t="s">
        <v>23</v>
      </c>
      <c r="B17" s="586"/>
      <c r="C17" s="151">
        <v>5</v>
      </c>
      <c r="D17" s="151">
        <v>5.44</v>
      </c>
      <c r="E17" s="117">
        <f t="shared" si="1"/>
        <v>10.440000000000001</v>
      </c>
      <c r="F17" s="622">
        <f>'0664'!F17:G17</f>
        <v>1</v>
      </c>
      <c r="G17" s="622"/>
      <c r="H17" s="81">
        <f t="shared" si="2"/>
        <v>10.44</v>
      </c>
      <c r="I17" s="102">
        <f t="shared" si="3"/>
        <v>56030.5</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25.47</v>
      </c>
      <c r="D26" s="151">
        <v>24.56</v>
      </c>
      <c r="E26" s="117">
        <f t="shared" si="1"/>
        <v>50.03</v>
      </c>
      <c r="F26" s="622">
        <f>'0664'!F26:G26</f>
        <v>1.208</v>
      </c>
      <c r="G26" s="622"/>
      <c r="H26" s="81">
        <f t="shared" si="2"/>
        <v>60.436199999999999</v>
      </c>
      <c r="I26" s="102">
        <f t="shared" si="3"/>
        <v>324355.40999999997</v>
      </c>
      <c r="N26" s="635" t="s">
        <v>91</v>
      </c>
      <c r="O26" s="635"/>
      <c r="P26" s="636">
        <f t="shared" si="0"/>
        <v>0</v>
      </c>
      <c r="Q26" s="636"/>
      <c r="R26" s="637">
        <v>1</v>
      </c>
      <c r="S26" s="637"/>
      <c r="T26" s="96">
        <f t="shared" si="4"/>
        <v>0</v>
      </c>
      <c r="U26" s="97">
        <f t="shared" si="5"/>
        <v>0</v>
      </c>
    </row>
    <row r="27" spans="1:21" x14ac:dyDescent="0.25">
      <c r="A27" s="586" t="s">
        <v>92</v>
      </c>
      <c r="B27" s="586"/>
      <c r="C27" s="151">
        <v>8.19</v>
      </c>
      <c r="D27" s="151">
        <v>8.59</v>
      </c>
      <c r="E27" s="117">
        <f t="shared" si="1"/>
        <v>16.78</v>
      </c>
      <c r="F27" s="622">
        <f>'0664'!F27:G27</f>
        <v>1.208</v>
      </c>
      <c r="G27" s="622"/>
      <c r="H27" s="81">
        <f t="shared" si="2"/>
        <v>20.270199999999999</v>
      </c>
      <c r="I27" s="102">
        <f t="shared" si="3"/>
        <v>108788.26</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100</v>
      </c>
      <c r="D30" s="95">
        <f>SUM(D14:D29)</f>
        <v>99.92</v>
      </c>
      <c r="E30" s="95">
        <f>SUM(E14:E29)</f>
        <v>199.92</v>
      </c>
      <c r="F30" s="609"/>
      <c r="G30" s="609"/>
      <c r="H30" s="100">
        <f>SUM(H14:H29)</f>
        <v>225.04160000000002</v>
      </c>
      <c r="I30" s="95">
        <f>SUM(I14:I29)</f>
        <v>1207777.1299999999</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225.04160000000002</v>
      </c>
      <c r="F46" s="34"/>
      <c r="G46" s="107"/>
      <c r="H46" s="108" t="s">
        <v>104</v>
      </c>
      <c r="I46" s="95">
        <f>SUM(I44,I30)</f>
        <v>1207777.1299999999</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1207777.1299999999</v>
      </c>
      <c r="G51" s="110" t="s">
        <v>6</v>
      </c>
      <c r="H51" s="425">
        <v>4.5199999999999997E-2</v>
      </c>
      <c r="I51" s="102">
        <f>ROUND(F51*H51,2)</f>
        <v>54591.53</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1207777.1299999999</v>
      </c>
      <c r="G52" s="110" t="s">
        <v>6</v>
      </c>
      <c r="H52" s="425">
        <v>1.41E-2</v>
      </c>
      <c r="I52" s="102">
        <f>ROUND(F52*H52,2)</f>
        <v>17029.66</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71621.19</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199.92</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9.8299999999999993E-4</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225.04160000000002</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9.8900000000000008E-4</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199.92</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1.07E-3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199.92</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9.8400000000000007E-4</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199.92</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1.0709999999999999E-3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9.8400000000000007E-4</v>
      </c>
      <c r="I71" s="102">
        <f>ROUND(F71*H71,2)</f>
        <v>43950.89</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9.8299999999999993E-4</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1.0709999999999999E-3</v>
      </c>
      <c r="I76" s="102">
        <f>ROUND(F76*H76,2)</f>
        <v>17314.91</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1.07E-3</v>
      </c>
      <c r="I78" s="102">
        <f t="shared" ref="I78:I87" si="10">ROUND(F78*H78,2)</f>
        <v>10742.91</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27.94</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27.94</v>
      </c>
      <c r="G83" s="37" t="s">
        <v>6</v>
      </c>
      <c r="H83" s="448">
        <f>'0664'!H83</f>
        <v>1951.26</v>
      </c>
      <c r="I83" s="102">
        <f>ROUND(F83*H83,2)</f>
        <v>54518.2</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9.8900000000000008E-4</v>
      </c>
      <c r="I85" s="102">
        <f t="shared" si="10"/>
        <v>231810.16</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9.8900000000000008E-4</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163.67140000000001</v>
      </c>
      <c r="D92" s="597"/>
      <c r="E92" s="47">
        <f>H8</f>
        <v>1.0442</v>
      </c>
      <c r="F92" s="320">
        <f>'0664'!F92</f>
        <v>947.59</v>
      </c>
      <c r="G92" s="39" t="s">
        <v>12</v>
      </c>
      <c r="H92" s="102">
        <f>ROUND(C92*E92*F92,2)</f>
        <v>161948.51</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61.370199999999997</v>
      </c>
      <c r="D93" s="597"/>
      <c r="E93" s="47">
        <f>H8</f>
        <v>1.0442</v>
      </c>
      <c r="F93" s="320">
        <f>'0664'!F93</f>
        <v>904.74</v>
      </c>
      <c r="G93" s="39" t="s">
        <v>12</v>
      </c>
      <c r="H93" s="102">
        <f>ROUND(C93*E93*F93,2)</f>
        <v>57978.239999999998</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225.04160000000002</v>
      </c>
      <c r="D95" s="601"/>
      <c r="E95" s="130"/>
      <c r="F95" s="130"/>
      <c r="G95" s="130"/>
      <c r="H95" s="131" t="s">
        <v>112</v>
      </c>
      <c r="I95" s="102">
        <f>IF(A1=75,0,H94+H93+H92)</f>
        <v>219926.75</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11</v>
      </c>
      <c r="D101" s="151">
        <v>14</v>
      </c>
      <c r="E101" s="117">
        <f>(C101+D101)/2</f>
        <v>12.5</v>
      </c>
      <c r="F101" s="134" t="s">
        <v>30</v>
      </c>
      <c r="G101" s="321">
        <f>'0664'!G101</f>
        <v>565</v>
      </c>
      <c r="I101" s="102">
        <f>ROUND(G101*E101,2)</f>
        <v>7062.5</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1864724.6399999994</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1793103.4499999995</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1793103.4499999995</v>
      </c>
      <c r="I123" s="95">
        <f>ROUND(IF(E30=0,0,IF(E30&gt;250,-(((250/E30)*H123)*IF(G123="H",0.02,0.05)),IF(G123="H",-0.02*H123,-0.05*H123))),2)</f>
        <v>-89655.17</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1775069.4699999995</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1775069.4699999995</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147922.46</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0</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N140:U140"/>
    <mergeCell ref="N120:U120"/>
    <mergeCell ref="N114:P114"/>
    <mergeCell ref="A114:C114"/>
    <mergeCell ref="N115:T115"/>
    <mergeCell ref="A116:H116"/>
    <mergeCell ref="A120:G120"/>
    <mergeCell ref="A111:B111"/>
    <mergeCell ref="F111:G111"/>
    <mergeCell ref="N111:O111"/>
    <mergeCell ref="P111:Q111"/>
    <mergeCell ref="F114:H114"/>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CCCC"/>
  </sheetPr>
  <dimension ref="A1:V209"/>
  <sheetViews>
    <sheetView showGridLines="0" zoomScaleNormal="100" workbookViewId="0">
      <pane ySplit="1" topLeftCell="A117" activePane="bottomLeft" state="frozen"/>
      <selection activeCell="A58" sqref="A58"/>
      <selection pane="bottomLeft" activeCell="I25" sqref="I25"/>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309</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79.8</v>
      </c>
      <c r="D14" s="149">
        <v>77.48</v>
      </c>
      <c r="E14" s="196">
        <f>IF(D$30=0,C14*2,C14+D14)</f>
        <v>157.28</v>
      </c>
      <c r="F14" s="625">
        <f>'0664'!F14:G14</f>
        <v>1.1220000000000001</v>
      </c>
      <c r="G14" s="625"/>
      <c r="H14" s="153">
        <f>ROUND(E14*F14,4)</f>
        <v>176.4682</v>
      </c>
      <c r="I14" s="112">
        <f>ROUND(ROUND(ROUND(H14*$C$8,4)*($H$8),2)*(MAX($H$9,1)),2)</f>
        <v>947088.25</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10.5</v>
      </c>
      <c r="D15" s="151">
        <v>10</v>
      </c>
      <c r="E15" s="117">
        <f t="shared" ref="E15:E29" si="1">IF(D$30=0,C15*2,C15+D15)</f>
        <v>20.5</v>
      </c>
      <c r="F15" s="622">
        <f>'0664'!F15:G15</f>
        <v>1.1220000000000001</v>
      </c>
      <c r="G15" s="622"/>
      <c r="H15" s="81">
        <f t="shared" ref="H15:H29" si="2">ROUND(E15*F15,4)</f>
        <v>23.001000000000001</v>
      </c>
      <c r="I15" s="102">
        <f t="shared" ref="I15:I29" si="3">ROUND(ROUND(ROUND(H15*$C$8,4)*($H$8),2)*(MAX($H$9,1)),2)</f>
        <v>123444.21</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101.63</v>
      </c>
      <c r="D16" s="151">
        <v>105.36</v>
      </c>
      <c r="E16" s="117">
        <f t="shared" si="1"/>
        <v>206.99</v>
      </c>
      <c r="F16" s="622">
        <f>'0664'!F16:G16</f>
        <v>1</v>
      </c>
      <c r="G16" s="622"/>
      <c r="H16" s="81">
        <f t="shared" si="2"/>
        <v>206.99</v>
      </c>
      <c r="I16" s="102">
        <f t="shared" si="3"/>
        <v>1110895.8899999999</v>
      </c>
      <c r="N16" s="635" t="s">
        <v>22</v>
      </c>
      <c r="O16" s="635"/>
      <c r="P16" s="636">
        <f t="shared" si="0"/>
        <v>0</v>
      </c>
      <c r="Q16" s="636"/>
      <c r="R16" s="637">
        <v>1</v>
      </c>
      <c r="S16" s="637"/>
      <c r="T16" s="96">
        <f t="shared" si="4"/>
        <v>0</v>
      </c>
      <c r="U16" s="97">
        <f t="shared" si="5"/>
        <v>0</v>
      </c>
    </row>
    <row r="17" spans="1:21" x14ac:dyDescent="0.25">
      <c r="A17" s="586" t="s">
        <v>23</v>
      </c>
      <c r="B17" s="586"/>
      <c r="C17" s="151">
        <v>19.5</v>
      </c>
      <c r="D17" s="151">
        <v>19.5</v>
      </c>
      <c r="E17" s="117">
        <f t="shared" si="1"/>
        <v>39</v>
      </c>
      <c r="F17" s="622">
        <f>'0664'!F17:G17</f>
        <v>1</v>
      </c>
      <c r="G17" s="622"/>
      <c r="H17" s="81">
        <f t="shared" si="2"/>
        <v>39</v>
      </c>
      <c r="I17" s="102">
        <f t="shared" si="3"/>
        <v>209309.34</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31.2</v>
      </c>
      <c r="D26" s="151">
        <v>31.98</v>
      </c>
      <c r="E26" s="117">
        <f t="shared" si="1"/>
        <v>63.18</v>
      </c>
      <c r="F26" s="622">
        <f>'0664'!F26:G26</f>
        <v>1.208</v>
      </c>
      <c r="G26" s="622"/>
      <c r="H26" s="81">
        <f t="shared" si="2"/>
        <v>76.321399999999997</v>
      </c>
      <c r="I26" s="102">
        <f t="shared" si="3"/>
        <v>409609.78</v>
      </c>
      <c r="N26" s="635" t="s">
        <v>91</v>
      </c>
      <c r="O26" s="635"/>
      <c r="P26" s="636">
        <f t="shared" si="0"/>
        <v>0</v>
      </c>
      <c r="Q26" s="636"/>
      <c r="R26" s="637">
        <v>1</v>
      </c>
      <c r="S26" s="637"/>
      <c r="T26" s="96">
        <f t="shared" si="4"/>
        <v>0</v>
      </c>
      <c r="U26" s="97">
        <f t="shared" si="5"/>
        <v>0</v>
      </c>
    </row>
    <row r="27" spans="1:21" x14ac:dyDescent="0.25">
      <c r="A27" s="586" t="s">
        <v>92</v>
      </c>
      <c r="B27" s="586"/>
      <c r="C27" s="151">
        <v>12.08</v>
      </c>
      <c r="D27" s="151">
        <v>11.08</v>
      </c>
      <c r="E27" s="117">
        <f t="shared" si="1"/>
        <v>23.16</v>
      </c>
      <c r="F27" s="622">
        <f>'0664'!F27:G27</f>
        <v>1.208</v>
      </c>
      <c r="G27" s="622"/>
      <c r="H27" s="81">
        <f t="shared" si="2"/>
        <v>27.9773</v>
      </c>
      <c r="I27" s="102">
        <f t="shared" si="3"/>
        <v>150151.54</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254.71</v>
      </c>
      <c r="D30" s="95">
        <f>SUM(D14:D29)</f>
        <v>255.4</v>
      </c>
      <c r="E30" s="95">
        <f>SUM(E14:E29)</f>
        <v>510.11</v>
      </c>
      <c r="F30" s="609"/>
      <c r="G30" s="609"/>
      <c r="H30" s="100">
        <f>SUM(H14:H29)</f>
        <v>549.75790000000006</v>
      </c>
      <c r="I30" s="95">
        <f>SUM(I14:I29)</f>
        <v>2950499.01</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549.75790000000006</v>
      </c>
      <c r="F46" s="34"/>
      <c r="G46" s="107"/>
      <c r="H46" s="108" t="s">
        <v>104</v>
      </c>
      <c r="I46" s="95">
        <f>SUM(I44,I30)</f>
        <v>2950499.01</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2950499.01</v>
      </c>
      <c r="G51" s="110" t="s">
        <v>6</v>
      </c>
      <c r="H51" s="425">
        <v>4.5199999999999997E-2</v>
      </c>
      <c r="I51" s="102">
        <f>ROUND(F51*H51,2)</f>
        <v>133362.56</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2950499.01</v>
      </c>
      <c r="G52" s="110" t="s">
        <v>6</v>
      </c>
      <c r="H52" s="425">
        <v>1.41E-2</v>
      </c>
      <c r="I52" s="102">
        <f>ROUND(F52*H52,2)</f>
        <v>41602.04</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174964.6</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510.11</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2.5089999999999999E-3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549.75790000000006</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2.4160000000000002E-3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510.11</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2.7290000000000001E-3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510.11</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2.5119999999999999E-3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510.11</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2.7320000000000001E-3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2.5119999999999999E-3</v>
      </c>
      <c r="I71" s="102">
        <f>ROUND(F71*H71,2)</f>
        <v>112199.83</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2.5089999999999999E-3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2.7320000000000001E-3</v>
      </c>
      <c r="I76" s="102">
        <f>ROUND(F76*H76,2)</f>
        <v>44168.39</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2.7290000000000001E-3</v>
      </c>
      <c r="I78" s="102">
        <f t="shared" ref="I78:I87" si="10">ROUND(F78*H78,2)</f>
        <v>27399.43</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59.5</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59.5</v>
      </c>
      <c r="G83" s="37" t="s">
        <v>6</v>
      </c>
      <c r="H83" s="448">
        <f>'0664'!H83</f>
        <v>1951.26</v>
      </c>
      <c r="I83" s="102">
        <f>ROUND(F83*H83,2)</f>
        <v>116099.97</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2.4160000000000002E-3</v>
      </c>
      <c r="I85" s="102">
        <f t="shared" si="10"/>
        <v>566282.44999999995</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2.4160000000000002E-3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275.79059999999998</v>
      </c>
      <c r="D92" s="597"/>
      <c r="E92" s="47">
        <f>H8</f>
        <v>1.0442</v>
      </c>
      <c r="F92" s="320">
        <f>'0664'!F92</f>
        <v>947.59</v>
      </c>
      <c r="G92" s="39" t="s">
        <v>12</v>
      </c>
      <c r="H92" s="102">
        <f>ROUND(C92*E92*F92,2)</f>
        <v>272887.48</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273.96730000000002</v>
      </c>
      <c r="D93" s="597"/>
      <c r="E93" s="47">
        <f>H8</f>
        <v>1.0442</v>
      </c>
      <c r="F93" s="320">
        <f>'0664'!F93</f>
        <v>904.74</v>
      </c>
      <c r="G93" s="39" t="s">
        <v>12</v>
      </c>
      <c r="H93" s="102">
        <f>ROUND(C93*E93*F93,2)</f>
        <v>258824.99</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549.75790000000006</v>
      </c>
      <c r="D95" s="601"/>
      <c r="E95" s="130"/>
      <c r="F95" s="130"/>
      <c r="G95" s="130"/>
      <c r="H95" s="131" t="s">
        <v>112</v>
      </c>
      <c r="I95" s="102">
        <f>IF(A1=75,0,H94+H93+H92)</f>
        <v>531712.47</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27</v>
      </c>
      <c r="D101" s="151">
        <v>29</v>
      </c>
      <c r="E101" s="117">
        <f>(C101+D101)/2</f>
        <v>28</v>
      </c>
      <c r="F101" s="134" t="s">
        <v>30</v>
      </c>
      <c r="G101" s="321">
        <f>'0664'!G101</f>
        <v>565</v>
      </c>
      <c r="I101" s="102">
        <f>ROUND(G101*E101,2)</f>
        <v>15820</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4539146.1500000004</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4364181.5500000007</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4364181.5500000007</v>
      </c>
      <c r="I123" s="95">
        <f>ROUND(IF(E30=0,0,IF(E30&gt;250,-(((250/E30)*H123)*IF(G123="H",0.02,0.05)),IF(G123="H",-0.02*H123,-0.05*H123))),2)</f>
        <v>-106942.17</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4432203.9800000004</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4432203.9800000004</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369350.33</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111266.91</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T69:U69"/>
    <mergeCell ref="A85:C85"/>
    <mergeCell ref="A74:C74"/>
    <mergeCell ref="N85:P85"/>
    <mergeCell ref="A87:C87"/>
    <mergeCell ref="N87:P87"/>
    <mergeCell ref="C90:D90"/>
    <mergeCell ref="C91:D91"/>
    <mergeCell ref="N91:O91"/>
    <mergeCell ref="P91:Q91"/>
    <mergeCell ref="N74:P74"/>
    <mergeCell ref="R91:U91"/>
    <mergeCell ref="C92:D92"/>
    <mergeCell ref="P92:Q92"/>
    <mergeCell ref="C93:D93"/>
    <mergeCell ref="P93:Q93"/>
    <mergeCell ref="C94:D94"/>
    <mergeCell ref="P94:Q94"/>
    <mergeCell ref="C95:D95"/>
    <mergeCell ref="P95:T95"/>
    <mergeCell ref="A96:I96"/>
    <mergeCell ref="N96:U96"/>
    <mergeCell ref="F98:I98"/>
    <mergeCell ref="N98:P98"/>
    <mergeCell ref="Q98:T98"/>
    <mergeCell ref="A101:B101"/>
    <mergeCell ref="N101:O101"/>
    <mergeCell ref="P101:R101"/>
    <mergeCell ref="A102:B102"/>
    <mergeCell ref="N102:O102"/>
    <mergeCell ref="P102:R102"/>
    <mergeCell ref="N105:U105"/>
    <mergeCell ref="N140:U140"/>
    <mergeCell ref="N120:U120"/>
    <mergeCell ref="N114:P114"/>
    <mergeCell ref="A114:C114"/>
    <mergeCell ref="F114:H114"/>
    <mergeCell ref="N115:T115"/>
    <mergeCell ref="A116:H116"/>
    <mergeCell ref="A111:B111"/>
    <mergeCell ref="F111:G111"/>
    <mergeCell ref="N111:O111"/>
    <mergeCell ref="P111:Q111"/>
    <mergeCell ref="A112:B112"/>
    <mergeCell ref="N112:O112"/>
    <mergeCell ref="A12:B12"/>
    <mergeCell ref="A120:G120"/>
    <mergeCell ref="N121:U121"/>
    <mergeCell ref="A121:G121"/>
    <mergeCell ref="R111:S111"/>
    <mergeCell ref="A109:B109"/>
    <mergeCell ref="F109:G109"/>
    <mergeCell ref="N109:O109"/>
    <mergeCell ref="A110:B110"/>
    <mergeCell ref="F110:G110"/>
    <mergeCell ref="N110:O110"/>
    <mergeCell ref="P110:Q110"/>
    <mergeCell ref="R110:S110"/>
    <mergeCell ref="C106:E106"/>
    <mergeCell ref="F107:G107"/>
    <mergeCell ref="A108:B108"/>
    <mergeCell ref="F108:G108"/>
    <mergeCell ref="N108:O108"/>
    <mergeCell ref="P108:Q108"/>
    <mergeCell ref="R108:S108"/>
    <mergeCell ref="P109:Q109"/>
    <mergeCell ref="R109:S109"/>
    <mergeCell ref="A105:C105"/>
    <mergeCell ref="F105:I105"/>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CCCC"/>
  </sheetPr>
  <dimension ref="A1:V209"/>
  <sheetViews>
    <sheetView showGridLines="0" zoomScaleNormal="100" workbookViewId="0">
      <pane ySplit="1" topLeftCell="A96"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134</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0</v>
      </c>
      <c r="D16" s="151">
        <v>0</v>
      </c>
      <c r="E16" s="117">
        <f t="shared" si="1"/>
        <v>0</v>
      </c>
      <c r="F16" s="622">
        <f>'0664'!F16:G16</f>
        <v>1</v>
      </c>
      <c r="G16" s="622"/>
      <c r="H16" s="81">
        <f t="shared" si="2"/>
        <v>0</v>
      </c>
      <c r="I16" s="102">
        <f t="shared" si="3"/>
        <v>0</v>
      </c>
      <c r="N16" s="635" t="s">
        <v>22</v>
      </c>
      <c r="O16" s="635"/>
      <c r="P16" s="636">
        <f t="shared" si="0"/>
        <v>0</v>
      </c>
      <c r="Q16" s="636"/>
      <c r="R16" s="637">
        <v>1</v>
      </c>
      <c r="S16" s="637"/>
      <c r="T16" s="96">
        <f t="shared" si="4"/>
        <v>0</v>
      </c>
      <c r="U16" s="97">
        <f t="shared" si="5"/>
        <v>0</v>
      </c>
    </row>
    <row r="17" spans="1:21" x14ac:dyDescent="0.25">
      <c r="A17" s="586" t="s">
        <v>23</v>
      </c>
      <c r="B17" s="586"/>
      <c r="C17" s="151">
        <v>0</v>
      </c>
      <c r="D17" s="151">
        <v>0</v>
      </c>
      <c r="E17" s="117">
        <f t="shared" si="1"/>
        <v>0</v>
      </c>
      <c r="F17" s="622">
        <f>'0664'!F17:G17</f>
        <v>1</v>
      </c>
      <c r="G17" s="622"/>
      <c r="H17" s="81">
        <f t="shared" si="2"/>
        <v>0</v>
      </c>
      <c r="I17" s="102">
        <f t="shared" si="3"/>
        <v>0</v>
      </c>
      <c r="J17" s="66"/>
      <c r="N17" s="635" t="s">
        <v>23</v>
      </c>
      <c r="O17" s="635"/>
      <c r="P17" s="636">
        <f t="shared" si="0"/>
        <v>0</v>
      </c>
      <c r="Q17" s="636"/>
      <c r="R17" s="637">
        <v>1</v>
      </c>
      <c r="S17" s="637"/>
      <c r="T17" s="96">
        <f t="shared" si="4"/>
        <v>0</v>
      </c>
      <c r="U17" s="97">
        <f t="shared" si="5"/>
        <v>0</v>
      </c>
    </row>
    <row r="18" spans="1:21" x14ac:dyDescent="0.25">
      <c r="A18" s="586" t="s">
        <v>24</v>
      </c>
      <c r="B18" s="586"/>
      <c r="C18" s="151">
        <v>295.82</v>
      </c>
      <c r="D18" s="151">
        <v>282.86</v>
      </c>
      <c r="E18" s="117">
        <f t="shared" si="1"/>
        <v>578.68000000000006</v>
      </c>
      <c r="F18" s="622">
        <f>'0664'!F18:G18</f>
        <v>0.98799999999999999</v>
      </c>
      <c r="G18" s="622"/>
      <c r="H18" s="81">
        <f t="shared" si="2"/>
        <v>571.73580000000004</v>
      </c>
      <c r="I18" s="102">
        <f t="shared" si="3"/>
        <v>3068452.33</v>
      </c>
      <c r="N18" s="635" t="s">
        <v>24</v>
      </c>
      <c r="O18" s="635"/>
      <c r="P18" s="636">
        <f t="shared" si="0"/>
        <v>0</v>
      </c>
      <c r="Q18" s="636"/>
      <c r="R18" s="637">
        <v>1</v>
      </c>
      <c r="S18" s="637"/>
      <c r="T18" s="96">
        <f t="shared" si="4"/>
        <v>0</v>
      </c>
      <c r="U18" s="97">
        <f t="shared" si="5"/>
        <v>0</v>
      </c>
    </row>
    <row r="19" spans="1:21" x14ac:dyDescent="0.25">
      <c r="A19" s="586" t="s">
        <v>25</v>
      </c>
      <c r="B19" s="586"/>
      <c r="C19" s="151">
        <v>41.5</v>
      </c>
      <c r="D19" s="151">
        <v>42.4</v>
      </c>
      <c r="E19" s="117">
        <f t="shared" si="1"/>
        <v>83.9</v>
      </c>
      <c r="F19" s="622">
        <f>'0664'!F19:G19</f>
        <v>0.98799999999999999</v>
      </c>
      <c r="G19" s="622"/>
      <c r="H19" s="81">
        <f t="shared" si="2"/>
        <v>82.893199999999993</v>
      </c>
      <c r="I19" s="102">
        <f t="shared" si="3"/>
        <v>444880.02</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0</v>
      </c>
      <c r="D27" s="151">
        <v>0</v>
      </c>
      <c r="E27" s="117">
        <f t="shared" si="1"/>
        <v>0</v>
      </c>
      <c r="F27" s="622">
        <f>'0664'!F27:G27</f>
        <v>1.208</v>
      </c>
      <c r="G27" s="622"/>
      <c r="H27" s="81">
        <f t="shared" si="2"/>
        <v>0</v>
      </c>
      <c r="I27" s="102">
        <f t="shared" si="3"/>
        <v>0</v>
      </c>
      <c r="N27" s="635" t="s">
        <v>92</v>
      </c>
      <c r="O27" s="635"/>
      <c r="P27" s="636">
        <f t="shared" si="0"/>
        <v>0</v>
      </c>
      <c r="Q27" s="636"/>
      <c r="R27" s="637">
        <v>1</v>
      </c>
      <c r="S27" s="637"/>
      <c r="T27" s="96">
        <f t="shared" si="4"/>
        <v>0</v>
      </c>
      <c r="U27" s="97">
        <f t="shared" si="5"/>
        <v>0</v>
      </c>
    </row>
    <row r="28" spans="1:21" x14ac:dyDescent="0.25">
      <c r="A28" s="586" t="s">
        <v>93</v>
      </c>
      <c r="B28" s="586"/>
      <c r="C28" s="151">
        <v>4.91</v>
      </c>
      <c r="D28" s="151">
        <v>7.27</v>
      </c>
      <c r="E28" s="117">
        <f t="shared" si="1"/>
        <v>12.18</v>
      </c>
      <c r="F28" s="622">
        <f>'0664'!F28:G28</f>
        <v>1.208</v>
      </c>
      <c r="G28" s="622"/>
      <c r="H28" s="81">
        <f t="shared" si="2"/>
        <v>14.7134</v>
      </c>
      <c r="I28" s="102">
        <f t="shared" si="3"/>
        <v>78965.440000000002</v>
      </c>
      <c r="N28" s="635" t="s">
        <v>93</v>
      </c>
      <c r="O28" s="635"/>
      <c r="P28" s="636">
        <f t="shared" si="0"/>
        <v>0</v>
      </c>
      <c r="Q28" s="636"/>
      <c r="R28" s="637">
        <v>1</v>
      </c>
      <c r="S28" s="637"/>
      <c r="T28" s="96">
        <f t="shared" si="4"/>
        <v>0</v>
      </c>
      <c r="U28" s="97">
        <f t="shared" si="5"/>
        <v>0</v>
      </c>
    </row>
    <row r="29" spans="1:21" x14ac:dyDescent="0.25">
      <c r="A29" s="586" t="s">
        <v>94</v>
      </c>
      <c r="B29" s="586"/>
      <c r="C29" s="111">
        <v>32.79</v>
      </c>
      <c r="D29" s="111">
        <v>31.55</v>
      </c>
      <c r="E29" s="117">
        <f t="shared" si="1"/>
        <v>64.34</v>
      </c>
      <c r="F29" s="622">
        <f>'0664'!F29:G29</f>
        <v>1.0720000000000001</v>
      </c>
      <c r="G29" s="622"/>
      <c r="H29" s="94">
        <f t="shared" si="2"/>
        <v>68.972499999999997</v>
      </c>
      <c r="I29" s="95">
        <f t="shared" si="3"/>
        <v>370168.93</v>
      </c>
      <c r="N29" s="652" t="s">
        <v>94</v>
      </c>
      <c r="O29" s="652"/>
      <c r="P29" s="636">
        <f t="shared" si="0"/>
        <v>0</v>
      </c>
      <c r="Q29" s="636"/>
      <c r="R29" s="653">
        <v>1</v>
      </c>
      <c r="S29" s="653"/>
      <c r="T29" s="96">
        <f t="shared" si="4"/>
        <v>0</v>
      </c>
      <c r="U29" s="97">
        <f t="shared" si="5"/>
        <v>0</v>
      </c>
    </row>
    <row r="30" spans="1:21" x14ac:dyDescent="0.25">
      <c r="A30" s="584" t="s">
        <v>5</v>
      </c>
      <c r="B30" s="584"/>
      <c r="C30" s="95">
        <f>SUM(C14:C29)</f>
        <v>375.02000000000004</v>
      </c>
      <c r="D30" s="95">
        <f>SUM(D14:D29)</f>
        <v>364.08</v>
      </c>
      <c r="E30" s="98">
        <f>SUM(E14:E29)</f>
        <v>739.1</v>
      </c>
      <c r="F30" s="609"/>
      <c r="G30" s="609"/>
      <c r="H30" s="100">
        <f>SUM(H14:H29)</f>
        <v>738.31489999999997</v>
      </c>
      <c r="I30" s="95">
        <f>SUM(I14:I29)</f>
        <v>3962466.72</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738.31489999999997</v>
      </c>
      <c r="F46" s="34"/>
      <c r="G46" s="107"/>
      <c r="H46" s="108" t="s">
        <v>104</v>
      </c>
      <c r="I46" s="95">
        <f>SUM(I44,I30)</f>
        <v>3962466.72</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3962466.72</v>
      </c>
      <c r="G51" s="110" t="s">
        <v>6</v>
      </c>
      <c r="H51" s="425">
        <v>4.5199999999999997E-2</v>
      </c>
      <c r="I51" s="102">
        <f>ROUND(F51*H51,2)</f>
        <v>179103.5</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3962466.72</v>
      </c>
      <c r="G52" s="110" t="s">
        <v>6</v>
      </c>
      <c r="H52" s="425">
        <v>1.41E-2</v>
      </c>
      <c r="I52" s="102">
        <f>ROUND(F52*H52,2)</f>
        <v>55870.78</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234974.28</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739.1</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3.6350000000000002E-3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738.31489999999997</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3.2450000000000001E-3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739.1</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3.954E-3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739.1</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3.6389999999999999E-3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739.1</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3.9589999999999998E-3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3.6389999999999999E-3</v>
      </c>
      <c r="I71" s="102">
        <f>ROUND(F71*H71,2)</f>
        <v>162537.89000000001</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3.6350000000000002E-3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3.9589999999999998E-3</v>
      </c>
      <c r="I76" s="102">
        <f>ROUND(F76*H76,2)</f>
        <v>64005.36</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3.954E-3</v>
      </c>
      <c r="I78" s="102">
        <f t="shared" ref="I78:I87" si="10">ROUND(F78*H78,2)</f>
        <v>39698.550000000003</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83.9</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83.9</v>
      </c>
      <c r="G83" s="37" t="s">
        <v>6</v>
      </c>
      <c r="H83" s="448">
        <f>'0664'!H83</f>
        <v>1951.26</v>
      </c>
      <c r="I83" s="102">
        <f>ROUND(F83*H83,2)</f>
        <v>163710.71</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3.2450000000000001E-3</v>
      </c>
      <c r="I85" s="102">
        <f t="shared" si="10"/>
        <v>760590.46</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3.2450000000000001E-3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0</v>
      </c>
      <c r="D92" s="597"/>
      <c r="E92" s="47">
        <f>H8</f>
        <v>1.0442</v>
      </c>
      <c r="F92" s="320">
        <f>'0664'!F92</f>
        <v>947.59</v>
      </c>
      <c r="G92" s="39" t="s">
        <v>12</v>
      </c>
      <c r="H92" s="102">
        <f>ROUND(C92*E92*F92,2)</f>
        <v>0</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0</v>
      </c>
      <c r="D93" s="597"/>
      <c r="E93" s="47">
        <f>H8</f>
        <v>1.0442</v>
      </c>
      <c r="F93" s="320">
        <f>'0664'!F93</f>
        <v>904.74</v>
      </c>
      <c r="G93" s="39" t="s">
        <v>12</v>
      </c>
      <c r="H93" s="102">
        <f>ROUND(C93*E93*F93,2)</f>
        <v>0</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738.31489999999997</v>
      </c>
      <c r="D94" s="597"/>
      <c r="E94" s="47">
        <f>H8</f>
        <v>1.0442</v>
      </c>
      <c r="F94" s="320">
        <f>'0664'!F94</f>
        <v>906.93</v>
      </c>
      <c r="G94" s="39" t="s">
        <v>12</v>
      </c>
      <c r="H94" s="95">
        <f>ROUND(C94*E94*F94,2)</f>
        <v>699196.25</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738.31489999999997</v>
      </c>
      <c r="D95" s="601"/>
      <c r="E95" s="130"/>
      <c r="F95" s="130"/>
      <c r="G95" s="130"/>
      <c r="H95" s="131" t="s">
        <v>112</v>
      </c>
      <c r="I95" s="102">
        <f>IF(A1=75,0,H94+H93+H92)</f>
        <v>699196.25</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274</v>
      </c>
      <c r="D101" s="151">
        <v>266</v>
      </c>
      <c r="E101" s="117">
        <f>(C101+D101)/2</f>
        <v>270</v>
      </c>
      <c r="F101" s="134" t="s">
        <v>30</v>
      </c>
      <c r="G101" s="321">
        <f>'0664'!G101</f>
        <v>565</v>
      </c>
      <c r="I101" s="102">
        <f>ROUND(G101*E101,2)</f>
        <v>152550</v>
      </c>
      <c r="N101" s="684" t="s">
        <v>54</v>
      </c>
      <c r="O101" s="684"/>
      <c r="P101" s="672">
        <f>IF(H121=1,E101,0)</f>
        <v>0</v>
      </c>
      <c r="Q101" s="672"/>
      <c r="R101" s="672"/>
      <c r="S101" s="84" t="s">
        <v>30</v>
      </c>
      <c r="T101" s="59">
        <f>G101</f>
        <v>565</v>
      </c>
      <c r="U101" s="97">
        <f>ROUND(T101*P101,0)</f>
        <v>0</v>
      </c>
    </row>
    <row r="102" spans="1:21" x14ac:dyDescent="0.25">
      <c r="A102" s="590" t="s">
        <v>436</v>
      </c>
      <c r="B102" s="596"/>
      <c r="C102" s="151">
        <v>1</v>
      </c>
      <c r="D102" s="151">
        <v>0</v>
      </c>
      <c r="E102" s="117">
        <f>(C102+D102)/2</f>
        <v>0.5</v>
      </c>
      <c r="F102" s="134" t="s">
        <v>30</v>
      </c>
      <c r="G102" s="321">
        <f>'0664'!G102</f>
        <v>1762</v>
      </c>
      <c r="I102" s="102">
        <f>ROUND(G102*E102,2)</f>
        <v>881</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6240611.2199999997</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6005636.9399999995</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1"/>
      <c r="H123" s="147">
        <f>IF(H121=1,I121,I118)</f>
        <v>6005636.9399999995</v>
      </c>
      <c r="I123" s="95">
        <f>ROUND(IF(E30=0,0,IF(E30&gt;250,-(((250/E30)*H123)*IF(G123="H",0.02,0.05)),IF(G123="H",-0.02*H123,-0.05*H123))),2)</f>
        <v>-101570.1</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6139041.1200000001</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6139041.1200000001</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511586.76</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198711.75</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T69:U69"/>
    <mergeCell ref="A85:C85"/>
    <mergeCell ref="A74:C74"/>
    <mergeCell ref="N85:P85"/>
    <mergeCell ref="A87:C87"/>
    <mergeCell ref="N87:P87"/>
    <mergeCell ref="C90:D90"/>
    <mergeCell ref="C91:D91"/>
    <mergeCell ref="N91:O91"/>
    <mergeCell ref="P91:Q91"/>
    <mergeCell ref="N74:P74"/>
    <mergeCell ref="R91:U91"/>
    <mergeCell ref="C92:D92"/>
    <mergeCell ref="P92:Q92"/>
    <mergeCell ref="C93:D93"/>
    <mergeCell ref="P93:Q93"/>
    <mergeCell ref="C94:D94"/>
    <mergeCell ref="P94:Q94"/>
    <mergeCell ref="C95:D95"/>
    <mergeCell ref="P95:T95"/>
    <mergeCell ref="A96:I96"/>
    <mergeCell ref="N96:U96"/>
    <mergeCell ref="F98:I98"/>
    <mergeCell ref="N98:P98"/>
    <mergeCell ref="Q98:T98"/>
    <mergeCell ref="A101:B101"/>
    <mergeCell ref="N101:O101"/>
    <mergeCell ref="P101:R101"/>
    <mergeCell ref="A102:B102"/>
    <mergeCell ref="N102:O102"/>
    <mergeCell ref="P102:R102"/>
    <mergeCell ref="N105:U105"/>
    <mergeCell ref="N140:U140"/>
    <mergeCell ref="N120:U120"/>
    <mergeCell ref="N114:P114"/>
    <mergeCell ref="A114:C114"/>
    <mergeCell ref="F114:H114"/>
    <mergeCell ref="N115:T115"/>
    <mergeCell ref="A116:H116"/>
    <mergeCell ref="A111:B111"/>
    <mergeCell ref="F111:G111"/>
    <mergeCell ref="N111:O111"/>
    <mergeCell ref="P111:Q111"/>
    <mergeCell ref="A112:B112"/>
    <mergeCell ref="N112:O112"/>
    <mergeCell ref="A12:B12"/>
    <mergeCell ref="A120:G120"/>
    <mergeCell ref="N121:U121"/>
    <mergeCell ref="A121:G121"/>
    <mergeCell ref="R111:S111"/>
    <mergeCell ref="A109:B109"/>
    <mergeCell ref="F109:G109"/>
    <mergeCell ref="N109:O109"/>
    <mergeCell ref="A110:B110"/>
    <mergeCell ref="F110:G110"/>
    <mergeCell ref="N110:O110"/>
    <mergeCell ref="P110:Q110"/>
    <mergeCell ref="R110:S110"/>
    <mergeCell ref="C106:E106"/>
    <mergeCell ref="F107:G107"/>
    <mergeCell ref="A108:B108"/>
    <mergeCell ref="F108:G108"/>
    <mergeCell ref="N108:O108"/>
    <mergeCell ref="P108:Q108"/>
    <mergeCell ref="R108:S108"/>
    <mergeCell ref="P109:Q109"/>
    <mergeCell ref="R109:S109"/>
    <mergeCell ref="A105:C105"/>
    <mergeCell ref="F105:I105"/>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CCC"/>
  </sheetPr>
  <dimension ref="A1:V209"/>
  <sheetViews>
    <sheetView showGridLines="0" zoomScaleNormal="100" workbookViewId="0">
      <pane ySplit="1" topLeftCell="A123"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135</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5.5</v>
      </c>
      <c r="D16" s="151">
        <v>3.5</v>
      </c>
      <c r="E16" s="117">
        <f t="shared" si="1"/>
        <v>9</v>
      </c>
      <c r="F16" s="622">
        <f>'0664'!F16:G16</f>
        <v>1</v>
      </c>
      <c r="G16" s="622"/>
      <c r="H16" s="81">
        <f t="shared" si="2"/>
        <v>9</v>
      </c>
      <c r="I16" s="102">
        <f t="shared" si="3"/>
        <v>48302.15</v>
      </c>
      <c r="N16" s="635" t="s">
        <v>22</v>
      </c>
      <c r="O16" s="635"/>
      <c r="P16" s="636">
        <f t="shared" si="0"/>
        <v>0</v>
      </c>
      <c r="Q16" s="636"/>
      <c r="R16" s="637">
        <v>1</v>
      </c>
      <c r="S16" s="637"/>
      <c r="T16" s="96">
        <f t="shared" si="4"/>
        <v>0</v>
      </c>
      <c r="U16" s="97">
        <f t="shared" si="5"/>
        <v>0</v>
      </c>
    </row>
    <row r="17" spans="1:21" x14ac:dyDescent="0.25">
      <c r="A17" s="586" t="s">
        <v>23</v>
      </c>
      <c r="B17" s="586"/>
      <c r="C17" s="151">
        <v>1.5</v>
      </c>
      <c r="D17" s="151">
        <v>2</v>
      </c>
      <c r="E17" s="117">
        <f t="shared" si="1"/>
        <v>3.5</v>
      </c>
      <c r="F17" s="622">
        <f>'0664'!F17:G17</f>
        <v>1</v>
      </c>
      <c r="G17" s="622"/>
      <c r="H17" s="81">
        <f t="shared" si="2"/>
        <v>3.5</v>
      </c>
      <c r="I17" s="102">
        <f t="shared" si="3"/>
        <v>18784.169999999998</v>
      </c>
      <c r="J17" s="66"/>
      <c r="N17" s="635" t="s">
        <v>23</v>
      </c>
      <c r="O17" s="635"/>
      <c r="P17" s="636">
        <f t="shared" si="0"/>
        <v>0</v>
      </c>
      <c r="Q17" s="636"/>
      <c r="R17" s="637">
        <v>1</v>
      </c>
      <c r="S17" s="637"/>
      <c r="T17" s="96">
        <f t="shared" si="4"/>
        <v>0</v>
      </c>
      <c r="U17" s="97">
        <f t="shared" si="5"/>
        <v>0</v>
      </c>
    </row>
    <row r="18" spans="1:21" x14ac:dyDescent="0.25">
      <c r="A18" s="586" t="s">
        <v>24</v>
      </c>
      <c r="B18" s="586"/>
      <c r="C18" s="151">
        <v>48.5</v>
      </c>
      <c r="D18" s="151">
        <v>48.19</v>
      </c>
      <c r="E18" s="117">
        <f t="shared" si="1"/>
        <v>96.69</v>
      </c>
      <c r="F18" s="622">
        <f>'0664'!F18:G18</f>
        <v>0.98799999999999999</v>
      </c>
      <c r="G18" s="622"/>
      <c r="H18" s="81">
        <f t="shared" si="2"/>
        <v>95.529700000000005</v>
      </c>
      <c r="I18" s="102">
        <f t="shared" si="3"/>
        <v>512698.93</v>
      </c>
      <c r="N18" s="635" t="s">
        <v>24</v>
      </c>
      <c r="O18" s="635"/>
      <c r="P18" s="636">
        <f t="shared" si="0"/>
        <v>0</v>
      </c>
      <c r="Q18" s="636"/>
      <c r="R18" s="637">
        <v>1</v>
      </c>
      <c r="S18" s="637"/>
      <c r="T18" s="96">
        <f t="shared" si="4"/>
        <v>0</v>
      </c>
      <c r="U18" s="97">
        <f t="shared" si="5"/>
        <v>0</v>
      </c>
    </row>
    <row r="19" spans="1:21" x14ac:dyDescent="0.25">
      <c r="A19" s="586" t="s">
        <v>25</v>
      </c>
      <c r="B19" s="586"/>
      <c r="C19" s="151">
        <v>12.44</v>
      </c>
      <c r="D19" s="151">
        <v>13.96</v>
      </c>
      <c r="E19" s="117">
        <f t="shared" si="1"/>
        <v>26.4</v>
      </c>
      <c r="F19" s="622">
        <f>'0664'!F19:G19</f>
        <v>0.98799999999999999</v>
      </c>
      <c r="G19" s="622"/>
      <c r="H19" s="81">
        <f t="shared" si="2"/>
        <v>26.083200000000001</v>
      </c>
      <c r="I19" s="102">
        <f t="shared" si="3"/>
        <v>139986.07999999999</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0</v>
      </c>
      <c r="D27" s="151">
        <v>0</v>
      </c>
      <c r="E27" s="117">
        <f t="shared" si="1"/>
        <v>0</v>
      </c>
      <c r="F27" s="622">
        <f>'0664'!F27:G27</f>
        <v>1.208</v>
      </c>
      <c r="G27" s="622"/>
      <c r="H27" s="81">
        <f t="shared" si="2"/>
        <v>0</v>
      </c>
      <c r="I27" s="102">
        <f t="shared" si="3"/>
        <v>0</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17">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67.94</v>
      </c>
      <c r="D30" s="95">
        <f>SUM(D14:D29)</f>
        <v>67.650000000000006</v>
      </c>
      <c r="E30" s="98">
        <f>SUM(E14:E29)</f>
        <v>135.59</v>
      </c>
      <c r="F30" s="609"/>
      <c r="G30" s="609"/>
      <c r="H30" s="100">
        <f>SUM(H14:H29)</f>
        <v>134.1129</v>
      </c>
      <c r="I30" s="95">
        <f>SUM(I14:I29)</f>
        <v>719771.33</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134.1129</v>
      </c>
      <c r="F46" s="34"/>
      <c r="G46" s="107"/>
      <c r="H46" s="108" t="s">
        <v>104</v>
      </c>
      <c r="I46" s="95">
        <f>SUM(I44,I30)</f>
        <v>719771.33</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719771.33</v>
      </c>
      <c r="G51" s="110" t="s">
        <v>6</v>
      </c>
      <c r="H51" s="425">
        <v>4.5199999999999997E-2</v>
      </c>
      <c r="I51" s="102">
        <f>ROUND(F51*H51,2)</f>
        <v>32533.66</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719771.33</v>
      </c>
      <c r="G52" s="110" t="s">
        <v>6</v>
      </c>
      <c r="H52" s="425">
        <v>1.41E-2</v>
      </c>
      <c r="I52" s="102">
        <f>ROUND(F52*H52,2)</f>
        <v>10148.780000000001</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42682.44</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135.59</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6.6699999999999995E-4</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134.1129</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5.8900000000000001E-4</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135.59</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7.2499999999999995E-4</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135.59</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6.6799999999999997E-4</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135.59</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7.2599999999999997E-4</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6.6799999999999997E-4</v>
      </c>
      <c r="I71" s="102">
        <f>ROUND(F71*H71,2)</f>
        <v>29836.58</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6.6699999999999995E-4</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7.2599999999999997E-4</v>
      </c>
      <c r="I76" s="102">
        <f>ROUND(F76*H76,2)</f>
        <v>11737.28</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7.2499999999999995E-4</v>
      </c>
      <c r="I78" s="102">
        <f t="shared" ref="I78:I87" si="10">ROUND(F78*H78,2)</f>
        <v>7279.07</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29.9</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29.9</v>
      </c>
      <c r="G83" s="37" t="s">
        <v>6</v>
      </c>
      <c r="H83" s="448">
        <f>'0664'!H83</f>
        <v>1951.26</v>
      </c>
      <c r="I83" s="102">
        <f>ROUND(F83*H83,2)</f>
        <v>58342.67</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5.8900000000000001E-4</v>
      </c>
      <c r="I85" s="102">
        <f t="shared" si="10"/>
        <v>138054.79</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5.8900000000000001E-4</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0</v>
      </c>
      <c r="D92" s="597"/>
      <c r="E92" s="47">
        <f>H8</f>
        <v>1.0442</v>
      </c>
      <c r="F92" s="320">
        <f>'0664'!F92</f>
        <v>947.59</v>
      </c>
      <c r="G92" s="39" t="s">
        <v>12</v>
      </c>
      <c r="H92" s="102">
        <f>ROUND(C92*E92*F92,2)</f>
        <v>0</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12.5</v>
      </c>
      <c r="D93" s="597"/>
      <c r="E93" s="47">
        <f>H8</f>
        <v>1.0442</v>
      </c>
      <c r="F93" s="320">
        <f>'0664'!F93</f>
        <v>904.74</v>
      </c>
      <c r="G93" s="39" t="s">
        <v>12</v>
      </c>
      <c r="H93" s="102">
        <f>ROUND(C93*E93*F93,2)</f>
        <v>11809.12</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121.61290000000001</v>
      </c>
      <c r="D94" s="597"/>
      <c r="E94" s="47">
        <f>H8</f>
        <v>1.0442</v>
      </c>
      <c r="F94" s="320">
        <f>'0664'!F94</f>
        <v>906.93</v>
      </c>
      <c r="G94" s="39" t="s">
        <v>12</v>
      </c>
      <c r="H94" s="95">
        <f>ROUND(C94*E94*F94,2)</f>
        <v>115169.4</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134.11290000000002</v>
      </c>
      <c r="D95" s="601"/>
      <c r="E95" s="130"/>
      <c r="F95" s="130"/>
      <c r="G95" s="130"/>
      <c r="H95" s="131" t="s">
        <v>112</v>
      </c>
      <c r="I95" s="102">
        <f>IF(A1=75,0,H94+H93+H92)</f>
        <v>126978.51999999999</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82</v>
      </c>
      <c r="D101" s="151">
        <v>103</v>
      </c>
      <c r="E101" s="117">
        <f>(C101+D101)/2</f>
        <v>92.5</v>
      </c>
      <c r="F101" s="134" t="s">
        <v>30</v>
      </c>
      <c r="G101" s="321">
        <f>'0664'!G101</f>
        <v>565</v>
      </c>
      <c r="I101" s="102">
        <f>ROUND(G101*E101,2)</f>
        <v>52262.5</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1186945.18</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1144262.74</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1144262.74</v>
      </c>
      <c r="I123" s="95">
        <f>ROUND(IF(E30=0,0,IF(E30&gt;250,-(((250/E30)*H123)*IF(G123="H",0.02,0.05)),IF(G123="H",-0.02*H123,-0.05*H123))),2)</f>
        <v>-57213.14</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1129732.04</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1129732.04</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94144.34</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0</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CCC"/>
  </sheetPr>
  <dimension ref="A1:V209"/>
  <sheetViews>
    <sheetView showGridLines="0" zoomScaleNormal="100" workbookViewId="0">
      <pane ySplit="1" topLeftCell="A95"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127</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0</v>
      </c>
      <c r="D16" s="151">
        <v>0</v>
      </c>
      <c r="E16" s="117">
        <f t="shared" si="1"/>
        <v>0</v>
      </c>
      <c r="F16" s="622">
        <f>'0664'!F16:G16</f>
        <v>1</v>
      </c>
      <c r="G16" s="622"/>
      <c r="H16" s="81">
        <f t="shared" si="2"/>
        <v>0</v>
      </c>
      <c r="I16" s="102">
        <f t="shared" si="3"/>
        <v>0</v>
      </c>
      <c r="N16" s="635" t="s">
        <v>22</v>
      </c>
      <c r="O16" s="635"/>
      <c r="P16" s="636">
        <f t="shared" si="0"/>
        <v>0</v>
      </c>
      <c r="Q16" s="636"/>
      <c r="R16" s="637">
        <v>1</v>
      </c>
      <c r="S16" s="637"/>
      <c r="T16" s="96">
        <f t="shared" si="4"/>
        <v>0</v>
      </c>
      <c r="U16" s="97">
        <f t="shared" si="5"/>
        <v>0</v>
      </c>
    </row>
    <row r="17" spans="1:21" x14ac:dyDescent="0.25">
      <c r="A17" s="586" t="s">
        <v>23</v>
      </c>
      <c r="B17" s="586"/>
      <c r="C17" s="151">
        <v>0</v>
      </c>
      <c r="D17" s="151">
        <v>0</v>
      </c>
      <c r="E17" s="117">
        <f t="shared" si="1"/>
        <v>0</v>
      </c>
      <c r="F17" s="622">
        <f>'0664'!F17:G17</f>
        <v>1</v>
      </c>
      <c r="G17" s="622"/>
      <c r="H17" s="81">
        <f t="shared" si="2"/>
        <v>0</v>
      </c>
      <c r="I17" s="102">
        <f t="shared" si="3"/>
        <v>0</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46.93</v>
      </c>
      <c r="D19" s="151">
        <v>48.44</v>
      </c>
      <c r="E19" s="117">
        <f t="shared" si="1"/>
        <v>95.37</v>
      </c>
      <c r="F19" s="622">
        <f>'0664'!F19:G19</f>
        <v>0.98799999999999999</v>
      </c>
      <c r="G19" s="622"/>
      <c r="H19" s="81">
        <f t="shared" si="2"/>
        <v>94.2256</v>
      </c>
      <c r="I19" s="102">
        <f t="shared" si="3"/>
        <v>505699.94</v>
      </c>
      <c r="J19" s="66"/>
      <c r="N19" s="635" t="s">
        <v>25</v>
      </c>
      <c r="O19" s="635"/>
      <c r="P19" s="636">
        <f t="shared" si="0"/>
        <v>95.37</v>
      </c>
      <c r="Q19" s="636"/>
      <c r="R19" s="637">
        <v>1</v>
      </c>
      <c r="S19" s="637"/>
      <c r="T19" s="96">
        <f t="shared" si="4"/>
        <v>95.37</v>
      </c>
      <c r="U19" s="99">
        <f t="shared" si="5"/>
        <v>511841.83</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0</v>
      </c>
      <c r="D27" s="151">
        <v>0</v>
      </c>
      <c r="E27" s="117">
        <f t="shared" si="1"/>
        <v>0</v>
      </c>
      <c r="F27" s="622">
        <f>'0664'!F27:G27</f>
        <v>1.208</v>
      </c>
      <c r="G27" s="622"/>
      <c r="H27" s="81">
        <f t="shared" si="2"/>
        <v>0</v>
      </c>
      <c r="I27" s="102">
        <f t="shared" si="3"/>
        <v>0</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46.93</v>
      </c>
      <c r="D30" s="95">
        <f>SUM(D14:D29)</f>
        <v>48.44</v>
      </c>
      <c r="E30" s="95">
        <f>SUM(E14:E29)</f>
        <v>95.37</v>
      </c>
      <c r="F30" s="609"/>
      <c r="G30" s="609"/>
      <c r="H30" s="100">
        <f>SUM(H14:H29)</f>
        <v>94.2256</v>
      </c>
      <c r="I30" s="95">
        <f>SUM(I14:I29)</f>
        <v>505699.94</v>
      </c>
      <c r="N30" s="654" t="s">
        <v>5</v>
      </c>
      <c r="O30" s="654"/>
      <c r="P30" s="655">
        <f>SUM(P14:P29)</f>
        <v>95.37</v>
      </c>
      <c r="Q30" s="655"/>
      <c r="R30" s="656"/>
      <c r="S30" s="656"/>
      <c r="T30" s="101">
        <f>SUM(T14:T29)</f>
        <v>95.37</v>
      </c>
      <c r="U30" s="97">
        <f>SUM(U14:U29)</f>
        <v>511841.83</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94.2256</v>
      </c>
      <c r="F46" s="34"/>
      <c r="G46" s="107"/>
      <c r="H46" s="108" t="s">
        <v>104</v>
      </c>
      <c r="I46" s="95">
        <f>SUM(I44,I30)</f>
        <v>505699.94</v>
      </c>
      <c r="N46" s="680" t="s">
        <v>44</v>
      </c>
      <c r="O46" s="680"/>
      <c r="P46" s="680"/>
      <c r="Q46" s="680"/>
      <c r="R46" s="35">
        <f>R44+T30</f>
        <v>95.37</v>
      </c>
      <c r="S46" s="656" t="s">
        <v>42</v>
      </c>
      <c r="T46" s="656"/>
      <c r="U46" s="109">
        <f>SUM(U44,U30)</f>
        <v>511841.83</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505699.94</v>
      </c>
      <c r="G51" s="110" t="s">
        <v>6</v>
      </c>
      <c r="H51" s="425">
        <v>4.5199999999999997E-2</v>
      </c>
      <c r="I51" s="102">
        <f>ROUND(F51*H51,2)</f>
        <v>22857.64</v>
      </c>
      <c r="N51" s="430"/>
      <c r="O51" s="431" t="s">
        <v>456</v>
      </c>
      <c r="P51" s="28"/>
      <c r="Q51" s="45" t="s">
        <v>457</v>
      </c>
      <c r="R51" s="432">
        <f>U30</f>
        <v>511841.83</v>
      </c>
      <c r="S51" s="433" t="s">
        <v>6</v>
      </c>
      <c r="T51" s="434">
        <v>4.5199999999999997E-2</v>
      </c>
      <c r="U51" s="426">
        <f>ROUND(R51*T51,2)</f>
        <v>23135.25</v>
      </c>
    </row>
    <row r="52" spans="1:22" x14ac:dyDescent="0.25">
      <c r="A52" s="26"/>
      <c r="B52" s="82" t="s">
        <v>458</v>
      </c>
      <c r="C52" s="26"/>
      <c r="D52" s="26"/>
      <c r="E52" s="44" t="s">
        <v>457</v>
      </c>
      <c r="F52" s="424">
        <f>I46</f>
        <v>505699.94</v>
      </c>
      <c r="G52" s="110" t="s">
        <v>6</v>
      </c>
      <c r="H52" s="425">
        <v>1.41E-2</v>
      </c>
      <c r="I52" s="102">
        <f>ROUND(F52*H52,2)</f>
        <v>7130.37</v>
      </c>
      <c r="N52" s="28"/>
      <c r="O52" s="406" t="s">
        <v>458</v>
      </c>
      <c r="P52" s="28"/>
      <c r="Q52" s="45" t="s">
        <v>457</v>
      </c>
      <c r="R52" s="432">
        <f>U30</f>
        <v>511841.83</v>
      </c>
      <c r="S52" s="433" t="s">
        <v>6</v>
      </c>
      <c r="T52" s="434">
        <v>1.41E-2</v>
      </c>
      <c r="U52" s="435">
        <f>ROUND(R52*T52,2)</f>
        <v>7216.97</v>
      </c>
    </row>
    <row r="53" spans="1:22" x14ac:dyDescent="0.25">
      <c r="A53" s="26"/>
      <c r="B53" s="82" t="s">
        <v>459</v>
      </c>
      <c r="C53" s="26"/>
      <c r="D53" s="26"/>
      <c r="E53" s="44"/>
      <c r="F53" s="424"/>
      <c r="G53" s="110"/>
      <c r="H53" s="425"/>
      <c r="I53" s="98">
        <f>SUM(I51:I52)</f>
        <v>29988.01</v>
      </c>
      <c r="N53" s="28"/>
      <c r="O53" s="406" t="s">
        <v>459</v>
      </c>
      <c r="P53" s="28"/>
      <c r="Q53" s="45"/>
      <c r="R53" s="432"/>
      <c r="S53" s="433"/>
      <c r="T53" s="434"/>
      <c r="U53" s="426">
        <f>SUM(U51:U52)</f>
        <v>30352.22</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95.37</v>
      </c>
      <c r="D56" s="593" t="s">
        <v>476</v>
      </c>
      <c r="E56" s="593"/>
      <c r="F56" s="593"/>
      <c r="G56" s="593"/>
      <c r="H56" s="317">
        <f>'0664'!H56</f>
        <v>203305.63</v>
      </c>
      <c r="I56" s="114"/>
      <c r="N56" s="658" t="s">
        <v>466</v>
      </c>
      <c r="O56" s="635"/>
      <c r="P56" s="41">
        <f>P30</f>
        <v>95.37</v>
      </c>
      <c r="Q56" s="663" t="s">
        <v>468</v>
      </c>
      <c r="R56" s="664"/>
      <c r="S56" s="664"/>
      <c r="T56" s="662">
        <f>H56</f>
        <v>203305.63</v>
      </c>
      <c r="U56" s="662"/>
    </row>
    <row r="57" spans="1:22" x14ac:dyDescent="0.25">
      <c r="B57" s="70"/>
      <c r="G57" s="42" t="s">
        <v>12</v>
      </c>
      <c r="H57" s="115">
        <f>ROUND(C56/H56,6)</f>
        <v>4.6900000000000002E-4</v>
      </c>
      <c r="I57" s="116"/>
      <c r="N57" s="635"/>
      <c r="O57" s="635"/>
      <c r="P57" s="635"/>
      <c r="Q57" s="635"/>
      <c r="R57" s="635"/>
      <c r="S57" s="635"/>
      <c r="T57" s="665">
        <f>ROUND(P56/T56,6)</f>
        <v>4.6900000000000002E-4</v>
      </c>
      <c r="U57" s="665"/>
    </row>
    <row r="58" spans="1:22" x14ac:dyDescent="0.25">
      <c r="A58" s="423" t="s">
        <v>461</v>
      </c>
      <c r="N58" s="406" t="s">
        <v>483</v>
      </c>
      <c r="O58" s="52"/>
      <c r="P58" s="52"/>
      <c r="Q58" s="52"/>
      <c r="R58" s="52"/>
      <c r="S58" s="52"/>
      <c r="T58" s="52"/>
      <c r="U58" s="52"/>
    </row>
    <row r="59" spans="1:22" x14ac:dyDescent="0.25">
      <c r="A59" s="585" t="s">
        <v>463</v>
      </c>
      <c r="B59" s="586"/>
      <c r="C59" s="437">
        <f>H30</f>
        <v>94.2256</v>
      </c>
      <c r="D59" s="593" t="s">
        <v>477</v>
      </c>
      <c r="E59" s="593"/>
      <c r="F59" s="593"/>
      <c r="G59" s="593"/>
      <c r="H59" s="318">
        <f>'0664'!H59</f>
        <v>227540.36</v>
      </c>
      <c r="I59" s="117"/>
      <c r="N59" s="658" t="s">
        <v>467</v>
      </c>
      <c r="O59" s="635"/>
      <c r="P59" s="41">
        <f>T30</f>
        <v>95.37</v>
      </c>
      <c r="Q59" s="663" t="s">
        <v>469</v>
      </c>
      <c r="R59" s="664"/>
      <c r="S59" s="664"/>
      <c r="T59" s="662">
        <f>H59</f>
        <v>227540.36</v>
      </c>
      <c r="U59" s="662"/>
    </row>
    <row r="60" spans="1:22" x14ac:dyDescent="0.25">
      <c r="G60" s="42" t="s">
        <v>12</v>
      </c>
      <c r="H60" s="115">
        <f>ROUND(C59/H59,6)</f>
        <v>4.1399999999999998E-4</v>
      </c>
      <c r="I60" s="115"/>
      <c r="N60" s="635"/>
      <c r="O60" s="635"/>
      <c r="P60" s="635"/>
      <c r="Q60" s="635"/>
      <c r="R60" s="635"/>
      <c r="S60" s="635"/>
      <c r="T60" s="665">
        <f>ROUND(P59/T59,6)</f>
        <v>4.1899999999999999E-4</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95.37</v>
      </c>
      <c r="D62" s="590" t="s">
        <v>478</v>
      </c>
      <c r="E62" s="590"/>
      <c r="F62" s="590"/>
      <c r="G62" s="590"/>
      <c r="H62" s="317">
        <f>'0664'!H62</f>
        <v>186907.73</v>
      </c>
      <c r="I62" s="114"/>
      <c r="N62" s="658" t="s">
        <v>465</v>
      </c>
      <c r="O62" s="635"/>
      <c r="P62" s="41">
        <f>P30</f>
        <v>95.37</v>
      </c>
      <c r="Q62" s="668" t="s">
        <v>470</v>
      </c>
      <c r="R62" s="669"/>
      <c r="S62" s="669"/>
      <c r="T62" s="662">
        <f>H62</f>
        <v>186907.73</v>
      </c>
      <c r="U62" s="662"/>
    </row>
    <row r="63" spans="1:22" x14ac:dyDescent="0.25">
      <c r="B63" s="70"/>
      <c r="G63" s="42" t="s">
        <v>12</v>
      </c>
      <c r="H63" s="115">
        <f>ROUND(C62/H62,6)</f>
        <v>5.1000000000000004E-4</v>
      </c>
      <c r="I63" s="116"/>
      <c r="N63" s="635"/>
      <c r="O63" s="635"/>
      <c r="P63" s="635"/>
      <c r="Q63" s="635"/>
      <c r="R63" s="635"/>
      <c r="S63" s="635"/>
      <c r="T63" s="665">
        <f>ROUND(P62/T62,6)</f>
        <v>5.1000000000000004E-4</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95.37</v>
      </c>
      <c r="D65" s="606" t="s">
        <v>479</v>
      </c>
      <c r="E65" s="606"/>
      <c r="F65" s="606"/>
      <c r="G65" s="606"/>
      <c r="H65" s="317">
        <f>'0664'!H65</f>
        <v>203080.55</v>
      </c>
      <c r="I65" s="114"/>
      <c r="N65" s="658" t="s">
        <v>465</v>
      </c>
      <c r="O65" s="635"/>
      <c r="P65" s="41">
        <f>P30</f>
        <v>95.37</v>
      </c>
      <c r="Q65" s="666" t="s">
        <v>471</v>
      </c>
      <c r="R65" s="667"/>
      <c r="S65" s="667"/>
      <c r="T65" s="662">
        <f>H65</f>
        <v>203080.55</v>
      </c>
      <c r="U65" s="662"/>
    </row>
    <row r="66" spans="1:22" x14ac:dyDescent="0.25">
      <c r="B66" s="70"/>
      <c r="G66" s="42" t="s">
        <v>12</v>
      </c>
      <c r="H66" s="115">
        <f>ROUND(C65/H65,6)</f>
        <v>4.6999999999999999E-4</v>
      </c>
      <c r="I66" s="116"/>
      <c r="N66" s="635"/>
      <c r="O66" s="635"/>
      <c r="P66" s="635"/>
      <c r="Q66" s="635"/>
      <c r="R66" s="635"/>
      <c r="S66" s="635"/>
      <c r="T66" s="665">
        <f>ROUND(P65/T65,6)</f>
        <v>4.6999999999999999E-4</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95.37</v>
      </c>
      <c r="D68" s="590" t="s">
        <v>480</v>
      </c>
      <c r="E68" s="590"/>
      <c r="F68" s="590"/>
      <c r="G68" s="590"/>
      <c r="H68" s="317">
        <f>'0664'!H68</f>
        <v>186682.65</v>
      </c>
      <c r="I68" s="114"/>
      <c r="N68" s="658" t="s">
        <v>481</v>
      </c>
      <c r="O68" s="635"/>
      <c r="P68" s="41">
        <f>P30</f>
        <v>95.37</v>
      </c>
      <c r="Q68" s="668" t="s">
        <v>487</v>
      </c>
      <c r="R68" s="669"/>
      <c r="S68" s="669"/>
      <c r="T68" s="662">
        <f>H68</f>
        <v>186682.65</v>
      </c>
      <c r="U68" s="662"/>
    </row>
    <row r="69" spans="1:22" x14ac:dyDescent="0.25">
      <c r="B69" s="70"/>
      <c r="G69" s="42" t="s">
        <v>12</v>
      </c>
      <c r="H69" s="115">
        <f>ROUND(C68/H68,6)</f>
        <v>5.1099999999999995E-4</v>
      </c>
      <c r="I69" s="116"/>
      <c r="N69" s="635"/>
      <c r="O69" s="635"/>
      <c r="P69" s="635"/>
      <c r="Q69" s="635"/>
      <c r="R69" s="635"/>
      <c r="S69" s="635"/>
      <c r="T69" s="665">
        <f>ROUND(P68/T68,6)</f>
        <v>5.1099999999999995E-4</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4.6999999999999999E-4</v>
      </c>
      <c r="I71" s="102">
        <f>ROUND(F71*H71,2)</f>
        <v>20992.799999999999</v>
      </c>
      <c r="N71" s="52" t="s">
        <v>488</v>
      </c>
      <c r="O71" s="52"/>
      <c r="P71" s="52"/>
      <c r="Q71" s="45"/>
      <c r="R71" s="453">
        <f>F71</f>
        <v>44665536</v>
      </c>
      <c r="S71" s="38" t="s">
        <v>6</v>
      </c>
      <c r="T71" s="455">
        <f>T66</f>
        <v>4.6999999999999999E-4</v>
      </c>
      <c r="U71" s="97">
        <f>ROUND(R71*T71,0)</f>
        <v>20993</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4.6900000000000002E-4</v>
      </c>
      <c r="I74" s="102">
        <f>ROUND(F74*H74,2)</f>
        <v>0</v>
      </c>
      <c r="N74" s="670" t="s">
        <v>110</v>
      </c>
      <c r="O74" s="635"/>
      <c r="P74" s="635"/>
      <c r="Q74" s="45"/>
      <c r="R74" s="453">
        <f>F74</f>
        <v>0</v>
      </c>
      <c r="S74" s="38" t="s">
        <v>6</v>
      </c>
      <c r="T74" s="455">
        <f>T57</f>
        <v>4.6900000000000002E-4</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5.1099999999999995E-4</v>
      </c>
      <c r="I76" s="102">
        <f>ROUND(F76*H76,2)</f>
        <v>8261.36</v>
      </c>
      <c r="N76" s="431" t="s">
        <v>491</v>
      </c>
      <c r="O76" s="52"/>
      <c r="P76" s="52"/>
      <c r="Q76" s="45"/>
      <c r="R76" s="453">
        <f>F76</f>
        <v>16167052</v>
      </c>
      <c r="S76" s="38" t="s">
        <v>6</v>
      </c>
      <c r="T76" s="455">
        <f>T69</f>
        <v>5.1099999999999995E-4</v>
      </c>
      <c r="U76" s="97">
        <f>ROUND(R76*T76,0)</f>
        <v>8261</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5.1000000000000004E-4</v>
      </c>
      <c r="I78" s="102">
        <f t="shared" ref="I78:I87" si="10">ROUND(F78*H78,2)</f>
        <v>5120.45</v>
      </c>
      <c r="N78" s="406" t="s">
        <v>493</v>
      </c>
      <c r="O78" s="52"/>
      <c r="P78" s="52"/>
      <c r="Q78" s="45"/>
      <c r="R78" s="453">
        <f t="shared" ref="R78:R87" si="11">F78</f>
        <v>10040099</v>
      </c>
      <c r="S78" s="38" t="s">
        <v>6</v>
      </c>
      <c r="T78" s="455">
        <f>T63</f>
        <v>5.1000000000000004E-4</v>
      </c>
      <c r="U78" s="97">
        <f t="shared" ref="U78:U87" si="12">ROUND(R78*T78,0)</f>
        <v>5120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95.37</v>
      </c>
      <c r="G81" s="37"/>
      <c r="H81" s="121"/>
      <c r="I81" s="102"/>
      <c r="N81" s="406"/>
      <c r="O81" s="406" t="s">
        <v>496</v>
      </c>
      <c r="P81" s="52"/>
      <c r="Q81" s="46"/>
      <c r="R81" s="426">
        <f>IF($H$121=1,F81,0)</f>
        <v>95.37</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95.37</v>
      </c>
      <c r="G83" s="37" t="s">
        <v>6</v>
      </c>
      <c r="H83" s="448">
        <f>'0664'!H83</f>
        <v>1951.26</v>
      </c>
      <c r="I83" s="102">
        <f>ROUND(F83*H83,2)</f>
        <v>186091.67</v>
      </c>
      <c r="N83" s="406"/>
      <c r="O83" s="406" t="s">
        <v>497</v>
      </c>
      <c r="P83" s="52"/>
      <c r="Q83" s="46"/>
      <c r="R83" s="426">
        <f>R81-R82</f>
        <v>95.37</v>
      </c>
      <c r="S83" s="38" t="s">
        <v>6</v>
      </c>
      <c r="T83" s="456">
        <f>'0664'!T83</f>
        <v>1951.26</v>
      </c>
      <c r="U83" s="426">
        <f>ROUND(R83*T83,0)</f>
        <v>186092</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4.1399999999999998E-4</v>
      </c>
      <c r="I85" s="102">
        <f t="shared" si="10"/>
        <v>97036.81</v>
      </c>
      <c r="N85" s="635" t="s">
        <v>500</v>
      </c>
      <c r="O85" s="635"/>
      <c r="P85" s="635"/>
      <c r="Q85" s="45"/>
      <c r="R85" s="453">
        <f t="shared" si="11"/>
        <v>234388431</v>
      </c>
      <c r="S85" s="38" t="s">
        <v>6</v>
      </c>
      <c r="T85" s="455">
        <f>T60</f>
        <v>4.1899999999999999E-4</v>
      </c>
      <c r="U85" s="97">
        <f t="shared" si="12"/>
        <v>98209</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4.1399999999999998E-4</v>
      </c>
      <c r="I87" s="102">
        <f t="shared" si="10"/>
        <v>0</v>
      </c>
      <c r="N87" s="658" t="s">
        <v>501</v>
      </c>
      <c r="O87" s="635"/>
      <c r="P87" s="635"/>
      <c r="Q87" s="45"/>
      <c r="R87" s="453">
        <f t="shared" si="11"/>
        <v>0</v>
      </c>
      <c r="S87" s="38" t="s">
        <v>6</v>
      </c>
      <c r="T87" s="455">
        <f>T60</f>
        <v>4.1899999999999999E-4</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0</v>
      </c>
      <c r="D92" s="597"/>
      <c r="E92" s="47">
        <f>H8</f>
        <v>1.0442</v>
      </c>
      <c r="F92" s="320">
        <f>'0664'!F92</f>
        <v>947.59</v>
      </c>
      <c r="G92" s="39" t="s">
        <v>12</v>
      </c>
      <c r="H92" s="102">
        <f>ROUND(C92*E92*F92,2)</f>
        <v>0</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0</v>
      </c>
      <c r="D93" s="597"/>
      <c r="E93" s="47">
        <f>H8</f>
        <v>1.0442</v>
      </c>
      <c r="F93" s="320">
        <f>'0664'!F93</f>
        <v>904.74</v>
      </c>
      <c r="G93" s="39" t="s">
        <v>12</v>
      </c>
      <c r="H93" s="102">
        <f>ROUND(C93*E93*F93,2)</f>
        <v>0</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94.2256</v>
      </c>
      <c r="D94" s="597"/>
      <c r="E94" s="47">
        <f>H8</f>
        <v>1.0442</v>
      </c>
      <c r="F94" s="320">
        <f>'0664'!F94</f>
        <v>906.93</v>
      </c>
      <c r="G94" s="39" t="s">
        <v>12</v>
      </c>
      <c r="H94" s="95">
        <f>ROUND(C94*E94*F94,2)</f>
        <v>89233.18</v>
      </c>
      <c r="N94" s="54" t="s">
        <v>14</v>
      </c>
      <c r="O94" s="55">
        <f>T18+T19+T22+T25+T28+T29</f>
        <v>95.37</v>
      </c>
      <c r="P94" s="673">
        <f>T8</f>
        <v>1.0442</v>
      </c>
      <c r="Q94" s="673"/>
      <c r="R94" s="49">
        <f>F94</f>
        <v>906.93</v>
      </c>
      <c r="S94" s="40" t="s">
        <v>12</v>
      </c>
      <c r="T94" s="123">
        <f>ROUND(O94*P94*R94,0)</f>
        <v>90317</v>
      </c>
      <c r="U94" s="52"/>
    </row>
    <row r="95" spans="1:21" ht="16.5" thickBot="1" x14ac:dyDescent="0.3">
      <c r="A95" s="56"/>
      <c r="B95" s="129" t="s">
        <v>114</v>
      </c>
      <c r="C95" s="601">
        <f>SUM(C92:C94)</f>
        <v>94.2256</v>
      </c>
      <c r="D95" s="601"/>
      <c r="E95" s="130"/>
      <c r="F95" s="130"/>
      <c r="G95" s="130"/>
      <c r="H95" s="131" t="s">
        <v>112</v>
      </c>
      <c r="I95" s="102">
        <f>IF(A1=75,0,H94+H93+H92)</f>
        <v>89233.18</v>
      </c>
      <c r="N95" s="57" t="s">
        <v>95</v>
      </c>
      <c r="O95" s="58">
        <f>SUM(O92:O94)</f>
        <v>95.37</v>
      </c>
      <c r="P95" s="674" t="s">
        <v>16</v>
      </c>
      <c r="Q95" s="675"/>
      <c r="R95" s="675"/>
      <c r="S95" s="675"/>
      <c r="T95" s="675"/>
      <c r="U95" s="97">
        <f>IF(N1=75,0,T94+T93+T92)</f>
        <v>90317</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61</v>
      </c>
      <c r="D101" s="151">
        <v>63</v>
      </c>
      <c r="E101" s="117">
        <f>(C101+D101)/2</f>
        <v>62</v>
      </c>
      <c r="F101" s="134" t="s">
        <v>30</v>
      </c>
      <c r="G101" s="321">
        <f>'0664'!G101</f>
        <v>565</v>
      </c>
      <c r="I101" s="102">
        <f>ROUND(G101*E101,2)</f>
        <v>35030</v>
      </c>
      <c r="N101" s="684" t="s">
        <v>54</v>
      </c>
      <c r="O101" s="684"/>
      <c r="P101" s="672">
        <f>IF(H121=1,E101,0)</f>
        <v>62</v>
      </c>
      <c r="Q101" s="672"/>
      <c r="R101" s="672"/>
      <c r="S101" s="84" t="s">
        <v>30</v>
      </c>
      <c r="T101" s="59">
        <f>G101</f>
        <v>565</v>
      </c>
      <c r="U101" s="97">
        <f>ROUND(T101*P101,0)</f>
        <v>35030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955863.83000000007</v>
      </c>
    </row>
    <row r="116" spans="1:21" ht="16.5" thickTop="1" x14ac:dyDescent="0.25">
      <c r="A116" s="584" t="s">
        <v>8</v>
      </c>
      <c r="B116" s="584"/>
      <c r="C116" s="584"/>
      <c r="D116" s="584"/>
      <c r="E116" s="584"/>
      <c r="F116" s="584"/>
      <c r="G116" s="584"/>
      <c r="H116" s="584"/>
      <c r="I116" s="95">
        <f>SUM(I30,I44,I53,I71,I74,I76,I78,I83,I85,I87,I95,I101,I102,I112,I114)</f>
        <v>977454.22</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947466.21</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f>IF(E30=0,"",IF((E15+E17+SUM(E19:E25))/E30&gt;0.75,1,""))</f>
        <v>1</v>
      </c>
      <c r="I121" s="117">
        <f>U115</f>
        <v>955863.83000000007</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955863.83000000007</v>
      </c>
      <c r="I123" s="95">
        <f>ROUND(IF(E30=0,0,IF(E30&gt;250,-(((250/E30)*H123)*IF(G123="H",0.02,0.05)),IF(G123="H",-0.02*H123,-0.05*H123))),2)</f>
        <v>-47793.19</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929661.03</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929661.03</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77471.75</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0</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N140:U140"/>
    <mergeCell ref="N120:U120"/>
    <mergeCell ref="N114:P114"/>
    <mergeCell ref="A114:C114"/>
    <mergeCell ref="N115:T115"/>
    <mergeCell ref="A116:H116"/>
    <mergeCell ref="A120:G120"/>
    <mergeCell ref="A111:B111"/>
    <mergeCell ref="F111:G111"/>
    <mergeCell ref="N111:O111"/>
    <mergeCell ref="P111:Q111"/>
    <mergeCell ref="F114:H114"/>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CCCC"/>
  </sheetPr>
  <dimension ref="A1:V209"/>
  <sheetViews>
    <sheetView showGridLines="0" zoomScaleNormal="100" workbookViewId="0">
      <pane ySplit="1" topLeftCell="A114"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136</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0</v>
      </c>
      <c r="D16" s="151">
        <v>0</v>
      </c>
      <c r="E16" s="117">
        <f t="shared" si="1"/>
        <v>0</v>
      </c>
      <c r="F16" s="622">
        <f>'0664'!F16:G16</f>
        <v>1</v>
      </c>
      <c r="G16" s="622"/>
      <c r="H16" s="81">
        <f t="shared" si="2"/>
        <v>0</v>
      </c>
      <c r="I16" s="102">
        <f t="shared" si="3"/>
        <v>0</v>
      </c>
      <c r="N16" s="635" t="s">
        <v>22</v>
      </c>
      <c r="O16" s="635"/>
      <c r="P16" s="636">
        <f t="shared" si="0"/>
        <v>0</v>
      </c>
      <c r="Q16" s="636"/>
      <c r="R16" s="637">
        <v>1</v>
      </c>
      <c r="S16" s="637"/>
      <c r="T16" s="96">
        <f t="shared" si="4"/>
        <v>0</v>
      </c>
      <c r="U16" s="97">
        <f t="shared" si="5"/>
        <v>0</v>
      </c>
    </row>
    <row r="17" spans="1:21" x14ac:dyDescent="0.25">
      <c r="A17" s="586" t="s">
        <v>23</v>
      </c>
      <c r="B17" s="586"/>
      <c r="C17" s="151">
        <v>0</v>
      </c>
      <c r="D17" s="151">
        <v>0</v>
      </c>
      <c r="E17" s="117">
        <f t="shared" si="1"/>
        <v>0</v>
      </c>
      <c r="F17" s="622">
        <f>'0664'!F17:G17</f>
        <v>1</v>
      </c>
      <c r="G17" s="622"/>
      <c r="H17" s="81">
        <f t="shared" si="2"/>
        <v>0</v>
      </c>
      <c r="I17" s="102">
        <f t="shared" si="3"/>
        <v>0</v>
      </c>
      <c r="J17" s="66"/>
      <c r="N17" s="635" t="s">
        <v>23</v>
      </c>
      <c r="O17" s="635"/>
      <c r="P17" s="636">
        <f t="shared" si="0"/>
        <v>0</v>
      </c>
      <c r="Q17" s="636"/>
      <c r="R17" s="637">
        <v>1</v>
      </c>
      <c r="S17" s="637"/>
      <c r="T17" s="96">
        <f t="shared" si="4"/>
        <v>0</v>
      </c>
      <c r="U17" s="97">
        <f t="shared" si="5"/>
        <v>0</v>
      </c>
    </row>
    <row r="18" spans="1:21" x14ac:dyDescent="0.25">
      <c r="A18" s="586" t="s">
        <v>24</v>
      </c>
      <c r="B18" s="586"/>
      <c r="C18" s="151">
        <v>122.5</v>
      </c>
      <c r="D18" s="151">
        <v>154.25</v>
      </c>
      <c r="E18" s="117">
        <f t="shared" si="1"/>
        <v>276.75</v>
      </c>
      <c r="F18" s="622">
        <f>'0664'!F18:G18</f>
        <v>0.98799999999999999</v>
      </c>
      <c r="G18" s="622"/>
      <c r="H18" s="81">
        <f t="shared" si="2"/>
        <v>273.42899999999997</v>
      </c>
      <c r="I18" s="102">
        <f t="shared" si="3"/>
        <v>1467467.76</v>
      </c>
      <c r="N18" s="635" t="s">
        <v>24</v>
      </c>
      <c r="O18" s="635"/>
      <c r="P18" s="636">
        <f t="shared" si="0"/>
        <v>0</v>
      </c>
      <c r="Q18" s="636"/>
      <c r="R18" s="637">
        <v>1</v>
      </c>
      <c r="S18" s="637"/>
      <c r="T18" s="96">
        <f t="shared" si="4"/>
        <v>0</v>
      </c>
      <c r="U18" s="97">
        <f t="shared" si="5"/>
        <v>0</v>
      </c>
    </row>
    <row r="19" spans="1:21" x14ac:dyDescent="0.25">
      <c r="A19" s="586" t="s">
        <v>25</v>
      </c>
      <c r="B19" s="586"/>
      <c r="C19" s="151">
        <v>24.5</v>
      </c>
      <c r="D19" s="151">
        <v>28.7</v>
      </c>
      <c r="E19" s="117">
        <f t="shared" si="1"/>
        <v>53.2</v>
      </c>
      <c r="F19" s="622">
        <f>'0664'!F19:G19</f>
        <v>0.98799999999999999</v>
      </c>
      <c r="G19" s="622"/>
      <c r="H19" s="81">
        <f t="shared" si="2"/>
        <v>52.561599999999999</v>
      </c>
      <c r="I19" s="102">
        <f t="shared" si="3"/>
        <v>282093.17</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0</v>
      </c>
      <c r="D27" s="151">
        <v>0</v>
      </c>
      <c r="E27" s="117">
        <f t="shared" si="1"/>
        <v>0</v>
      </c>
      <c r="F27" s="622">
        <f>'0664'!F27:G27</f>
        <v>1.208</v>
      </c>
      <c r="G27" s="622"/>
      <c r="H27" s="81">
        <f t="shared" si="2"/>
        <v>0</v>
      </c>
      <c r="I27" s="102">
        <f t="shared" si="3"/>
        <v>0</v>
      </c>
      <c r="N27" s="635" t="s">
        <v>92</v>
      </c>
      <c r="O27" s="635"/>
      <c r="P27" s="636">
        <f t="shared" si="0"/>
        <v>0</v>
      </c>
      <c r="Q27" s="636"/>
      <c r="R27" s="637">
        <v>1</v>
      </c>
      <c r="S27" s="637"/>
      <c r="T27" s="96">
        <f t="shared" si="4"/>
        <v>0</v>
      </c>
      <c r="U27" s="97">
        <f t="shared" si="5"/>
        <v>0</v>
      </c>
    </row>
    <row r="28" spans="1:21" x14ac:dyDescent="0.25">
      <c r="A28" s="586" t="s">
        <v>93</v>
      </c>
      <c r="B28" s="586"/>
      <c r="C28" s="151">
        <v>7.7</v>
      </c>
      <c r="D28" s="151">
        <v>9.4700000000000006</v>
      </c>
      <c r="E28" s="117">
        <f t="shared" si="1"/>
        <v>17.170000000000002</v>
      </c>
      <c r="F28" s="622">
        <f>'0664'!F28:G28</f>
        <v>1.208</v>
      </c>
      <c r="G28" s="622"/>
      <c r="H28" s="81">
        <f t="shared" si="2"/>
        <v>20.741399999999999</v>
      </c>
      <c r="I28" s="102">
        <f t="shared" si="3"/>
        <v>111317.15</v>
      </c>
      <c r="N28" s="635" t="s">
        <v>93</v>
      </c>
      <c r="O28" s="635"/>
      <c r="P28" s="636">
        <f t="shared" si="0"/>
        <v>0</v>
      </c>
      <c r="Q28" s="636"/>
      <c r="R28" s="637">
        <v>1</v>
      </c>
      <c r="S28" s="637"/>
      <c r="T28" s="96">
        <f t="shared" si="4"/>
        <v>0</v>
      </c>
      <c r="U28" s="97">
        <f t="shared" si="5"/>
        <v>0</v>
      </c>
    </row>
    <row r="29" spans="1:21" x14ac:dyDescent="0.25">
      <c r="A29" s="586" t="s">
        <v>94</v>
      </c>
      <c r="B29" s="586"/>
      <c r="C29" s="111">
        <v>0</v>
      </c>
      <c r="D29" s="111">
        <v>3.12</v>
      </c>
      <c r="E29" s="163">
        <f t="shared" si="1"/>
        <v>3.12</v>
      </c>
      <c r="F29" s="622">
        <f>'0664'!F29:G29</f>
        <v>1.0720000000000001</v>
      </c>
      <c r="G29" s="622"/>
      <c r="H29" s="94">
        <f t="shared" si="2"/>
        <v>3.3445999999999998</v>
      </c>
      <c r="I29" s="95">
        <f t="shared" si="3"/>
        <v>17950.150000000001</v>
      </c>
      <c r="N29" s="652" t="s">
        <v>94</v>
      </c>
      <c r="O29" s="652"/>
      <c r="P29" s="636">
        <f t="shared" si="0"/>
        <v>0</v>
      </c>
      <c r="Q29" s="636"/>
      <c r="R29" s="653">
        <v>1</v>
      </c>
      <c r="S29" s="653"/>
      <c r="T29" s="96">
        <f t="shared" si="4"/>
        <v>0</v>
      </c>
      <c r="U29" s="97">
        <f t="shared" si="5"/>
        <v>0</v>
      </c>
    </row>
    <row r="30" spans="1:21" x14ac:dyDescent="0.25">
      <c r="A30" s="584" t="s">
        <v>5</v>
      </c>
      <c r="B30" s="584"/>
      <c r="C30" s="95">
        <f>SUM(C14:C29)</f>
        <v>154.69999999999999</v>
      </c>
      <c r="D30" s="95">
        <f>SUM(D14:D29)</f>
        <v>195.54</v>
      </c>
      <c r="E30" s="95">
        <f>SUM(E14:E29)</f>
        <v>350.24</v>
      </c>
      <c r="F30" s="609"/>
      <c r="G30" s="609"/>
      <c r="H30" s="100">
        <f>SUM(H14:H29)</f>
        <v>350.07659999999998</v>
      </c>
      <c r="I30" s="95">
        <f>SUM(I14:I29)</f>
        <v>1878828.2299999997</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350.07659999999998</v>
      </c>
      <c r="F46" s="34"/>
      <c r="G46" s="107"/>
      <c r="H46" s="108" t="s">
        <v>104</v>
      </c>
      <c r="I46" s="95">
        <f>SUM(I44,I30)</f>
        <v>1878828.2299999997</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1878828.2299999997</v>
      </c>
      <c r="G51" s="110" t="s">
        <v>6</v>
      </c>
      <c r="H51" s="425">
        <v>4.5199999999999997E-2</v>
      </c>
      <c r="I51" s="102">
        <f>ROUND(F51*H51,2)</f>
        <v>84923.04</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1878828.2299999997</v>
      </c>
      <c r="G52" s="110" t="s">
        <v>6</v>
      </c>
      <c r="H52" s="425">
        <v>1.41E-2</v>
      </c>
      <c r="I52" s="102">
        <f>ROUND(F52*H52,2)</f>
        <v>26491.48</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111414.51999999999</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350.24</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1.7229999999999999E-3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350.07659999999998</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1.539E-3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350.24</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1.874E-3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350.24</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1.725E-3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350.24</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1.8760000000000001E-3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1.725E-3</v>
      </c>
      <c r="I71" s="102">
        <f>ROUND(F71*H71,2)</f>
        <v>77048.05</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1.7229999999999999E-3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1.8760000000000001E-3</v>
      </c>
      <c r="I76" s="102">
        <f>ROUND(F76*H76,2)</f>
        <v>30329.39</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1.874E-3</v>
      </c>
      <c r="I78" s="102">
        <f t="shared" ref="I78:I87" si="10">ROUND(F78*H78,2)</f>
        <v>18815.150000000001</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53.2</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53.2</v>
      </c>
      <c r="G83" s="37" t="s">
        <v>6</v>
      </c>
      <c r="H83" s="448">
        <f>'0664'!H83</f>
        <v>1951.26</v>
      </c>
      <c r="I83" s="102">
        <f>ROUND(F83*H83,2)</f>
        <v>103807.03</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1.539E-3</v>
      </c>
      <c r="I85" s="102">
        <f t="shared" si="10"/>
        <v>360723.8</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1.539E-3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0</v>
      </c>
      <c r="D92" s="597"/>
      <c r="E92" s="47">
        <f>H8</f>
        <v>1.0442</v>
      </c>
      <c r="F92" s="320">
        <f>'0664'!F92</f>
        <v>947.59</v>
      </c>
      <c r="G92" s="39" t="s">
        <v>12</v>
      </c>
      <c r="H92" s="102">
        <f>ROUND(C92*E92*F92,2)</f>
        <v>0</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0</v>
      </c>
      <c r="D93" s="597"/>
      <c r="E93" s="47">
        <f>H8</f>
        <v>1.0442</v>
      </c>
      <c r="F93" s="320">
        <f>'0664'!F93</f>
        <v>904.74</v>
      </c>
      <c r="G93" s="39" t="s">
        <v>12</v>
      </c>
      <c r="H93" s="102">
        <f>ROUND(C93*E93*F93,2)</f>
        <v>0</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350.07659999999998</v>
      </c>
      <c r="D94" s="597"/>
      <c r="E94" s="47">
        <f>H8</f>
        <v>1.0442</v>
      </c>
      <c r="F94" s="320">
        <f>'0664'!F94</f>
        <v>906.93</v>
      </c>
      <c r="G94" s="39" t="s">
        <v>12</v>
      </c>
      <c r="H94" s="95">
        <f>ROUND(C94*E94*F94,2)</f>
        <v>331528.25</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350.07659999999998</v>
      </c>
      <c r="D95" s="601"/>
      <c r="E95" s="130"/>
      <c r="F95" s="130"/>
      <c r="G95" s="130"/>
      <c r="H95" s="131" t="s">
        <v>112</v>
      </c>
      <c r="I95" s="102">
        <f>IF(A1=75,0,H94+H93+H92)</f>
        <v>331528.25</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141</v>
      </c>
      <c r="D101" s="151">
        <v>11</v>
      </c>
      <c r="E101" s="117">
        <f>(C101+D101)/2</f>
        <v>76</v>
      </c>
      <c r="F101" s="134" t="s">
        <v>30</v>
      </c>
      <c r="G101" s="321">
        <f>'0664'!G101</f>
        <v>565</v>
      </c>
      <c r="I101" s="102">
        <f>ROUND(G101*E101,2)</f>
        <v>42940</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2955434.4199999995</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2844019.8999999994</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2844019.8999999994</v>
      </c>
      <c r="I123" s="95">
        <f>ROUND(IF(E30=0,0,IF(E30&gt;250,-(((250/E30)*H123)*IF(G123="H",0.02,0.05)),IF(G123="H",-0.02*H123,-0.05*H123))),2)</f>
        <v>-101502.54</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2853931.8799999994</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2853931.8799999994</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237827.66</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40698.46</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T69:U69"/>
    <mergeCell ref="A85:C85"/>
    <mergeCell ref="A74:C74"/>
    <mergeCell ref="N85:P85"/>
    <mergeCell ref="A87:C87"/>
    <mergeCell ref="N87:P87"/>
    <mergeCell ref="C90:D90"/>
    <mergeCell ref="C91:D91"/>
    <mergeCell ref="N91:O91"/>
    <mergeCell ref="P91:Q91"/>
    <mergeCell ref="N74:P74"/>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CCCC"/>
  </sheetPr>
  <dimension ref="A1:V209"/>
  <sheetViews>
    <sheetView showGridLines="0" zoomScaleNormal="100" workbookViewId="0">
      <pane ySplit="1" topLeftCell="A96"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137</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102.22</v>
      </c>
      <c r="D14" s="149">
        <v>101.72</v>
      </c>
      <c r="E14" s="196">
        <f>IF(D$30=0,C14*2,C14+D14)</f>
        <v>203.94</v>
      </c>
      <c r="F14" s="625">
        <f>'0664'!F14:G14</f>
        <v>1.1220000000000001</v>
      </c>
      <c r="G14" s="625"/>
      <c r="H14" s="153">
        <f>ROUND(E14*F14,4)</f>
        <v>228.82069999999999</v>
      </c>
      <c r="I14" s="112">
        <f>ROUND(ROUND(ROUND(H14*$C$8,4)*($H$8),2)*(MAX($H$9,1)),2)</f>
        <v>1228059.2</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17</v>
      </c>
      <c r="D15" s="151">
        <v>19.52</v>
      </c>
      <c r="E15" s="117">
        <f t="shared" ref="E15:E29" si="1">IF(D$30=0,C15*2,C15+D15)</f>
        <v>36.519999999999996</v>
      </c>
      <c r="F15" s="622">
        <f>'0664'!F15:G15</f>
        <v>1.1220000000000001</v>
      </c>
      <c r="G15" s="622"/>
      <c r="H15" s="81">
        <f t="shared" ref="H15:H29" si="2">ROUND(E15*F15,4)</f>
        <v>40.9754</v>
      </c>
      <c r="I15" s="102">
        <f t="shared" ref="I15:I29" si="3">ROUND(ROUND(ROUND(H15*$C$8,4)*($H$8),2)*(MAX($H$9,1)),2)</f>
        <v>219911.12</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39</v>
      </c>
      <c r="D16" s="151">
        <v>38.99</v>
      </c>
      <c r="E16" s="117">
        <f t="shared" si="1"/>
        <v>77.990000000000009</v>
      </c>
      <c r="F16" s="622">
        <f>'0664'!F16:G16</f>
        <v>1</v>
      </c>
      <c r="G16" s="622"/>
      <c r="H16" s="81">
        <f t="shared" si="2"/>
        <v>77.989999999999995</v>
      </c>
      <c r="I16" s="102">
        <f t="shared" si="3"/>
        <v>418565</v>
      </c>
      <c r="N16" s="635" t="s">
        <v>22</v>
      </c>
      <c r="O16" s="635"/>
      <c r="P16" s="636">
        <f t="shared" si="0"/>
        <v>0</v>
      </c>
      <c r="Q16" s="636"/>
      <c r="R16" s="637">
        <v>1</v>
      </c>
      <c r="S16" s="637"/>
      <c r="T16" s="96">
        <f t="shared" si="4"/>
        <v>0</v>
      </c>
      <c r="U16" s="97">
        <f t="shared" si="5"/>
        <v>0</v>
      </c>
    </row>
    <row r="17" spans="1:21" x14ac:dyDescent="0.25">
      <c r="A17" s="586" t="s">
        <v>23</v>
      </c>
      <c r="B17" s="586"/>
      <c r="C17" s="151">
        <v>12.5</v>
      </c>
      <c r="D17" s="151">
        <v>11.99</v>
      </c>
      <c r="E17" s="117">
        <f t="shared" si="1"/>
        <v>24.490000000000002</v>
      </c>
      <c r="F17" s="622">
        <f>'0664'!F17:G17</f>
        <v>1</v>
      </c>
      <c r="G17" s="622"/>
      <c r="H17" s="81">
        <f t="shared" si="2"/>
        <v>24.49</v>
      </c>
      <c r="I17" s="102">
        <f t="shared" si="3"/>
        <v>131435.53</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3.28</v>
      </c>
      <c r="D26" s="151">
        <v>3.28</v>
      </c>
      <c r="E26" s="117">
        <f t="shared" si="1"/>
        <v>6.56</v>
      </c>
      <c r="F26" s="622">
        <f>'0664'!F26:G26</f>
        <v>1.208</v>
      </c>
      <c r="G26" s="622"/>
      <c r="H26" s="81">
        <f t="shared" si="2"/>
        <v>7.9245000000000001</v>
      </c>
      <c r="I26" s="102">
        <f t="shared" si="3"/>
        <v>42530.05</v>
      </c>
      <c r="N26" s="635" t="s">
        <v>91</v>
      </c>
      <c r="O26" s="635"/>
      <c r="P26" s="636">
        <f t="shared" si="0"/>
        <v>0</v>
      </c>
      <c r="Q26" s="636"/>
      <c r="R26" s="637">
        <v>1</v>
      </c>
      <c r="S26" s="637"/>
      <c r="T26" s="96">
        <f t="shared" si="4"/>
        <v>0</v>
      </c>
      <c r="U26" s="97">
        <f t="shared" si="5"/>
        <v>0</v>
      </c>
    </row>
    <row r="27" spans="1:21" x14ac:dyDescent="0.25">
      <c r="A27" s="586" t="s">
        <v>92</v>
      </c>
      <c r="B27" s="586"/>
      <c r="C27" s="151">
        <v>0</v>
      </c>
      <c r="D27" s="151">
        <v>0</v>
      </c>
      <c r="E27" s="117">
        <f t="shared" si="1"/>
        <v>0</v>
      </c>
      <c r="F27" s="622">
        <f>'0664'!F27:G27</f>
        <v>1.208</v>
      </c>
      <c r="G27" s="622"/>
      <c r="H27" s="81">
        <f t="shared" si="2"/>
        <v>0</v>
      </c>
      <c r="I27" s="102">
        <f t="shared" si="3"/>
        <v>0</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174</v>
      </c>
      <c r="D30" s="95">
        <f>SUM(D14:D29)</f>
        <v>175.5</v>
      </c>
      <c r="E30" s="95">
        <f>SUM(E14:E29)</f>
        <v>349.5</v>
      </c>
      <c r="F30" s="609"/>
      <c r="G30" s="609"/>
      <c r="H30" s="100">
        <f>SUM(H14:H29)</f>
        <v>380.20060000000001</v>
      </c>
      <c r="I30" s="95">
        <f>SUM(I14:I29)</f>
        <v>2040500.9</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380.20060000000001</v>
      </c>
      <c r="F46" s="34"/>
      <c r="G46" s="107"/>
      <c r="H46" s="108" t="s">
        <v>104</v>
      </c>
      <c r="I46" s="95">
        <f>SUM(I44,I30)</f>
        <v>2040500.9</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2040500.9</v>
      </c>
      <c r="G51" s="110" t="s">
        <v>6</v>
      </c>
      <c r="H51" s="425">
        <v>4.5199999999999997E-2</v>
      </c>
      <c r="I51" s="102">
        <f>ROUND(F51*H51,2)</f>
        <v>92230.64</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2040500.9</v>
      </c>
      <c r="G52" s="110" t="s">
        <v>6</v>
      </c>
      <c r="H52" s="425">
        <v>1.41E-2</v>
      </c>
      <c r="I52" s="102">
        <f>ROUND(F52*H52,2)</f>
        <v>28771.06</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121001.7</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349.5</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1.719E-3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380.20060000000001</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1.671E-3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349.5</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1.8699999999999999E-3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349.5</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1.7210000000000001E-3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349.5</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1.872E-3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1.7210000000000001E-3</v>
      </c>
      <c r="I71" s="102">
        <f>ROUND(F71*H71,2)</f>
        <v>76869.39</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1.719E-3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1.872E-3</v>
      </c>
      <c r="I76" s="102">
        <f>ROUND(F76*H76,2)</f>
        <v>30264.720000000001</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1.8699999999999999E-3</v>
      </c>
      <c r="I78" s="102">
        <f t="shared" ref="I78:I87" si="10">ROUND(F78*H78,2)</f>
        <v>18774.990000000002</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61.01</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61.01</v>
      </c>
      <c r="G83" s="37" t="s">
        <v>6</v>
      </c>
      <c r="H83" s="448">
        <f>'0664'!H83</f>
        <v>1951.26</v>
      </c>
      <c r="I83" s="102">
        <f>ROUND(F83*H83,2)</f>
        <v>119046.37</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1.671E-3</v>
      </c>
      <c r="I85" s="102">
        <f t="shared" si="10"/>
        <v>391663.07</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1.671E-3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277.72059999999999</v>
      </c>
      <c r="D92" s="597"/>
      <c r="E92" s="47">
        <f>H8</f>
        <v>1.0442</v>
      </c>
      <c r="F92" s="320">
        <f>'0664'!F92</f>
        <v>947.59</v>
      </c>
      <c r="G92" s="39" t="s">
        <v>12</v>
      </c>
      <c r="H92" s="102">
        <f>ROUND(C92*E92*F92,2)</f>
        <v>274797.17</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102.47999999999999</v>
      </c>
      <c r="D93" s="597"/>
      <c r="E93" s="47">
        <f>H8</f>
        <v>1.0442</v>
      </c>
      <c r="F93" s="320">
        <f>'0664'!F93</f>
        <v>904.74</v>
      </c>
      <c r="G93" s="39" t="s">
        <v>12</v>
      </c>
      <c r="H93" s="102">
        <f>ROUND(C93*E93*F93,2)</f>
        <v>96815.88</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380.20060000000001</v>
      </c>
      <c r="D95" s="601"/>
      <c r="E95" s="130"/>
      <c r="F95" s="130"/>
      <c r="G95" s="130"/>
      <c r="H95" s="131" t="s">
        <v>112</v>
      </c>
      <c r="I95" s="102">
        <f>IF(A1=75,0,H94+H93+H92)</f>
        <v>371613.05</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1</v>
      </c>
      <c r="D101" s="151">
        <v>1</v>
      </c>
      <c r="E101" s="117">
        <f>(C101+D101)/2</f>
        <v>1</v>
      </c>
      <c r="F101" s="134" t="s">
        <v>30</v>
      </c>
      <c r="G101" s="321">
        <f>'0664'!G101</f>
        <v>565</v>
      </c>
      <c r="I101" s="102">
        <f>ROUND(G101*E101,2)</f>
        <v>565</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3170299.1900000004</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3049297.49</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1" t="s">
        <v>258</v>
      </c>
      <c r="H123" s="147">
        <f>IF(H121=1,I121,I118)</f>
        <v>3049297.49</v>
      </c>
      <c r="I123" s="95">
        <f>ROUND(IF(E30=0,0,IF(E30&gt;250,-(((250/E30)*H123)*IF(G123="H",0.02,0.05)),IF(G123="H",-0.02*H123,-0.05*H123))),2)</f>
        <v>-43623.71</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3126675.4800000004</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3126675.4800000004</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260556.29</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17362.240000000002</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CCC"/>
  </sheetPr>
  <dimension ref="A1:V209"/>
  <sheetViews>
    <sheetView showGridLines="0" zoomScaleNormal="100" workbookViewId="0">
      <pane ySplit="1" topLeftCell="A99"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138</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0</v>
      </c>
      <c r="D16" s="151">
        <v>0</v>
      </c>
      <c r="E16" s="117">
        <f t="shared" si="1"/>
        <v>0</v>
      </c>
      <c r="F16" s="622">
        <f>'0664'!F16:G16</f>
        <v>1</v>
      </c>
      <c r="G16" s="622"/>
      <c r="H16" s="81">
        <f t="shared" si="2"/>
        <v>0</v>
      </c>
      <c r="I16" s="102">
        <f t="shared" si="3"/>
        <v>0</v>
      </c>
      <c r="N16" s="635" t="s">
        <v>22</v>
      </c>
      <c r="O16" s="635"/>
      <c r="P16" s="636">
        <f t="shared" si="0"/>
        <v>0</v>
      </c>
      <c r="Q16" s="636"/>
      <c r="R16" s="637">
        <v>1</v>
      </c>
      <c r="S16" s="637"/>
      <c r="T16" s="96">
        <f t="shared" si="4"/>
        <v>0</v>
      </c>
      <c r="U16" s="97">
        <f t="shared" si="5"/>
        <v>0</v>
      </c>
    </row>
    <row r="17" spans="1:21" x14ac:dyDescent="0.25">
      <c r="A17" s="586" t="s">
        <v>23</v>
      </c>
      <c r="B17" s="586"/>
      <c r="C17" s="151">
        <v>0</v>
      </c>
      <c r="D17" s="151">
        <v>0</v>
      </c>
      <c r="E17" s="117">
        <f t="shared" si="1"/>
        <v>0</v>
      </c>
      <c r="F17" s="622">
        <f>'0664'!F17:G17</f>
        <v>1</v>
      </c>
      <c r="G17" s="622"/>
      <c r="H17" s="81">
        <f t="shared" si="2"/>
        <v>0</v>
      </c>
      <c r="I17" s="102">
        <f t="shared" si="3"/>
        <v>0</v>
      </c>
      <c r="J17" s="66"/>
      <c r="N17" s="635" t="s">
        <v>23</v>
      </c>
      <c r="O17" s="635"/>
      <c r="P17" s="636">
        <f t="shared" si="0"/>
        <v>0</v>
      </c>
      <c r="Q17" s="636"/>
      <c r="R17" s="637">
        <v>1</v>
      </c>
      <c r="S17" s="637"/>
      <c r="T17" s="96">
        <f t="shared" si="4"/>
        <v>0</v>
      </c>
      <c r="U17" s="97">
        <f t="shared" si="5"/>
        <v>0</v>
      </c>
    </row>
    <row r="18" spans="1:21" x14ac:dyDescent="0.25">
      <c r="A18" s="586" t="s">
        <v>24</v>
      </c>
      <c r="B18" s="586"/>
      <c r="C18" s="151">
        <v>121.43</v>
      </c>
      <c r="D18" s="151">
        <v>142.29</v>
      </c>
      <c r="E18" s="117">
        <f t="shared" si="1"/>
        <v>263.72000000000003</v>
      </c>
      <c r="F18" s="622">
        <f>'0664'!F18:G18</f>
        <v>0.98799999999999999</v>
      </c>
      <c r="G18" s="622"/>
      <c r="H18" s="81">
        <f t="shared" si="2"/>
        <v>260.55540000000002</v>
      </c>
      <c r="I18" s="102">
        <f t="shared" si="3"/>
        <v>1398376.36</v>
      </c>
      <c r="N18" s="635" t="s">
        <v>24</v>
      </c>
      <c r="O18" s="635"/>
      <c r="P18" s="636">
        <f t="shared" si="0"/>
        <v>0</v>
      </c>
      <c r="Q18" s="636"/>
      <c r="R18" s="637">
        <v>1</v>
      </c>
      <c r="S18" s="637"/>
      <c r="T18" s="96">
        <f t="shared" si="4"/>
        <v>0</v>
      </c>
      <c r="U18" s="97">
        <f t="shared" si="5"/>
        <v>0</v>
      </c>
    </row>
    <row r="19" spans="1:21" x14ac:dyDescent="0.25">
      <c r="A19" s="586" t="s">
        <v>25</v>
      </c>
      <c r="B19" s="586"/>
      <c r="C19" s="151">
        <v>19.5</v>
      </c>
      <c r="D19" s="151">
        <v>23.39</v>
      </c>
      <c r="E19" s="117">
        <f t="shared" si="1"/>
        <v>42.89</v>
      </c>
      <c r="F19" s="622">
        <f>'0664'!F19:G19</f>
        <v>0.98799999999999999</v>
      </c>
      <c r="G19" s="622"/>
      <c r="H19" s="81">
        <f t="shared" si="2"/>
        <v>42.375300000000003</v>
      </c>
      <c r="I19" s="102">
        <f t="shared" si="3"/>
        <v>227424.25</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0</v>
      </c>
      <c r="D27" s="151">
        <v>0</v>
      </c>
      <c r="E27" s="117">
        <f t="shared" si="1"/>
        <v>0</v>
      </c>
      <c r="F27" s="622">
        <f>'0664'!F27:G27</f>
        <v>1.208</v>
      </c>
      <c r="G27" s="622"/>
      <c r="H27" s="81">
        <f t="shared" si="2"/>
        <v>0</v>
      </c>
      <c r="I27" s="102">
        <f t="shared" si="3"/>
        <v>0</v>
      </c>
      <c r="N27" s="635" t="s">
        <v>92</v>
      </c>
      <c r="O27" s="635"/>
      <c r="P27" s="636">
        <f t="shared" si="0"/>
        <v>0</v>
      </c>
      <c r="Q27" s="636"/>
      <c r="R27" s="637">
        <v>1</v>
      </c>
      <c r="S27" s="637"/>
      <c r="T27" s="96">
        <f t="shared" si="4"/>
        <v>0</v>
      </c>
      <c r="U27" s="97">
        <f t="shared" si="5"/>
        <v>0</v>
      </c>
    </row>
    <row r="28" spans="1:21" x14ac:dyDescent="0.25">
      <c r="A28" s="586" t="s">
        <v>93</v>
      </c>
      <c r="B28" s="586"/>
      <c r="C28" s="151">
        <v>6.2</v>
      </c>
      <c r="D28" s="151">
        <v>9.08</v>
      </c>
      <c r="E28" s="117">
        <f t="shared" si="1"/>
        <v>15.280000000000001</v>
      </c>
      <c r="F28" s="622">
        <f>'0664'!F28:G28</f>
        <v>1.208</v>
      </c>
      <c r="G28" s="622"/>
      <c r="H28" s="81">
        <f t="shared" si="2"/>
        <v>18.458200000000001</v>
      </c>
      <c r="I28" s="102">
        <f t="shared" si="3"/>
        <v>99063.43</v>
      </c>
      <c r="N28" s="635" t="s">
        <v>93</v>
      </c>
      <c r="O28" s="635"/>
      <c r="P28" s="636">
        <f t="shared" si="0"/>
        <v>0</v>
      </c>
      <c r="Q28" s="636"/>
      <c r="R28" s="637">
        <v>1</v>
      </c>
      <c r="S28" s="637"/>
      <c r="T28" s="96">
        <f t="shared" si="4"/>
        <v>0</v>
      </c>
      <c r="U28" s="97">
        <f t="shared" si="5"/>
        <v>0</v>
      </c>
    </row>
    <row r="29" spans="1:21" x14ac:dyDescent="0.25">
      <c r="A29" s="586" t="s">
        <v>94</v>
      </c>
      <c r="B29" s="586"/>
      <c r="C29" s="111">
        <v>2.1</v>
      </c>
      <c r="D29" s="111">
        <v>1.4</v>
      </c>
      <c r="E29" s="163">
        <f t="shared" si="1"/>
        <v>3.5</v>
      </c>
      <c r="F29" s="622">
        <f>'0664'!F29:G29</f>
        <v>1.0720000000000001</v>
      </c>
      <c r="G29" s="622"/>
      <c r="H29" s="94">
        <f t="shared" si="2"/>
        <v>3.7519999999999998</v>
      </c>
      <c r="I29" s="95">
        <f t="shared" si="3"/>
        <v>20136.63</v>
      </c>
      <c r="N29" s="652" t="s">
        <v>94</v>
      </c>
      <c r="O29" s="652"/>
      <c r="P29" s="636">
        <f t="shared" si="0"/>
        <v>0</v>
      </c>
      <c r="Q29" s="636"/>
      <c r="R29" s="653">
        <v>1</v>
      </c>
      <c r="S29" s="653"/>
      <c r="T29" s="96">
        <f t="shared" si="4"/>
        <v>0</v>
      </c>
      <c r="U29" s="97">
        <f t="shared" si="5"/>
        <v>0</v>
      </c>
    </row>
    <row r="30" spans="1:21" x14ac:dyDescent="0.25">
      <c r="A30" s="584" t="s">
        <v>5</v>
      </c>
      <c r="B30" s="584"/>
      <c r="C30" s="95">
        <f>SUM(C14:C29)</f>
        <v>149.22999999999999</v>
      </c>
      <c r="D30" s="95">
        <f>SUM(D14:D29)</f>
        <v>176.16000000000003</v>
      </c>
      <c r="E30" s="95">
        <f>SUM(E14:E29)</f>
        <v>325.39</v>
      </c>
      <c r="F30" s="609"/>
      <c r="G30" s="609"/>
      <c r="H30" s="100">
        <f>SUM(H14:H29)</f>
        <v>325.14089999999999</v>
      </c>
      <c r="I30" s="95">
        <f>SUM(I14:I29)</f>
        <v>1745000.67</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325.14089999999999</v>
      </c>
      <c r="F46" s="34"/>
      <c r="G46" s="107"/>
      <c r="H46" s="108" t="s">
        <v>104</v>
      </c>
      <c r="I46" s="95">
        <f>SUM(I44,I30)</f>
        <v>1745000.67</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1745000.67</v>
      </c>
      <c r="G51" s="110" t="s">
        <v>6</v>
      </c>
      <c r="H51" s="425">
        <v>4.5199999999999997E-2</v>
      </c>
      <c r="I51" s="102">
        <f>ROUND(F51*H51,2)</f>
        <v>78874.03</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1745000.67</v>
      </c>
      <c r="G52" s="110" t="s">
        <v>6</v>
      </c>
      <c r="H52" s="425">
        <v>1.41E-2</v>
      </c>
      <c r="I52" s="102">
        <f>ROUND(F52*H52,2)</f>
        <v>24604.51</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103478.54</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325.39</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1.6000000000000001E-3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325.14089999999999</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1.4289999999999999E-3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325.39</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1.7409999999999999E-3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325.39</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1.6019999999999999E-3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325.39</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1.743E-3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1.6019999999999999E-3</v>
      </c>
      <c r="I71" s="102">
        <f>ROUND(F71*H71,2)</f>
        <v>71554.19</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1.6000000000000001E-3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1.743E-3</v>
      </c>
      <c r="I76" s="102">
        <f>ROUND(F76*H76,2)</f>
        <v>28179.17</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1.7409999999999999E-3</v>
      </c>
      <c r="I78" s="102">
        <f t="shared" ref="I78:I87" si="10">ROUND(F78*H78,2)</f>
        <v>17479.810000000001</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42.89</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42.89</v>
      </c>
      <c r="G83" s="37" t="s">
        <v>6</v>
      </c>
      <c r="H83" s="448">
        <f>'0664'!H83</f>
        <v>1951.26</v>
      </c>
      <c r="I83" s="102">
        <f>ROUND(F83*H83,2)</f>
        <v>83689.539999999994</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1.4289999999999999E-3</v>
      </c>
      <c r="I85" s="102">
        <f t="shared" si="10"/>
        <v>334941.07</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1.4289999999999999E-3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0</v>
      </c>
      <c r="D92" s="597"/>
      <c r="E92" s="47">
        <f>H8</f>
        <v>1.0442</v>
      </c>
      <c r="F92" s="320">
        <f>'0664'!F92</f>
        <v>947.59</v>
      </c>
      <c r="G92" s="39" t="s">
        <v>12</v>
      </c>
      <c r="H92" s="102">
        <f>ROUND(C92*E92*F92,2)</f>
        <v>0</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0</v>
      </c>
      <c r="D93" s="597"/>
      <c r="E93" s="47">
        <f>H8</f>
        <v>1.0442</v>
      </c>
      <c r="F93" s="320">
        <f>'0664'!F93</f>
        <v>904.74</v>
      </c>
      <c r="G93" s="39" t="s">
        <v>12</v>
      </c>
      <c r="H93" s="102">
        <f>ROUND(C93*E93*F93,2)</f>
        <v>0</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325.14089999999999</v>
      </c>
      <c r="D94" s="597"/>
      <c r="E94" s="47">
        <f>H8</f>
        <v>1.0442</v>
      </c>
      <c r="F94" s="320">
        <f>'0664'!F94</f>
        <v>906.93</v>
      </c>
      <c r="G94" s="39" t="s">
        <v>12</v>
      </c>
      <c r="H94" s="95">
        <f>ROUND(C94*E94*F94,2)</f>
        <v>307913.73</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325.14089999999999</v>
      </c>
      <c r="D95" s="601"/>
      <c r="E95" s="130"/>
      <c r="F95" s="130"/>
      <c r="G95" s="130"/>
      <c r="H95" s="131" t="s">
        <v>112</v>
      </c>
      <c r="I95" s="102">
        <f>IF(A1=75,0,H94+H93+H92)</f>
        <v>307913.73</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5</v>
      </c>
      <c r="D101" s="151">
        <v>50</v>
      </c>
      <c r="E101" s="117">
        <f>(C101+D101)/2</f>
        <v>27.5</v>
      </c>
      <c r="F101" s="134" t="s">
        <v>30</v>
      </c>
      <c r="G101" s="321">
        <f>'0664'!G101</f>
        <v>565</v>
      </c>
      <c r="I101" s="102">
        <f>ROUND(G101*E101,2)</f>
        <v>15537.5</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2707774.2199999997</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2604295.6799999997</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2604295.6799999997</v>
      </c>
      <c r="I123" s="95">
        <f>ROUND(IF(E30=0,0,IF(E30&gt;250,-(((250/E30)*H123)*IF(G123="H",0.02,0.05)),IF(G123="H",-0.02*H123,-0.05*H123))),2)</f>
        <v>-100045.16</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2607729.0599999996</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2607729.0599999996</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217310.76</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30169.62</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CCC"/>
  </sheetPr>
  <dimension ref="A1:V209"/>
  <sheetViews>
    <sheetView showGridLines="0" zoomScaleNormal="100" workbookViewId="0">
      <pane ySplit="1" topLeftCell="A100"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139</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9" t="s">
        <v>333</v>
      </c>
      <c r="D10" s="89"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204.52</v>
      </c>
      <c r="D14" s="149">
        <v>197.36</v>
      </c>
      <c r="E14" s="196">
        <f>IF(D$30=0,C14*2,C14+D14)</f>
        <v>401.88</v>
      </c>
      <c r="F14" s="625">
        <f>'0664'!F14:G14</f>
        <v>1.1220000000000001</v>
      </c>
      <c r="G14" s="625"/>
      <c r="H14" s="153">
        <f>ROUND(E14*F14,4)</f>
        <v>450.90940000000001</v>
      </c>
      <c r="I14" s="112">
        <f>ROUND(ROUND(ROUND(H14*$C$8,4)*($H$8),2)*(MAX($H$9,1)),2)</f>
        <v>2419988.39</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23</v>
      </c>
      <c r="D15" s="151">
        <v>24.5</v>
      </c>
      <c r="E15" s="117">
        <f t="shared" ref="E15:E29" si="1">IF(D$30=0,C15*2,C15+D15)</f>
        <v>47.5</v>
      </c>
      <c r="F15" s="622">
        <f>'0664'!F15:G15</f>
        <v>1.1220000000000001</v>
      </c>
      <c r="G15" s="622"/>
      <c r="H15" s="81">
        <f t="shared" ref="H15:H29" si="2">ROUND(E15*F15,4)</f>
        <v>53.295000000000002</v>
      </c>
      <c r="I15" s="102">
        <f t="shared" ref="I15:I29" si="3">ROUND(ROUND(ROUND(H15*$C$8,4)*($H$8),2)*(MAX($H$9,1)),2)</f>
        <v>286029.26</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233.25</v>
      </c>
      <c r="D16" s="151">
        <v>226.71</v>
      </c>
      <c r="E16" s="117">
        <f t="shared" si="1"/>
        <v>459.96000000000004</v>
      </c>
      <c r="F16" s="622">
        <f>'0664'!F16:G16</f>
        <v>1</v>
      </c>
      <c r="G16" s="622"/>
      <c r="H16" s="81">
        <f t="shared" si="2"/>
        <v>459.96</v>
      </c>
      <c r="I16" s="102">
        <f t="shared" si="3"/>
        <v>2468562.11</v>
      </c>
      <c r="N16" s="635" t="s">
        <v>22</v>
      </c>
      <c r="O16" s="635"/>
      <c r="P16" s="636">
        <f t="shared" si="0"/>
        <v>0</v>
      </c>
      <c r="Q16" s="636"/>
      <c r="R16" s="637">
        <v>1</v>
      </c>
      <c r="S16" s="637"/>
      <c r="T16" s="96">
        <f t="shared" si="4"/>
        <v>0</v>
      </c>
      <c r="U16" s="97">
        <f t="shared" si="5"/>
        <v>0</v>
      </c>
    </row>
    <row r="17" spans="1:21" x14ac:dyDescent="0.25">
      <c r="A17" s="586" t="s">
        <v>23</v>
      </c>
      <c r="B17" s="586"/>
      <c r="C17" s="151">
        <v>30.5</v>
      </c>
      <c r="D17" s="151">
        <v>29.49</v>
      </c>
      <c r="E17" s="117">
        <f t="shared" si="1"/>
        <v>59.989999999999995</v>
      </c>
      <c r="F17" s="622">
        <f>'0664'!F17:G17</f>
        <v>1</v>
      </c>
      <c r="G17" s="622"/>
      <c r="H17" s="81">
        <f t="shared" si="2"/>
        <v>59.99</v>
      </c>
      <c r="I17" s="102">
        <f t="shared" si="3"/>
        <v>321960.69</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11.76</v>
      </c>
      <c r="D26" s="151">
        <v>10.94</v>
      </c>
      <c r="E26" s="117">
        <f t="shared" si="1"/>
        <v>22.7</v>
      </c>
      <c r="F26" s="622">
        <f>'0664'!F26:G26</f>
        <v>1.208</v>
      </c>
      <c r="G26" s="622"/>
      <c r="H26" s="81">
        <f t="shared" si="2"/>
        <v>27.421600000000002</v>
      </c>
      <c r="I26" s="102">
        <f t="shared" si="3"/>
        <v>147169.15</v>
      </c>
      <c r="N26" s="635" t="s">
        <v>91</v>
      </c>
      <c r="O26" s="635"/>
      <c r="P26" s="636">
        <f t="shared" si="0"/>
        <v>0</v>
      </c>
      <c r="Q26" s="636"/>
      <c r="R26" s="637">
        <v>1</v>
      </c>
      <c r="S26" s="637"/>
      <c r="T26" s="96">
        <f t="shared" si="4"/>
        <v>0</v>
      </c>
      <c r="U26" s="97">
        <f t="shared" si="5"/>
        <v>0</v>
      </c>
    </row>
    <row r="27" spans="1:21" x14ac:dyDescent="0.25">
      <c r="A27" s="586" t="s">
        <v>92</v>
      </c>
      <c r="B27" s="586"/>
      <c r="C27" s="151">
        <v>3.01</v>
      </c>
      <c r="D27" s="151">
        <v>2.57</v>
      </c>
      <c r="E27" s="117">
        <f t="shared" si="1"/>
        <v>5.58</v>
      </c>
      <c r="F27" s="622">
        <f>'0664'!F27:G27</f>
        <v>1.208</v>
      </c>
      <c r="G27" s="622"/>
      <c r="H27" s="81">
        <f t="shared" si="2"/>
        <v>6.7405999999999997</v>
      </c>
      <c r="I27" s="102">
        <f t="shared" si="3"/>
        <v>36176.17</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506.03999999999996</v>
      </c>
      <c r="D30" s="95">
        <f>SUM(D14:D29)</f>
        <v>491.57000000000005</v>
      </c>
      <c r="E30" s="95">
        <f>SUM(E14:E29)</f>
        <v>997.61000000000013</v>
      </c>
      <c r="F30" s="609"/>
      <c r="G30" s="609"/>
      <c r="H30" s="100">
        <f>SUM(H14:H29)</f>
        <v>1058.3165999999999</v>
      </c>
      <c r="I30" s="95">
        <f>SUM(I14:I29)</f>
        <v>5679885.7700000005</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1058.3165999999999</v>
      </c>
      <c r="F46" s="34"/>
      <c r="G46" s="107"/>
      <c r="H46" s="108" t="s">
        <v>104</v>
      </c>
      <c r="I46" s="95">
        <f>SUM(I44,I30)</f>
        <v>5679885.7700000005</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5679885.7700000005</v>
      </c>
      <c r="G51" s="110" t="s">
        <v>6</v>
      </c>
      <c r="H51" s="425">
        <v>4.5199999999999997E-2</v>
      </c>
      <c r="I51" s="102">
        <f>ROUND(F51*H51,2)</f>
        <v>256730.84</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5679885.7700000005</v>
      </c>
      <c r="G52" s="110" t="s">
        <v>6</v>
      </c>
      <c r="H52" s="425">
        <v>1.41E-2</v>
      </c>
      <c r="I52" s="102">
        <f>ROUND(F52*H52,2)</f>
        <v>80086.39</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336817.23</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997.61000000000013</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4.9069999999999999E-3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1058.3165999999999</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4.6509999999999998E-3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997.61000000000013</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5.3369999999999997E-3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997.61000000000013</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4.9119999999999997E-3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997.61000000000013</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5.3439999999999998E-3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4.9119999999999997E-3</v>
      </c>
      <c r="I71" s="102">
        <f>ROUND(F71*H71,2)</f>
        <v>219397.11</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4.9069999999999999E-3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5.3439999999999998E-3</v>
      </c>
      <c r="I76" s="102">
        <f>ROUND(F76*H76,2)</f>
        <v>86396.73</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5.3369999999999997E-3</v>
      </c>
      <c r="I78" s="102">
        <f t="shared" ref="I78:I87" si="10">ROUND(F78*H78,2)</f>
        <v>53584.01</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107.49</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107.49</v>
      </c>
      <c r="G83" s="37" t="s">
        <v>6</v>
      </c>
      <c r="H83" s="448">
        <f>'0664'!H83</f>
        <v>1951.26</v>
      </c>
      <c r="I83" s="102">
        <f>ROUND(F83*H83,2)</f>
        <v>209740.94</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4.6509999999999998E-3</v>
      </c>
      <c r="I85" s="102">
        <f t="shared" si="10"/>
        <v>1090140.5900000001</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4.6509999999999998E-3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531.62599999999998</v>
      </c>
      <c r="D92" s="597"/>
      <c r="E92" s="47">
        <f>H8</f>
        <v>1.0442</v>
      </c>
      <c r="F92" s="320">
        <f>'0664'!F92</f>
        <v>947.59</v>
      </c>
      <c r="G92" s="39" t="s">
        <v>12</v>
      </c>
      <c r="H92" s="102">
        <f>ROUND(C92*E92*F92,2)</f>
        <v>526029.82999999996</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526.6905999999999</v>
      </c>
      <c r="D93" s="597"/>
      <c r="E93" s="47">
        <f>H8</f>
        <v>1.0442</v>
      </c>
      <c r="F93" s="320">
        <f>'0664'!F93</f>
        <v>904.74</v>
      </c>
      <c r="G93" s="39" t="s">
        <v>12</v>
      </c>
      <c r="H93" s="102">
        <f>ROUND(C93*E93*F93,2)</f>
        <v>497580.15</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1058.3165999999999</v>
      </c>
      <c r="D95" s="601"/>
      <c r="E95" s="130"/>
      <c r="F95" s="130"/>
      <c r="G95" s="130"/>
      <c r="H95" s="131" t="s">
        <v>112</v>
      </c>
      <c r="I95" s="102">
        <f>IF(A1=75,0,H94+H93+H92)</f>
        <v>1023609.98</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46</v>
      </c>
      <c r="D101" s="151">
        <v>0</v>
      </c>
      <c r="E101" s="117">
        <f>(C101+D101)/2</f>
        <v>23</v>
      </c>
      <c r="F101" s="134" t="s">
        <v>30</v>
      </c>
      <c r="G101" s="321">
        <f>'0664'!G101</f>
        <v>565</v>
      </c>
      <c r="I101" s="102">
        <f>ROUND(G101*E101,2)</f>
        <v>12995</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8712567.3600000013</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8375750.1300000008</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1" t="s">
        <v>258</v>
      </c>
      <c r="H123" s="147">
        <f>IF(H121=1,I121,I118)</f>
        <v>8375750.1300000008</v>
      </c>
      <c r="I123" s="95">
        <f>ROUND(IF(E30=0,0,IF(E30&gt;250,-(((250/E30)*H123)*IF(G123="H",0.02,0.05)),IF(G123="H",-0.02*H123,-0.05*H123))),2)</f>
        <v>-41979.08</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8670588.2800000012</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8670588.2800000012</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722549.02</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125535.92</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C93:D93"/>
    <mergeCell ref="P93:Q93"/>
    <mergeCell ref="C94:D94"/>
    <mergeCell ref="P94:Q94"/>
    <mergeCell ref="C95:D95"/>
    <mergeCell ref="P95:T95"/>
    <mergeCell ref="A96:I96"/>
    <mergeCell ref="N96:U96"/>
    <mergeCell ref="F98:I98"/>
    <mergeCell ref="N98:P98"/>
    <mergeCell ref="Q98:T98"/>
    <mergeCell ref="A101:B101"/>
    <mergeCell ref="N101:O101"/>
    <mergeCell ref="P101:R101"/>
    <mergeCell ref="A102:B102"/>
    <mergeCell ref="N102:O102"/>
    <mergeCell ref="P102:R102"/>
    <mergeCell ref="R110:S110"/>
    <mergeCell ref="A105:C105"/>
    <mergeCell ref="F105:I105"/>
    <mergeCell ref="N105:U105"/>
    <mergeCell ref="C106:E106"/>
    <mergeCell ref="F107:G107"/>
    <mergeCell ref="A108:B108"/>
    <mergeCell ref="F108:G108"/>
    <mergeCell ref="N108:O108"/>
    <mergeCell ref="P108:Q108"/>
    <mergeCell ref="A109:B109"/>
    <mergeCell ref="F109:G109"/>
    <mergeCell ref="N109:O109"/>
    <mergeCell ref="P109:Q109"/>
    <mergeCell ref="R109:S109"/>
    <mergeCell ref="A110:B110"/>
    <mergeCell ref="F110:G110"/>
    <mergeCell ref="N110:O110"/>
    <mergeCell ref="R108:S108"/>
    <mergeCell ref="A111:B111"/>
    <mergeCell ref="F111:G111"/>
    <mergeCell ref="N111:O111"/>
    <mergeCell ref="P111:Q111"/>
    <mergeCell ref="P110:Q110"/>
    <mergeCell ref="R111:S111"/>
    <mergeCell ref="A112:B112"/>
    <mergeCell ref="N112:O112"/>
    <mergeCell ref="N140:U140"/>
    <mergeCell ref="N120:U120"/>
    <mergeCell ref="N114:P114"/>
    <mergeCell ref="A114:C114"/>
    <mergeCell ref="F114:H114"/>
    <mergeCell ref="N115:T115"/>
    <mergeCell ref="A116:H116"/>
    <mergeCell ref="A120:G120"/>
    <mergeCell ref="N121:U121"/>
    <mergeCell ref="A121:G121"/>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CCC"/>
  </sheetPr>
  <dimension ref="A1:V209"/>
  <sheetViews>
    <sheetView showGridLines="0" zoomScaleNormal="100" workbookViewId="0">
      <pane ySplit="1" topLeftCell="A114"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303" t="s">
        <v>140</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9" t="s">
        <v>333</v>
      </c>
      <c r="D10" s="89" t="s">
        <v>333</v>
      </c>
      <c r="E10" s="8"/>
      <c r="F10" s="9"/>
      <c r="G10" s="9"/>
      <c r="H10" s="10"/>
      <c r="I10" s="322" t="str">
        <f>'0664'!I10</f>
        <v>2023-24</v>
      </c>
      <c r="J10" s="267"/>
      <c r="K10" s="66"/>
      <c r="L10" s="66"/>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J11" s="269"/>
      <c r="K11" s="268"/>
      <c r="L11" s="268"/>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J12" s="267"/>
      <c r="K12" s="268"/>
      <c r="L12" s="268"/>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K13" s="268"/>
      <c r="L13" s="268"/>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223.83</v>
      </c>
      <c r="D16" s="151">
        <v>220.4</v>
      </c>
      <c r="E16" s="117">
        <f t="shared" si="1"/>
        <v>444.23</v>
      </c>
      <c r="F16" s="622">
        <f>'0664'!F16:G16</f>
        <v>1</v>
      </c>
      <c r="G16" s="622"/>
      <c r="H16" s="81">
        <f t="shared" si="2"/>
        <v>444.23</v>
      </c>
      <c r="I16" s="102">
        <f t="shared" si="3"/>
        <v>2384140.6800000002</v>
      </c>
      <c r="N16" s="635" t="s">
        <v>22</v>
      </c>
      <c r="O16" s="635"/>
      <c r="P16" s="636">
        <f t="shared" si="0"/>
        <v>0</v>
      </c>
      <c r="Q16" s="636"/>
      <c r="R16" s="637">
        <v>1</v>
      </c>
      <c r="S16" s="637"/>
      <c r="T16" s="96">
        <f t="shared" si="4"/>
        <v>0</v>
      </c>
      <c r="U16" s="97">
        <f t="shared" si="5"/>
        <v>0</v>
      </c>
    </row>
    <row r="17" spans="1:21" x14ac:dyDescent="0.25">
      <c r="A17" s="586" t="s">
        <v>23</v>
      </c>
      <c r="B17" s="586"/>
      <c r="C17" s="151">
        <v>42.5</v>
      </c>
      <c r="D17" s="151">
        <v>41.46</v>
      </c>
      <c r="E17" s="117">
        <f t="shared" si="1"/>
        <v>83.960000000000008</v>
      </c>
      <c r="F17" s="622">
        <f>'0664'!F17:G17</f>
        <v>1</v>
      </c>
      <c r="G17" s="622"/>
      <c r="H17" s="81">
        <f t="shared" si="2"/>
        <v>83.96</v>
      </c>
      <c r="I17" s="102">
        <f t="shared" si="3"/>
        <v>450605.43</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2.94</v>
      </c>
      <c r="D27" s="151">
        <v>2.96</v>
      </c>
      <c r="E27" s="117">
        <f t="shared" si="1"/>
        <v>5.9</v>
      </c>
      <c r="F27" s="622">
        <f>'0664'!F27:G27</f>
        <v>1.208</v>
      </c>
      <c r="G27" s="622"/>
      <c r="H27" s="81">
        <f t="shared" si="2"/>
        <v>7.1272000000000002</v>
      </c>
      <c r="I27" s="102">
        <f t="shared" si="3"/>
        <v>38251.01</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269.27000000000004</v>
      </c>
      <c r="D30" s="95">
        <f>SUM(D14:D29)</f>
        <v>264.82</v>
      </c>
      <c r="E30" s="95">
        <f>SUM(E14:E29)</f>
        <v>534.09</v>
      </c>
      <c r="F30" s="609"/>
      <c r="G30" s="609"/>
      <c r="H30" s="100">
        <f>SUM(H14:H29)</f>
        <v>535.31720000000007</v>
      </c>
      <c r="I30" s="95">
        <f>SUM(I14:I29)</f>
        <v>2872997.12</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535.31720000000007</v>
      </c>
      <c r="F46" s="34"/>
      <c r="G46" s="107"/>
      <c r="H46" s="108" t="s">
        <v>104</v>
      </c>
      <c r="I46" s="95">
        <f>SUM(I44,I30)</f>
        <v>2872997.12</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2872997.12</v>
      </c>
      <c r="G51" s="110" t="s">
        <v>6</v>
      </c>
      <c r="H51" s="425">
        <v>4.5199999999999997E-2</v>
      </c>
      <c r="I51" s="102">
        <f>ROUND(F51*H51,2)</f>
        <v>129859.47</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2872997.12</v>
      </c>
      <c r="G52" s="110" t="s">
        <v>6</v>
      </c>
      <c r="H52" s="425">
        <v>1.41E-2</v>
      </c>
      <c r="I52" s="102">
        <f>ROUND(F52*H52,2)</f>
        <v>40509.26</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170368.73</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534.09</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2.627E-3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535.31720000000007</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2.3530000000000001E-3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534.09</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2.8579999999999999E-3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534.09</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2.63E-3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534.09</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2.8609999999999998E-3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2.63E-3</v>
      </c>
      <c r="I71" s="102">
        <f>ROUND(F71*H71,2)</f>
        <v>117470.36</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2.627E-3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2.8609999999999998E-3</v>
      </c>
      <c r="I76" s="102">
        <f>ROUND(F76*H76,2)</f>
        <v>46253.94</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2.8579999999999999E-3</v>
      </c>
      <c r="I78" s="102">
        <f t="shared" ref="I78:I87" si="10">ROUND(F78*H78,2)</f>
        <v>28694.6</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83.960000000000008</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83.960000000000008</v>
      </c>
      <c r="G83" s="37" t="s">
        <v>6</v>
      </c>
      <c r="H83" s="448">
        <f>'0664'!H83</f>
        <v>1951.26</v>
      </c>
      <c r="I83" s="102">
        <f>ROUND(F83*H83,2)</f>
        <v>163827.79</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2.3530000000000001E-3</v>
      </c>
      <c r="I85" s="102">
        <f t="shared" si="10"/>
        <v>551515.98</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2.3530000000000001E-3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0</v>
      </c>
      <c r="D92" s="597"/>
      <c r="E92" s="47">
        <f>H8</f>
        <v>1.0442</v>
      </c>
      <c r="F92" s="320">
        <f>'0664'!F92</f>
        <v>947.59</v>
      </c>
      <c r="G92" s="39" t="s">
        <v>12</v>
      </c>
      <c r="H92" s="102">
        <f>ROUND(C92*E92*F92,2)</f>
        <v>0</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535.31720000000007</v>
      </c>
      <c r="D93" s="597"/>
      <c r="E93" s="47">
        <f>H8</f>
        <v>1.0442</v>
      </c>
      <c r="F93" s="320">
        <f>'0664'!F93</f>
        <v>904.74</v>
      </c>
      <c r="G93" s="39" t="s">
        <v>12</v>
      </c>
      <c r="H93" s="102">
        <f>ROUND(C93*E93*F93,2)</f>
        <v>505729.95</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535.31720000000007</v>
      </c>
      <c r="D95" s="601"/>
      <c r="E95" s="130"/>
      <c r="F95" s="130"/>
      <c r="G95" s="130"/>
      <c r="H95" s="131" t="s">
        <v>112</v>
      </c>
      <c r="I95" s="102">
        <f>IF(A1=75,0,H94+H93+H92)</f>
        <v>505729.95</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336</v>
      </c>
      <c r="D101" s="151">
        <v>333</v>
      </c>
      <c r="E101" s="117">
        <f>(C101+D101)/2</f>
        <v>334.5</v>
      </c>
      <c r="F101" s="134" t="s">
        <v>30</v>
      </c>
      <c r="G101" s="321">
        <f>'0664'!G101</f>
        <v>565</v>
      </c>
      <c r="I101" s="102">
        <f>ROUND(G101*E101,2)</f>
        <v>188992.5</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4645850.97</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4475482.2399999993</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4475482.2399999993</v>
      </c>
      <c r="I123" s="95">
        <f>ROUND(IF(E30=0,0,IF(E30&gt;250,-(((250/E30)*H123)*IF(G123="H",0.02,0.05)),IF(G123="H",-0.02*H123,-0.05*H123))),2)</f>
        <v>-104745.51</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4541105.46</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82" t="s">
        <v>260</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4541105.46</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82" t="s">
        <v>259</v>
      </c>
      <c r="B133" s="70"/>
      <c r="C133" s="70"/>
      <c r="D133" s="70"/>
      <c r="E133" s="70"/>
      <c r="F133" s="70"/>
      <c r="G133" s="70"/>
      <c r="H133" s="66"/>
      <c r="I133" s="164">
        <f>ROUND(I129/I131,2)</f>
        <v>378425.46</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119028.6</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S58"/>
  <sheetViews>
    <sheetView showGridLines="0" zoomScaleNormal="100" workbookViewId="0">
      <pane xSplit="5" ySplit="4" topLeftCell="F29" activePane="bottomRight" state="frozen"/>
      <selection pane="topRight" activeCell="F1" sqref="F1"/>
      <selection pane="bottomLeft" activeCell="A5" sqref="A5"/>
      <selection pane="bottomRight" activeCell="B58" sqref="B58"/>
    </sheetView>
  </sheetViews>
  <sheetFormatPr defaultColWidth="9.28515625" defaultRowHeight="12.75" x14ac:dyDescent="0.2"/>
  <cols>
    <col min="1" max="1" width="5.140625" style="222" customWidth="1"/>
    <col min="2" max="2" width="39" style="222" customWidth="1"/>
    <col min="3" max="3" width="6.5703125" style="222" bestFit="1" customWidth="1"/>
    <col min="4" max="4" width="4" style="222" bestFit="1" customWidth="1"/>
    <col min="5" max="5" width="7.5703125" style="222" customWidth="1"/>
    <col min="6" max="6" width="11" style="222" bestFit="1" customWidth="1"/>
    <col min="7" max="7" width="11" style="207" bestFit="1" customWidth="1"/>
    <col min="8" max="8" width="10" style="207" bestFit="1" customWidth="1"/>
    <col min="9" max="9" width="2.7109375" style="207" customWidth="1"/>
    <col min="10" max="10" width="12.42578125" style="222" bestFit="1" customWidth="1"/>
    <col min="11" max="11" width="12.42578125" style="222" customWidth="1"/>
    <col min="12" max="12" width="11" style="222" bestFit="1" customWidth="1"/>
    <col min="13" max="13" width="2.7109375" style="207" customWidth="1"/>
    <col min="14" max="14" width="12.42578125" style="222" bestFit="1" customWidth="1"/>
    <col min="15" max="15" width="12.42578125" style="222" customWidth="1"/>
    <col min="16" max="16" width="11" style="222" bestFit="1" customWidth="1"/>
    <col min="17" max="17" width="2.7109375" style="207" customWidth="1"/>
    <col min="18" max="18" width="12.42578125" style="222" bestFit="1" customWidth="1"/>
    <col min="19" max="19" width="12.42578125" style="222" customWidth="1"/>
    <col min="20" max="20" width="11.5703125" style="222" bestFit="1" customWidth="1"/>
    <col min="21" max="21" width="2.7109375" style="207" customWidth="1"/>
    <col min="22" max="22" width="11" style="222" bestFit="1" customWidth="1"/>
    <col min="23" max="23" width="11" style="222" customWidth="1"/>
    <col min="24" max="24" width="11" style="222" bestFit="1" customWidth="1"/>
    <col min="25" max="25" width="2.7109375" style="207" customWidth="1"/>
    <col min="26" max="26" width="12.42578125" style="222" bestFit="1" customWidth="1"/>
    <col min="27" max="27" width="12.42578125" style="222" customWidth="1"/>
    <col min="28" max="28" width="11" style="222" bestFit="1" customWidth="1"/>
    <col min="29" max="29" width="2.7109375" style="207" customWidth="1"/>
    <col min="30" max="30" width="12.42578125" style="222" bestFit="1" customWidth="1"/>
    <col min="31" max="31" width="12.42578125" style="222" customWidth="1"/>
    <col min="32" max="32" width="11" style="222" bestFit="1" customWidth="1"/>
    <col min="33" max="33" width="2.7109375" style="207" customWidth="1"/>
    <col min="34" max="35" width="12.42578125" style="222" bestFit="1" customWidth="1"/>
    <col min="36" max="36" width="11" style="222" customWidth="1"/>
    <col min="37" max="37" width="2.7109375" style="207" customWidth="1"/>
    <col min="38" max="39" width="13.5703125" style="222" bestFit="1" customWidth="1"/>
    <col min="40" max="40" width="11.5703125" style="222" customWidth="1"/>
    <col min="41" max="41" width="2.7109375" style="207" customWidth="1"/>
    <col min="42" max="43" width="12.42578125" style="222" bestFit="1" customWidth="1"/>
    <col min="44" max="44" width="11" style="222" customWidth="1"/>
    <col min="45" max="45" width="2.7109375" style="207" customWidth="1"/>
    <col min="46" max="47" width="11" style="222" bestFit="1" customWidth="1"/>
    <col min="48" max="48" width="11.5703125" style="222" customWidth="1"/>
    <col min="49" max="49" width="2.7109375" style="207" customWidth="1"/>
    <col min="50" max="51" width="12.42578125" style="222" bestFit="1" customWidth="1"/>
    <col min="52" max="52" width="11" style="222" customWidth="1"/>
    <col min="53" max="53" width="2.7109375" style="207" customWidth="1"/>
    <col min="54" max="55" width="12.42578125" style="222" bestFit="1" customWidth="1"/>
    <col min="56" max="56" width="11" style="222" customWidth="1"/>
    <col min="57" max="57" width="2.7109375" style="207" customWidth="1"/>
    <col min="58" max="59" width="11" style="222" bestFit="1" customWidth="1"/>
    <col min="60" max="60" width="11.5703125" style="222" customWidth="1"/>
    <col min="61" max="61" width="2.7109375" style="207" customWidth="1"/>
    <col min="62" max="63" width="12.42578125" style="222" bestFit="1" customWidth="1"/>
    <col min="64" max="64" width="11" style="222" customWidth="1"/>
    <col min="65" max="65" width="2.7109375" style="207" customWidth="1"/>
    <col min="66" max="67" width="12.42578125" style="222" bestFit="1" customWidth="1"/>
    <col min="68" max="68" width="11" style="222" customWidth="1"/>
    <col min="69" max="69" width="2.7109375" style="207" customWidth="1"/>
    <col min="70" max="71" width="12.42578125" style="222" bestFit="1" customWidth="1"/>
    <col min="72" max="72" width="11" style="222" customWidth="1"/>
    <col min="73" max="73" width="2.7109375" style="207" customWidth="1"/>
    <col min="74" max="75" width="12.42578125" style="222" bestFit="1" customWidth="1"/>
    <col min="76" max="76" width="11" style="222" customWidth="1"/>
    <col min="77" max="77" width="2.7109375" style="207" customWidth="1"/>
    <col min="78" max="78" width="12.42578125" style="222" bestFit="1" customWidth="1"/>
    <col min="79" max="79" width="11" style="222" bestFit="1" customWidth="1"/>
    <col min="80" max="80" width="11.5703125" style="222" customWidth="1"/>
    <col min="81" max="81" width="2.7109375" style="207" customWidth="1"/>
    <col min="82" max="83" width="12.42578125" style="222" bestFit="1" customWidth="1"/>
    <col min="84" max="84" width="11" style="222" customWidth="1"/>
    <col min="85" max="85" width="2.7109375" style="207" customWidth="1"/>
    <col min="86" max="87" width="12.42578125" style="222" bestFit="1" customWidth="1"/>
    <col min="88" max="88" width="11" style="222" customWidth="1"/>
    <col min="89" max="89" width="2.7109375" style="207" customWidth="1"/>
    <col min="90" max="90" width="12.42578125" style="222" customWidth="1"/>
    <col min="91" max="91" width="12.42578125" style="222" bestFit="1" customWidth="1"/>
    <col min="92" max="92" width="11" style="222" customWidth="1"/>
    <col min="93" max="93" width="2.7109375" style="207" customWidth="1"/>
    <col min="94" max="95" width="12.42578125" style="222" bestFit="1" customWidth="1"/>
    <col min="96" max="96" width="11" style="222" customWidth="1"/>
    <col min="97" max="97" width="2.7109375" style="207" customWidth="1"/>
    <col min="98" max="99" width="12.42578125" style="222" bestFit="1" customWidth="1"/>
    <col min="100" max="100" width="11" style="222" customWidth="1"/>
    <col min="101" max="101" width="2.7109375" style="207" customWidth="1"/>
    <col min="102" max="103" width="12.42578125" style="222" bestFit="1" customWidth="1"/>
    <col min="104" max="104" width="11" style="222" customWidth="1"/>
    <col min="105" max="105" width="2.7109375" style="207" customWidth="1"/>
    <col min="106" max="107" width="12.42578125" style="222" bestFit="1" customWidth="1"/>
    <col min="108" max="108" width="11" style="222" customWidth="1"/>
    <col min="109" max="109" width="2.7109375" style="207" customWidth="1"/>
    <col min="110" max="111" width="12.42578125" style="222" bestFit="1" customWidth="1"/>
    <col min="112" max="112" width="11" style="222" customWidth="1"/>
    <col min="113" max="113" width="2.7109375" style="207" customWidth="1"/>
    <col min="114" max="115" width="12.42578125" style="222" bestFit="1" customWidth="1"/>
    <col min="116" max="116" width="11" style="222" customWidth="1"/>
    <col min="117" max="117" width="2.7109375" style="207" customWidth="1"/>
    <col min="118" max="119" width="12.42578125" style="222" bestFit="1" customWidth="1"/>
    <col min="120" max="120" width="11" style="222" customWidth="1"/>
    <col min="121" max="121" width="2.7109375" style="207" customWidth="1"/>
    <col min="122" max="122" width="12.42578125" style="222" bestFit="1" customWidth="1"/>
    <col min="123" max="123" width="13.5703125" style="222" bestFit="1" customWidth="1"/>
    <col min="124" max="124" width="11" style="222" customWidth="1"/>
    <col min="125" max="125" width="2.7109375" style="207" customWidth="1"/>
    <col min="126" max="127" width="12.42578125" style="222" bestFit="1" customWidth="1"/>
    <col min="128" max="128" width="11" style="222" customWidth="1"/>
    <col min="129" max="129" width="2.7109375" style="207" customWidth="1"/>
    <col min="130" max="131" width="12.42578125" style="222" bestFit="1" customWidth="1"/>
    <col min="132" max="132" width="11" style="222" customWidth="1"/>
    <col min="133" max="133" width="2.7109375" style="207" customWidth="1"/>
    <col min="134" max="135" width="13.5703125" style="222" bestFit="1" customWidth="1"/>
    <col min="136" max="136" width="11" style="222" customWidth="1"/>
    <col min="137" max="137" width="2.7109375" style="207" customWidth="1"/>
    <col min="138" max="139" width="12.42578125" style="222" bestFit="1" customWidth="1"/>
    <col min="140" max="140" width="11" style="222" customWidth="1"/>
    <col min="141" max="141" width="2.7109375" style="207" customWidth="1"/>
    <col min="142" max="143" width="12.42578125" style="222" bestFit="1" customWidth="1"/>
    <col min="144" max="144" width="11" style="222" customWidth="1"/>
    <col min="145" max="145" width="2.7109375" style="207" customWidth="1"/>
    <col min="146" max="147" width="11" style="222" bestFit="1" customWidth="1"/>
    <col min="148" max="148" width="10" style="222" customWidth="1"/>
    <col min="149" max="149" width="2.7109375" style="207" customWidth="1"/>
    <col min="150" max="151" width="12.42578125" style="222" bestFit="1" customWidth="1"/>
    <col min="152" max="152" width="11" style="222" customWidth="1"/>
    <col min="153" max="153" width="2.7109375" style="207" customWidth="1"/>
    <col min="154" max="155" width="12.42578125" style="222" bestFit="1" customWidth="1"/>
    <col min="156" max="156" width="11" style="222" customWidth="1"/>
    <col min="157" max="157" width="2.7109375" style="207" customWidth="1"/>
    <col min="158" max="159" width="12.42578125" style="222" bestFit="1" customWidth="1"/>
    <col min="160" max="160" width="11" style="222" customWidth="1"/>
    <col min="161" max="161" width="2.7109375" style="207" customWidth="1"/>
    <col min="162" max="163" width="12.42578125" style="222" bestFit="1" customWidth="1"/>
    <col min="164" max="164" width="11" style="222" customWidth="1"/>
    <col min="165" max="165" width="2.7109375" style="207" customWidth="1"/>
    <col min="166" max="167" width="12.42578125" style="222" bestFit="1" customWidth="1"/>
    <col min="168" max="168" width="11" style="222" customWidth="1"/>
    <col min="169" max="169" width="2.7109375" style="207" customWidth="1"/>
    <col min="170" max="171" width="12.42578125" style="222" bestFit="1" customWidth="1"/>
    <col min="172" max="172" width="11" style="222" customWidth="1"/>
    <col min="173" max="173" width="2.7109375" style="207" customWidth="1"/>
    <col min="174" max="175" width="12.42578125" style="222" bestFit="1" customWidth="1"/>
    <col min="176" max="176" width="11" style="222" customWidth="1"/>
    <col min="177" max="177" width="2.7109375" style="207" customWidth="1"/>
    <col min="178" max="179" width="12.42578125" style="222" bestFit="1" customWidth="1"/>
    <col min="180" max="180" width="11" style="222" customWidth="1"/>
    <col min="181" max="181" width="2.7109375" style="207" customWidth="1"/>
    <col min="182" max="183" width="12.42578125" style="222" bestFit="1" customWidth="1"/>
    <col min="184" max="184" width="11" style="222" customWidth="1"/>
    <col min="185" max="185" width="2.7109375" style="207" customWidth="1"/>
    <col min="186" max="187" width="12.42578125" style="222" bestFit="1" customWidth="1"/>
    <col min="188" max="188" width="11" style="222" customWidth="1"/>
    <col min="189" max="189" width="2.7109375" style="207" customWidth="1"/>
    <col min="190" max="191" width="12.42578125" style="222" bestFit="1" customWidth="1"/>
    <col min="192" max="192" width="11" style="222" customWidth="1"/>
    <col min="193" max="193" width="2.7109375" style="207" customWidth="1"/>
    <col min="194" max="195" width="11" style="222" bestFit="1" customWidth="1"/>
    <col min="196" max="196" width="10" style="222" customWidth="1"/>
    <col min="197" max="197" width="2.7109375" style="207" customWidth="1"/>
    <col min="198" max="199" width="14.5703125" style="222" bestFit="1" customWidth="1"/>
    <col min="200" max="200" width="13.5703125" style="222" bestFit="1" customWidth="1"/>
    <col min="201" max="201" width="2.7109375" style="207" customWidth="1"/>
    <col min="202" max="16384" width="9.28515625" style="222"/>
  </cols>
  <sheetData>
    <row r="1" spans="1:201" x14ac:dyDescent="0.2">
      <c r="B1" s="507" t="s">
        <v>548</v>
      </c>
      <c r="C1" s="507"/>
      <c r="D1" s="507"/>
      <c r="E1" s="507"/>
      <c r="F1" s="207"/>
      <c r="H1" s="508"/>
      <c r="I1" s="254"/>
      <c r="M1" s="254"/>
      <c r="Q1" s="254"/>
      <c r="U1" s="254"/>
      <c r="Y1" s="254"/>
      <c r="AC1" s="254"/>
      <c r="AG1" s="254"/>
      <c r="AK1" s="254"/>
      <c r="AO1" s="254"/>
      <c r="AS1" s="254"/>
      <c r="AW1" s="254"/>
      <c r="BA1" s="254"/>
      <c r="BE1" s="254"/>
      <c r="BI1" s="254"/>
      <c r="BM1" s="254"/>
      <c r="BQ1" s="254"/>
      <c r="BU1" s="254"/>
      <c r="BY1" s="254"/>
      <c r="CC1" s="254"/>
      <c r="CG1" s="254"/>
      <c r="CK1" s="254"/>
      <c r="CO1" s="254"/>
      <c r="CS1" s="254"/>
      <c r="CW1" s="254"/>
      <c r="DA1" s="254"/>
      <c r="DE1" s="254"/>
      <c r="DI1" s="254"/>
      <c r="DM1" s="254"/>
      <c r="DQ1" s="254"/>
      <c r="DU1" s="254"/>
      <c r="DY1" s="254"/>
      <c r="EC1" s="254"/>
      <c r="EG1" s="254"/>
      <c r="EK1" s="254"/>
      <c r="EO1" s="254"/>
      <c r="ES1" s="254"/>
      <c r="EW1" s="254"/>
      <c r="FA1" s="254"/>
      <c r="FE1" s="254"/>
      <c r="FI1" s="254"/>
      <c r="FM1" s="254"/>
      <c r="FQ1" s="254"/>
      <c r="FU1" s="254"/>
      <c r="FY1" s="254"/>
      <c r="GC1" s="254"/>
      <c r="GG1" s="254"/>
      <c r="GK1" s="254"/>
      <c r="GO1" s="254"/>
      <c r="GS1" s="254"/>
    </row>
    <row r="2" spans="1:201" x14ac:dyDescent="0.2">
      <c r="B2" s="507" t="s">
        <v>549</v>
      </c>
      <c r="C2" s="507"/>
      <c r="D2" s="507"/>
      <c r="E2" s="507"/>
      <c r="F2" s="576" t="s">
        <v>550</v>
      </c>
      <c r="G2" s="576"/>
      <c r="H2" s="576"/>
      <c r="I2" s="509"/>
      <c r="J2" s="576" t="s">
        <v>551</v>
      </c>
      <c r="K2" s="576"/>
      <c r="L2" s="576"/>
      <c r="M2" s="509"/>
      <c r="N2" s="576" t="s">
        <v>552</v>
      </c>
      <c r="O2" s="576"/>
      <c r="P2" s="576"/>
      <c r="Q2" s="509"/>
      <c r="R2" s="576" t="s">
        <v>553</v>
      </c>
      <c r="S2" s="576"/>
      <c r="T2" s="576"/>
      <c r="U2" s="509"/>
      <c r="V2" s="576" t="s">
        <v>554</v>
      </c>
      <c r="W2" s="576"/>
      <c r="X2" s="576"/>
      <c r="Y2" s="509"/>
      <c r="Z2" s="576" t="s">
        <v>555</v>
      </c>
      <c r="AA2" s="576"/>
      <c r="AB2" s="576"/>
      <c r="AC2" s="509"/>
      <c r="AD2" s="576" t="s">
        <v>556</v>
      </c>
      <c r="AE2" s="576"/>
      <c r="AF2" s="576"/>
      <c r="AG2" s="509"/>
      <c r="AH2" s="576" t="s">
        <v>557</v>
      </c>
      <c r="AI2" s="576"/>
      <c r="AJ2" s="576"/>
      <c r="AK2" s="509"/>
      <c r="AL2" s="576" t="s">
        <v>558</v>
      </c>
      <c r="AM2" s="576"/>
      <c r="AN2" s="576"/>
      <c r="AO2" s="509"/>
      <c r="AP2" s="576" t="s">
        <v>559</v>
      </c>
      <c r="AQ2" s="576"/>
      <c r="AR2" s="576"/>
      <c r="AS2" s="509"/>
      <c r="AT2" s="576" t="s">
        <v>560</v>
      </c>
      <c r="AU2" s="576"/>
      <c r="AV2" s="576"/>
      <c r="AW2" s="509"/>
      <c r="AX2" s="576" t="s">
        <v>561</v>
      </c>
      <c r="AY2" s="576"/>
      <c r="AZ2" s="576"/>
      <c r="BA2" s="509"/>
      <c r="BB2" s="576" t="s">
        <v>562</v>
      </c>
      <c r="BC2" s="576"/>
      <c r="BD2" s="576"/>
      <c r="BE2" s="509"/>
      <c r="BF2" s="576" t="s">
        <v>563</v>
      </c>
      <c r="BG2" s="576"/>
      <c r="BH2" s="576"/>
      <c r="BI2" s="509"/>
      <c r="BJ2" s="576" t="s">
        <v>564</v>
      </c>
      <c r="BK2" s="576"/>
      <c r="BL2" s="576"/>
      <c r="BM2" s="509"/>
      <c r="BN2" s="576" t="s">
        <v>565</v>
      </c>
      <c r="BO2" s="576"/>
      <c r="BP2" s="576"/>
      <c r="BQ2" s="509"/>
      <c r="BR2" s="576" t="s">
        <v>566</v>
      </c>
      <c r="BS2" s="576"/>
      <c r="BT2" s="576"/>
      <c r="BU2" s="509"/>
      <c r="BV2" s="576" t="s">
        <v>567</v>
      </c>
      <c r="BW2" s="576"/>
      <c r="BX2" s="576"/>
      <c r="BY2" s="509"/>
      <c r="BZ2" s="576" t="s">
        <v>568</v>
      </c>
      <c r="CA2" s="576"/>
      <c r="CB2" s="576"/>
      <c r="CC2" s="509"/>
      <c r="CD2" s="576" t="s">
        <v>569</v>
      </c>
      <c r="CE2" s="576"/>
      <c r="CF2" s="576"/>
      <c r="CG2" s="509"/>
      <c r="CH2" s="576" t="s">
        <v>570</v>
      </c>
      <c r="CI2" s="576"/>
      <c r="CJ2" s="576"/>
      <c r="CK2" s="509"/>
      <c r="CL2" s="576" t="s">
        <v>571</v>
      </c>
      <c r="CM2" s="576"/>
      <c r="CN2" s="576"/>
      <c r="CO2" s="509"/>
      <c r="CP2" s="576" t="s">
        <v>572</v>
      </c>
      <c r="CQ2" s="576"/>
      <c r="CR2" s="576"/>
      <c r="CS2" s="509"/>
      <c r="CT2" s="576" t="s">
        <v>573</v>
      </c>
      <c r="CU2" s="576"/>
      <c r="CV2" s="576"/>
      <c r="CW2" s="509"/>
      <c r="CX2" s="576" t="s">
        <v>574</v>
      </c>
      <c r="CY2" s="576"/>
      <c r="CZ2" s="576"/>
      <c r="DA2" s="509"/>
      <c r="DB2" s="576" t="s">
        <v>575</v>
      </c>
      <c r="DC2" s="576"/>
      <c r="DD2" s="576"/>
      <c r="DE2" s="509"/>
      <c r="DF2" s="576" t="s">
        <v>576</v>
      </c>
      <c r="DG2" s="576"/>
      <c r="DH2" s="576"/>
      <c r="DI2" s="509"/>
      <c r="DJ2" s="576" t="s">
        <v>577</v>
      </c>
      <c r="DK2" s="576"/>
      <c r="DL2" s="576"/>
      <c r="DM2" s="509"/>
      <c r="DN2" s="576" t="s">
        <v>578</v>
      </c>
      <c r="DO2" s="576"/>
      <c r="DP2" s="576"/>
      <c r="DQ2" s="509"/>
      <c r="DR2" s="576" t="s">
        <v>579</v>
      </c>
      <c r="DS2" s="576"/>
      <c r="DT2" s="576"/>
      <c r="DU2" s="509"/>
      <c r="DV2" s="576" t="s">
        <v>580</v>
      </c>
      <c r="DW2" s="576"/>
      <c r="DX2" s="576"/>
      <c r="DY2" s="509"/>
      <c r="DZ2" s="576" t="s">
        <v>581</v>
      </c>
      <c r="EA2" s="576"/>
      <c r="EB2" s="576"/>
      <c r="EC2" s="509"/>
      <c r="ED2" s="576" t="s">
        <v>582</v>
      </c>
      <c r="EE2" s="576"/>
      <c r="EF2" s="576"/>
      <c r="EG2" s="509"/>
      <c r="EH2" s="576" t="s">
        <v>583</v>
      </c>
      <c r="EI2" s="576"/>
      <c r="EJ2" s="576"/>
      <c r="EK2" s="509"/>
      <c r="EL2" s="576" t="s">
        <v>584</v>
      </c>
      <c r="EM2" s="576"/>
      <c r="EN2" s="576"/>
      <c r="EO2" s="509"/>
      <c r="EP2" s="576" t="s">
        <v>585</v>
      </c>
      <c r="EQ2" s="576"/>
      <c r="ER2" s="576"/>
      <c r="ES2" s="509"/>
      <c r="ET2" s="576" t="s">
        <v>586</v>
      </c>
      <c r="EU2" s="576"/>
      <c r="EV2" s="576"/>
      <c r="EW2" s="509"/>
      <c r="EX2" s="576" t="s">
        <v>587</v>
      </c>
      <c r="EY2" s="576"/>
      <c r="EZ2" s="576"/>
      <c r="FA2" s="509"/>
      <c r="FB2" s="576" t="s">
        <v>588</v>
      </c>
      <c r="FC2" s="576"/>
      <c r="FD2" s="576"/>
      <c r="FE2" s="509"/>
      <c r="FF2" s="576" t="s">
        <v>589</v>
      </c>
      <c r="FG2" s="576"/>
      <c r="FH2" s="576"/>
      <c r="FI2" s="509"/>
      <c r="FJ2" s="576" t="s">
        <v>590</v>
      </c>
      <c r="FK2" s="576"/>
      <c r="FL2" s="576"/>
      <c r="FM2" s="509"/>
      <c r="FN2" s="576" t="s">
        <v>591</v>
      </c>
      <c r="FO2" s="576"/>
      <c r="FP2" s="576"/>
      <c r="FQ2" s="509"/>
      <c r="FR2" s="576" t="s">
        <v>592</v>
      </c>
      <c r="FS2" s="576"/>
      <c r="FT2" s="576"/>
      <c r="FU2" s="509"/>
      <c r="FV2" s="576" t="s">
        <v>593</v>
      </c>
      <c r="FW2" s="576"/>
      <c r="FX2" s="576"/>
      <c r="FY2" s="509"/>
      <c r="FZ2" s="576" t="s">
        <v>594</v>
      </c>
      <c r="GA2" s="576"/>
      <c r="GB2" s="576"/>
      <c r="GC2" s="509"/>
      <c r="GD2" s="576" t="s">
        <v>595</v>
      </c>
      <c r="GE2" s="576"/>
      <c r="GF2" s="576"/>
      <c r="GG2" s="509"/>
      <c r="GH2" s="576" t="s">
        <v>596</v>
      </c>
      <c r="GI2" s="576"/>
      <c r="GJ2" s="576"/>
      <c r="GK2" s="509"/>
      <c r="GL2" s="576" t="s">
        <v>597</v>
      </c>
      <c r="GM2" s="576"/>
      <c r="GN2" s="576"/>
      <c r="GO2" s="509"/>
      <c r="GP2" s="576" t="s">
        <v>5</v>
      </c>
      <c r="GQ2" s="576"/>
      <c r="GR2" s="576"/>
      <c r="GS2" s="509"/>
    </row>
    <row r="3" spans="1:201" x14ac:dyDescent="0.2">
      <c r="F3" s="510" t="s">
        <v>598</v>
      </c>
      <c r="G3" s="510" t="s">
        <v>599</v>
      </c>
      <c r="H3" s="511"/>
      <c r="I3" s="512"/>
      <c r="J3" s="513" t="s">
        <v>598</v>
      </c>
      <c r="K3" s="513" t="s">
        <v>599</v>
      </c>
      <c r="L3" s="514"/>
      <c r="M3" s="512"/>
      <c r="N3" s="510" t="s">
        <v>598</v>
      </c>
      <c r="O3" s="510" t="s">
        <v>599</v>
      </c>
      <c r="P3" s="511"/>
      <c r="Q3" s="512"/>
      <c r="R3" s="513" t="s">
        <v>598</v>
      </c>
      <c r="S3" s="513" t="s">
        <v>599</v>
      </c>
      <c r="T3" s="514"/>
      <c r="U3" s="512"/>
      <c r="V3" s="510" t="s">
        <v>598</v>
      </c>
      <c r="W3" s="510" t="s">
        <v>599</v>
      </c>
      <c r="X3" s="511"/>
      <c r="Y3" s="512"/>
      <c r="Z3" s="513" t="s">
        <v>598</v>
      </c>
      <c r="AA3" s="513" t="s">
        <v>599</v>
      </c>
      <c r="AB3" s="514"/>
      <c r="AC3" s="512"/>
      <c r="AD3" s="510" t="s">
        <v>598</v>
      </c>
      <c r="AE3" s="510" t="s">
        <v>599</v>
      </c>
      <c r="AF3" s="511"/>
      <c r="AG3" s="512"/>
      <c r="AH3" s="513" t="s">
        <v>598</v>
      </c>
      <c r="AI3" s="513" t="s">
        <v>599</v>
      </c>
      <c r="AJ3" s="514"/>
      <c r="AK3" s="512"/>
      <c r="AL3" s="510" t="s">
        <v>598</v>
      </c>
      <c r="AM3" s="510" t="s">
        <v>599</v>
      </c>
      <c r="AN3" s="511"/>
      <c r="AO3" s="512"/>
      <c r="AP3" s="513" t="s">
        <v>598</v>
      </c>
      <c r="AQ3" s="513" t="s">
        <v>599</v>
      </c>
      <c r="AR3" s="514"/>
      <c r="AS3" s="512"/>
      <c r="AT3" s="510" t="s">
        <v>598</v>
      </c>
      <c r="AU3" s="510" t="s">
        <v>599</v>
      </c>
      <c r="AV3" s="511"/>
      <c r="AW3" s="512"/>
      <c r="AX3" s="513" t="s">
        <v>598</v>
      </c>
      <c r="AY3" s="513" t="s">
        <v>599</v>
      </c>
      <c r="AZ3" s="514"/>
      <c r="BA3" s="512"/>
      <c r="BB3" s="510" t="s">
        <v>598</v>
      </c>
      <c r="BC3" s="510" t="s">
        <v>599</v>
      </c>
      <c r="BD3" s="511"/>
      <c r="BE3" s="512"/>
      <c r="BF3" s="513" t="s">
        <v>598</v>
      </c>
      <c r="BG3" s="513" t="s">
        <v>599</v>
      </c>
      <c r="BH3" s="514"/>
      <c r="BI3" s="512"/>
      <c r="BJ3" s="510" t="s">
        <v>598</v>
      </c>
      <c r="BK3" s="510" t="s">
        <v>599</v>
      </c>
      <c r="BL3" s="511"/>
      <c r="BM3" s="512"/>
      <c r="BN3" s="513" t="s">
        <v>598</v>
      </c>
      <c r="BO3" s="513" t="s">
        <v>599</v>
      </c>
      <c r="BP3" s="514"/>
      <c r="BQ3" s="512"/>
      <c r="BR3" s="510" t="s">
        <v>598</v>
      </c>
      <c r="BS3" s="510" t="s">
        <v>599</v>
      </c>
      <c r="BT3" s="511"/>
      <c r="BU3" s="512"/>
      <c r="BV3" s="513" t="s">
        <v>598</v>
      </c>
      <c r="BW3" s="513" t="s">
        <v>599</v>
      </c>
      <c r="BX3" s="514"/>
      <c r="BY3" s="512"/>
      <c r="BZ3" s="510" t="s">
        <v>598</v>
      </c>
      <c r="CA3" s="510" t="s">
        <v>599</v>
      </c>
      <c r="CB3" s="511"/>
      <c r="CC3" s="512"/>
      <c r="CD3" s="513" t="s">
        <v>598</v>
      </c>
      <c r="CE3" s="513" t="s">
        <v>599</v>
      </c>
      <c r="CF3" s="514"/>
      <c r="CG3" s="512"/>
      <c r="CH3" s="510" t="s">
        <v>598</v>
      </c>
      <c r="CI3" s="510" t="s">
        <v>599</v>
      </c>
      <c r="CJ3" s="511"/>
      <c r="CK3" s="512"/>
      <c r="CL3" s="513" t="s">
        <v>598</v>
      </c>
      <c r="CM3" s="513" t="s">
        <v>599</v>
      </c>
      <c r="CN3" s="514"/>
      <c r="CO3" s="512"/>
      <c r="CP3" s="510" t="s">
        <v>598</v>
      </c>
      <c r="CQ3" s="510" t="s">
        <v>599</v>
      </c>
      <c r="CR3" s="511"/>
      <c r="CS3" s="512"/>
      <c r="CT3" s="513" t="s">
        <v>598</v>
      </c>
      <c r="CU3" s="513" t="s">
        <v>599</v>
      </c>
      <c r="CV3" s="514"/>
      <c r="CW3" s="512"/>
      <c r="CX3" s="510" t="s">
        <v>598</v>
      </c>
      <c r="CY3" s="510" t="s">
        <v>599</v>
      </c>
      <c r="CZ3" s="511"/>
      <c r="DA3" s="512"/>
      <c r="DB3" s="513" t="s">
        <v>598</v>
      </c>
      <c r="DC3" s="513" t="s">
        <v>599</v>
      </c>
      <c r="DD3" s="514"/>
      <c r="DE3" s="512"/>
      <c r="DF3" s="510" t="s">
        <v>598</v>
      </c>
      <c r="DG3" s="510" t="s">
        <v>599</v>
      </c>
      <c r="DH3" s="511"/>
      <c r="DI3" s="512"/>
      <c r="DJ3" s="513" t="s">
        <v>598</v>
      </c>
      <c r="DK3" s="513" t="s">
        <v>599</v>
      </c>
      <c r="DL3" s="514"/>
      <c r="DM3" s="512"/>
      <c r="DN3" s="510" t="s">
        <v>598</v>
      </c>
      <c r="DO3" s="510" t="s">
        <v>599</v>
      </c>
      <c r="DP3" s="511"/>
      <c r="DQ3" s="512"/>
      <c r="DR3" s="513" t="s">
        <v>598</v>
      </c>
      <c r="DS3" s="513" t="s">
        <v>599</v>
      </c>
      <c r="DT3" s="514"/>
      <c r="DU3" s="512"/>
      <c r="DV3" s="510" t="s">
        <v>598</v>
      </c>
      <c r="DW3" s="510" t="s">
        <v>599</v>
      </c>
      <c r="DX3" s="511"/>
      <c r="DY3" s="512"/>
      <c r="DZ3" s="513" t="s">
        <v>598</v>
      </c>
      <c r="EA3" s="513" t="s">
        <v>599</v>
      </c>
      <c r="EB3" s="514"/>
      <c r="EC3" s="512"/>
      <c r="ED3" s="510" t="s">
        <v>598</v>
      </c>
      <c r="EE3" s="510" t="s">
        <v>599</v>
      </c>
      <c r="EF3" s="511"/>
      <c r="EG3" s="512"/>
      <c r="EH3" s="513" t="s">
        <v>598</v>
      </c>
      <c r="EI3" s="513" t="s">
        <v>599</v>
      </c>
      <c r="EJ3" s="514"/>
      <c r="EK3" s="512"/>
      <c r="EL3" s="510" t="s">
        <v>598</v>
      </c>
      <c r="EM3" s="510" t="s">
        <v>599</v>
      </c>
      <c r="EN3" s="511"/>
      <c r="EO3" s="512"/>
      <c r="EP3" s="513" t="s">
        <v>598</v>
      </c>
      <c r="EQ3" s="513" t="s">
        <v>599</v>
      </c>
      <c r="ER3" s="514"/>
      <c r="ES3" s="512"/>
      <c r="ET3" s="510" t="s">
        <v>598</v>
      </c>
      <c r="EU3" s="510" t="s">
        <v>599</v>
      </c>
      <c r="EV3" s="511"/>
      <c r="EW3" s="512"/>
      <c r="EX3" s="513" t="s">
        <v>598</v>
      </c>
      <c r="EY3" s="513" t="s">
        <v>599</v>
      </c>
      <c r="EZ3" s="514"/>
      <c r="FA3" s="512"/>
      <c r="FB3" s="510" t="s">
        <v>598</v>
      </c>
      <c r="FC3" s="510" t="s">
        <v>599</v>
      </c>
      <c r="FD3" s="511"/>
      <c r="FE3" s="512"/>
      <c r="FF3" s="513" t="s">
        <v>598</v>
      </c>
      <c r="FG3" s="513" t="s">
        <v>599</v>
      </c>
      <c r="FH3" s="514"/>
      <c r="FI3" s="512"/>
      <c r="FJ3" s="510" t="s">
        <v>598</v>
      </c>
      <c r="FK3" s="510" t="s">
        <v>599</v>
      </c>
      <c r="FL3" s="511"/>
      <c r="FM3" s="512"/>
      <c r="FN3" s="513" t="s">
        <v>598</v>
      </c>
      <c r="FO3" s="513" t="s">
        <v>599</v>
      </c>
      <c r="FP3" s="514"/>
      <c r="FQ3" s="512"/>
      <c r="FR3" s="510" t="s">
        <v>598</v>
      </c>
      <c r="FS3" s="510" t="s">
        <v>599</v>
      </c>
      <c r="FT3" s="511"/>
      <c r="FU3" s="512"/>
      <c r="FV3" s="513" t="s">
        <v>598</v>
      </c>
      <c r="FW3" s="513" t="s">
        <v>599</v>
      </c>
      <c r="FX3" s="514"/>
      <c r="FY3" s="512"/>
      <c r="FZ3" s="510" t="s">
        <v>598</v>
      </c>
      <c r="GA3" s="510" t="s">
        <v>599</v>
      </c>
      <c r="GB3" s="511"/>
      <c r="GC3" s="512"/>
      <c r="GD3" s="513" t="s">
        <v>598</v>
      </c>
      <c r="GE3" s="513" t="s">
        <v>599</v>
      </c>
      <c r="GF3" s="514"/>
      <c r="GG3" s="512"/>
      <c r="GH3" s="510" t="s">
        <v>598</v>
      </c>
      <c r="GI3" s="510" t="s">
        <v>599</v>
      </c>
      <c r="GJ3" s="511"/>
      <c r="GK3" s="512"/>
      <c r="GL3" s="513" t="s">
        <v>598</v>
      </c>
      <c r="GM3" s="513" t="s">
        <v>599</v>
      </c>
      <c r="GN3" s="514"/>
      <c r="GO3" s="512"/>
      <c r="GP3" s="510" t="s">
        <v>598</v>
      </c>
      <c r="GQ3" s="510" t="s">
        <v>599</v>
      </c>
      <c r="GR3" s="511"/>
      <c r="GS3" s="512"/>
    </row>
    <row r="4" spans="1:201" x14ac:dyDescent="0.2">
      <c r="B4" s="578" t="s">
        <v>173</v>
      </c>
      <c r="C4" s="579"/>
      <c r="D4" s="579"/>
      <c r="E4" s="579"/>
      <c r="F4" s="515" t="s">
        <v>315</v>
      </c>
      <c r="G4" s="515" t="s">
        <v>315</v>
      </c>
      <c r="H4" s="515" t="s">
        <v>541</v>
      </c>
      <c r="I4" s="516"/>
      <c r="J4" s="517" t="s">
        <v>315</v>
      </c>
      <c r="K4" s="517" t="s">
        <v>315</v>
      </c>
      <c r="L4" s="517" t="s">
        <v>541</v>
      </c>
      <c r="M4" s="516"/>
      <c r="N4" s="515" t="s">
        <v>315</v>
      </c>
      <c r="O4" s="515" t="s">
        <v>315</v>
      </c>
      <c r="P4" s="515" t="s">
        <v>541</v>
      </c>
      <c r="Q4" s="516"/>
      <c r="R4" s="517" t="s">
        <v>315</v>
      </c>
      <c r="S4" s="517" t="s">
        <v>315</v>
      </c>
      <c r="T4" s="517" t="s">
        <v>541</v>
      </c>
      <c r="U4" s="516"/>
      <c r="V4" s="515" t="s">
        <v>315</v>
      </c>
      <c r="W4" s="515" t="s">
        <v>315</v>
      </c>
      <c r="X4" s="515" t="s">
        <v>541</v>
      </c>
      <c r="Y4" s="516"/>
      <c r="Z4" s="517" t="s">
        <v>315</v>
      </c>
      <c r="AA4" s="517" t="s">
        <v>315</v>
      </c>
      <c r="AB4" s="517" t="s">
        <v>541</v>
      </c>
      <c r="AC4" s="516"/>
      <c r="AD4" s="515" t="s">
        <v>315</v>
      </c>
      <c r="AE4" s="515" t="s">
        <v>315</v>
      </c>
      <c r="AF4" s="515" t="s">
        <v>541</v>
      </c>
      <c r="AG4" s="516"/>
      <c r="AH4" s="517" t="s">
        <v>315</v>
      </c>
      <c r="AI4" s="517" t="s">
        <v>315</v>
      </c>
      <c r="AJ4" s="517" t="s">
        <v>541</v>
      </c>
      <c r="AK4" s="516"/>
      <c r="AL4" s="515" t="s">
        <v>315</v>
      </c>
      <c r="AM4" s="515" t="s">
        <v>315</v>
      </c>
      <c r="AN4" s="515" t="s">
        <v>541</v>
      </c>
      <c r="AO4" s="516"/>
      <c r="AP4" s="517" t="s">
        <v>315</v>
      </c>
      <c r="AQ4" s="517" t="s">
        <v>315</v>
      </c>
      <c r="AR4" s="517" t="s">
        <v>541</v>
      </c>
      <c r="AS4" s="516"/>
      <c r="AT4" s="515" t="s">
        <v>315</v>
      </c>
      <c r="AU4" s="515" t="s">
        <v>315</v>
      </c>
      <c r="AV4" s="515" t="s">
        <v>541</v>
      </c>
      <c r="AW4" s="516"/>
      <c r="AX4" s="517" t="s">
        <v>315</v>
      </c>
      <c r="AY4" s="517" t="s">
        <v>315</v>
      </c>
      <c r="AZ4" s="517" t="s">
        <v>541</v>
      </c>
      <c r="BA4" s="516"/>
      <c r="BB4" s="515" t="s">
        <v>315</v>
      </c>
      <c r="BC4" s="515" t="s">
        <v>315</v>
      </c>
      <c r="BD4" s="515" t="s">
        <v>541</v>
      </c>
      <c r="BE4" s="516"/>
      <c r="BF4" s="517" t="s">
        <v>315</v>
      </c>
      <c r="BG4" s="517" t="s">
        <v>315</v>
      </c>
      <c r="BH4" s="517" t="s">
        <v>541</v>
      </c>
      <c r="BI4" s="516"/>
      <c r="BJ4" s="515" t="s">
        <v>315</v>
      </c>
      <c r="BK4" s="515" t="s">
        <v>315</v>
      </c>
      <c r="BL4" s="515" t="s">
        <v>541</v>
      </c>
      <c r="BM4" s="516"/>
      <c r="BN4" s="517" t="s">
        <v>315</v>
      </c>
      <c r="BO4" s="517" t="s">
        <v>315</v>
      </c>
      <c r="BP4" s="517" t="s">
        <v>541</v>
      </c>
      <c r="BQ4" s="516"/>
      <c r="BR4" s="515" t="s">
        <v>315</v>
      </c>
      <c r="BS4" s="515" t="s">
        <v>315</v>
      </c>
      <c r="BT4" s="515" t="s">
        <v>541</v>
      </c>
      <c r="BU4" s="516"/>
      <c r="BV4" s="517" t="s">
        <v>315</v>
      </c>
      <c r="BW4" s="517" t="s">
        <v>315</v>
      </c>
      <c r="BX4" s="517" t="s">
        <v>541</v>
      </c>
      <c r="BY4" s="516"/>
      <c r="BZ4" s="515" t="s">
        <v>315</v>
      </c>
      <c r="CA4" s="515" t="s">
        <v>315</v>
      </c>
      <c r="CB4" s="515" t="s">
        <v>541</v>
      </c>
      <c r="CC4" s="516"/>
      <c r="CD4" s="517" t="s">
        <v>315</v>
      </c>
      <c r="CE4" s="517" t="s">
        <v>315</v>
      </c>
      <c r="CF4" s="517" t="s">
        <v>541</v>
      </c>
      <c r="CG4" s="516"/>
      <c r="CH4" s="515" t="s">
        <v>315</v>
      </c>
      <c r="CI4" s="515" t="s">
        <v>315</v>
      </c>
      <c r="CJ4" s="515" t="s">
        <v>541</v>
      </c>
      <c r="CK4" s="516"/>
      <c r="CL4" s="517" t="s">
        <v>315</v>
      </c>
      <c r="CM4" s="517" t="s">
        <v>315</v>
      </c>
      <c r="CN4" s="517" t="s">
        <v>541</v>
      </c>
      <c r="CO4" s="516"/>
      <c r="CP4" s="515" t="s">
        <v>315</v>
      </c>
      <c r="CQ4" s="515" t="s">
        <v>315</v>
      </c>
      <c r="CR4" s="515" t="s">
        <v>541</v>
      </c>
      <c r="CS4" s="516"/>
      <c r="CT4" s="517" t="s">
        <v>315</v>
      </c>
      <c r="CU4" s="517" t="s">
        <v>315</v>
      </c>
      <c r="CV4" s="517" t="s">
        <v>541</v>
      </c>
      <c r="CW4" s="516"/>
      <c r="CX4" s="515" t="s">
        <v>315</v>
      </c>
      <c r="CY4" s="515" t="s">
        <v>315</v>
      </c>
      <c r="CZ4" s="515" t="s">
        <v>541</v>
      </c>
      <c r="DA4" s="516"/>
      <c r="DB4" s="517" t="s">
        <v>315</v>
      </c>
      <c r="DC4" s="517" t="s">
        <v>315</v>
      </c>
      <c r="DD4" s="517" t="s">
        <v>541</v>
      </c>
      <c r="DE4" s="516"/>
      <c r="DF4" s="515" t="s">
        <v>315</v>
      </c>
      <c r="DG4" s="515" t="s">
        <v>315</v>
      </c>
      <c r="DH4" s="515" t="s">
        <v>541</v>
      </c>
      <c r="DI4" s="516"/>
      <c r="DJ4" s="517" t="s">
        <v>315</v>
      </c>
      <c r="DK4" s="517" t="s">
        <v>315</v>
      </c>
      <c r="DL4" s="517" t="s">
        <v>541</v>
      </c>
      <c r="DM4" s="516"/>
      <c r="DN4" s="515" t="s">
        <v>315</v>
      </c>
      <c r="DO4" s="515" t="s">
        <v>315</v>
      </c>
      <c r="DP4" s="515" t="s">
        <v>541</v>
      </c>
      <c r="DQ4" s="516"/>
      <c r="DR4" s="517" t="s">
        <v>315</v>
      </c>
      <c r="DS4" s="517" t="s">
        <v>315</v>
      </c>
      <c r="DT4" s="517" t="s">
        <v>541</v>
      </c>
      <c r="DU4" s="516"/>
      <c r="DV4" s="515" t="s">
        <v>315</v>
      </c>
      <c r="DW4" s="515" t="s">
        <v>315</v>
      </c>
      <c r="DX4" s="515" t="s">
        <v>541</v>
      </c>
      <c r="DY4" s="516"/>
      <c r="DZ4" s="517" t="s">
        <v>315</v>
      </c>
      <c r="EA4" s="517" t="s">
        <v>315</v>
      </c>
      <c r="EB4" s="517" t="s">
        <v>541</v>
      </c>
      <c r="EC4" s="516"/>
      <c r="ED4" s="515" t="s">
        <v>315</v>
      </c>
      <c r="EE4" s="515" t="s">
        <v>315</v>
      </c>
      <c r="EF4" s="515" t="s">
        <v>541</v>
      </c>
      <c r="EG4" s="516"/>
      <c r="EH4" s="517" t="s">
        <v>315</v>
      </c>
      <c r="EI4" s="517" t="s">
        <v>315</v>
      </c>
      <c r="EJ4" s="517" t="s">
        <v>541</v>
      </c>
      <c r="EK4" s="516"/>
      <c r="EL4" s="515" t="s">
        <v>315</v>
      </c>
      <c r="EM4" s="515" t="s">
        <v>315</v>
      </c>
      <c r="EN4" s="515" t="s">
        <v>541</v>
      </c>
      <c r="EO4" s="516"/>
      <c r="EP4" s="517" t="s">
        <v>315</v>
      </c>
      <c r="EQ4" s="517" t="s">
        <v>315</v>
      </c>
      <c r="ER4" s="517" t="s">
        <v>541</v>
      </c>
      <c r="ES4" s="516"/>
      <c r="ET4" s="515" t="s">
        <v>315</v>
      </c>
      <c r="EU4" s="515" t="s">
        <v>315</v>
      </c>
      <c r="EV4" s="515" t="s">
        <v>541</v>
      </c>
      <c r="EW4" s="516"/>
      <c r="EX4" s="517" t="s">
        <v>315</v>
      </c>
      <c r="EY4" s="517" t="s">
        <v>315</v>
      </c>
      <c r="EZ4" s="517" t="s">
        <v>541</v>
      </c>
      <c r="FA4" s="516"/>
      <c r="FB4" s="515" t="s">
        <v>315</v>
      </c>
      <c r="FC4" s="515" t="s">
        <v>315</v>
      </c>
      <c r="FD4" s="515" t="s">
        <v>541</v>
      </c>
      <c r="FE4" s="516"/>
      <c r="FF4" s="517" t="s">
        <v>315</v>
      </c>
      <c r="FG4" s="517" t="s">
        <v>315</v>
      </c>
      <c r="FH4" s="517" t="s">
        <v>541</v>
      </c>
      <c r="FI4" s="516"/>
      <c r="FJ4" s="515" t="s">
        <v>315</v>
      </c>
      <c r="FK4" s="515" t="s">
        <v>315</v>
      </c>
      <c r="FL4" s="515" t="s">
        <v>541</v>
      </c>
      <c r="FM4" s="516"/>
      <c r="FN4" s="517" t="s">
        <v>315</v>
      </c>
      <c r="FO4" s="517" t="s">
        <v>315</v>
      </c>
      <c r="FP4" s="517" t="s">
        <v>541</v>
      </c>
      <c r="FQ4" s="516"/>
      <c r="FR4" s="515" t="s">
        <v>315</v>
      </c>
      <c r="FS4" s="515" t="s">
        <v>315</v>
      </c>
      <c r="FT4" s="515" t="s">
        <v>541</v>
      </c>
      <c r="FU4" s="516"/>
      <c r="FV4" s="517" t="s">
        <v>315</v>
      </c>
      <c r="FW4" s="517" t="s">
        <v>315</v>
      </c>
      <c r="FX4" s="517" t="s">
        <v>541</v>
      </c>
      <c r="FY4" s="516"/>
      <c r="FZ4" s="515" t="s">
        <v>315</v>
      </c>
      <c r="GA4" s="515" t="s">
        <v>315</v>
      </c>
      <c r="GB4" s="515" t="s">
        <v>541</v>
      </c>
      <c r="GC4" s="516"/>
      <c r="GD4" s="517" t="s">
        <v>315</v>
      </c>
      <c r="GE4" s="517" t="s">
        <v>315</v>
      </c>
      <c r="GF4" s="517" t="s">
        <v>541</v>
      </c>
      <c r="GG4" s="516"/>
      <c r="GH4" s="515" t="s">
        <v>315</v>
      </c>
      <c r="GI4" s="515" t="s">
        <v>315</v>
      </c>
      <c r="GJ4" s="515" t="s">
        <v>541</v>
      </c>
      <c r="GK4" s="516"/>
      <c r="GL4" s="517" t="s">
        <v>315</v>
      </c>
      <c r="GM4" s="517" t="s">
        <v>315</v>
      </c>
      <c r="GN4" s="517" t="s">
        <v>541</v>
      </c>
      <c r="GO4" s="516"/>
      <c r="GP4" s="515" t="s">
        <v>315</v>
      </c>
      <c r="GQ4" s="515" t="s">
        <v>315</v>
      </c>
      <c r="GR4" s="515" t="s">
        <v>541</v>
      </c>
      <c r="GS4" s="516"/>
    </row>
    <row r="5" spans="1:201" x14ac:dyDescent="0.2">
      <c r="A5" s="224" t="s">
        <v>600</v>
      </c>
      <c r="B5" s="224" t="s">
        <v>601</v>
      </c>
      <c r="C5" s="224"/>
      <c r="D5" s="224"/>
      <c r="E5" s="224"/>
      <c r="F5" s="518">
        <v>521013.19</v>
      </c>
      <c r="G5" s="519">
        <v>583623.13</v>
      </c>
      <c r="H5" s="520">
        <f>G5-F5</f>
        <v>62609.94</v>
      </c>
      <c r="J5" s="521">
        <v>3564945.24</v>
      </c>
      <c r="K5" s="522">
        <v>4019242.68</v>
      </c>
      <c r="L5" s="523">
        <f>K5-J5</f>
        <v>454297.43999999994</v>
      </c>
      <c r="N5" s="518">
        <v>5378378.9500000002</v>
      </c>
      <c r="O5" s="519">
        <v>6076313.9100000001</v>
      </c>
      <c r="P5" s="520">
        <f>O5-N5</f>
        <v>697934.96</v>
      </c>
      <c r="R5" s="521">
        <v>634829.84</v>
      </c>
      <c r="S5" s="522">
        <v>712929.61</v>
      </c>
      <c r="T5" s="523">
        <f>S5-R5</f>
        <v>78099.770000000019</v>
      </c>
      <c r="V5" s="518">
        <v>587103.13</v>
      </c>
      <c r="W5" s="519">
        <v>684544.03</v>
      </c>
      <c r="X5" s="520">
        <f>W5-V5</f>
        <v>97440.900000000023</v>
      </c>
      <c r="Z5" s="521">
        <v>2999894.75</v>
      </c>
      <c r="AA5" s="522">
        <v>3461150.47</v>
      </c>
      <c r="AB5" s="523">
        <f>AA5-Z5</f>
        <v>461255.7200000002</v>
      </c>
      <c r="AC5" s="524"/>
      <c r="AD5" s="518">
        <v>3151495.61</v>
      </c>
      <c r="AE5" s="519">
        <v>3526489.85</v>
      </c>
      <c r="AF5" s="520">
        <f>AE5-AD5</f>
        <v>374994.24000000022</v>
      </c>
      <c r="AH5" s="521">
        <v>2897644.79</v>
      </c>
      <c r="AI5" s="522">
        <v>3243417.24</v>
      </c>
      <c r="AJ5" s="523">
        <f>AI5-AH5</f>
        <v>345772.45000000019</v>
      </c>
      <c r="AL5" s="518">
        <v>6436032.04</v>
      </c>
      <c r="AM5" s="519">
        <v>7378418.7000000002</v>
      </c>
      <c r="AN5" s="520">
        <f>AM5-AL5</f>
        <v>942386.66000000015</v>
      </c>
      <c r="AP5" s="521">
        <v>2592738.42</v>
      </c>
      <c r="AQ5" s="522">
        <v>3021949.16</v>
      </c>
      <c r="AR5" s="523">
        <f>AQ5-AP5</f>
        <v>429210.74000000022</v>
      </c>
      <c r="AT5" s="518">
        <v>236498.4</v>
      </c>
      <c r="AU5" s="519">
        <v>262155.65000000002</v>
      </c>
      <c r="AV5" s="520">
        <f>AU5-AT5</f>
        <v>25657.250000000029</v>
      </c>
      <c r="AX5" s="521">
        <v>5314881.41</v>
      </c>
      <c r="AY5" s="522">
        <v>5947674.54</v>
      </c>
      <c r="AZ5" s="523">
        <f>AY5-AX5</f>
        <v>632793.12999999989</v>
      </c>
      <c r="BB5" s="518">
        <v>1339565.43</v>
      </c>
      <c r="BC5" s="519">
        <v>1498990.81</v>
      </c>
      <c r="BD5" s="520">
        <f>BC5-BB5</f>
        <v>159425.38000000012</v>
      </c>
      <c r="BF5" s="521">
        <v>155285.48000000001</v>
      </c>
      <c r="BG5" s="522">
        <v>172280.37</v>
      </c>
      <c r="BH5" s="523">
        <f>BG5-BF5</f>
        <v>16994.889999999985</v>
      </c>
      <c r="BJ5" s="518">
        <v>1078696.3700000001</v>
      </c>
      <c r="BK5" s="519">
        <v>1207777.1299999999</v>
      </c>
      <c r="BL5" s="520">
        <f>BK5-BJ5</f>
        <v>129080.75999999978</v>
      </c>
      <c r="BN5" s="521">
        <v>2634999.73</v>
      </c>
      <c r="BO5" s="522">
        <v>2950499.01</v>
      </c>
      <c r="BP5" s="523">
        <f>BO5-BN5</f>
        <v>315499.2799999998</v>
      </c>
      <c r="BR5" s="518">
        <v>3547587.07</v>
      </c>
      <c r="BS5" s="519">
        <v>3962466.72</v>
      </c>
      <c r="BT5" s="520">
        <f>BS5-BR5</f>
        <v>414879.65000000037</v>
      </c>
      <c r="BV5" s="521">
        <v>648659.96</v>
      </c>
      <c r="BW5" s="522">
        <v>719771.33</v>
      </c>
      <c r="BX5" s="523">
        <f>BW5-BV5</f>
        <v>71111.37</v>
      </c>
      <c r="BZ5" s="518">
        <v>456206.05</v>
      </c>
      <c r="CA5" s="519">
        <v>505699.94</v>
      </c>
      <c r="CB5" s="520">
        <f>CA5-BZ5</f>
        <v>49493.890000000014</v>
      </c>
      <c r="CD5" s="521">
        <v>1692405.85</v>
      </c>
      <c r="CE5" s="522">
        <v>1878828.23</v>
      </c>
      <c r="CF5" s="523">
        <f>CE5-CD5</f>
        <v>186422.37999999989</v>
      </c>
      <c r="CH5" s="518">
        <v>1825067.91</v>
      </c>
      <c r="CI5" s="519">
        <v>2040500.9</v>
      </c>
      <c r="CJ5" s="520">
        <f>CI5-CH5</f>
        <v>215432.99</v>
      </c>
      <c r="CL5" s="521">
        <v>1571661.44</v>
      </c>
      <c r="CM5" s="522">
        <v>1745000.67</v>
      </c>
      <c r="CN5" s="523">
        <f>CM5-CL5</f>
        <v>173339.22999999998</v>
      </c>
      <c r="CP5" s="518">
        <v>5075903.6100000003</v>
      </c>
      <c r="CQ5" s="519">
        <v>5679885.7699999996</v>
      </c>
      <c r="CR5" s="520">
        <f>CQ5-CP5</f>
        <v>603982.15999999922</v>
      </c>
      <c r="CT5" s="521">
        <v>2563217.9</v>
      </c>
      <c r="CU5" s="522">
        <v>2872997.12</v>
      </c>
      <c r="CV5" s="523">
        <f>CU5-CT5</f>
        <v>309779.2200000002</v>
      </c>
      <c r="CX5" s="518">
        <v>2474680.7599999998</v>
      </c>
      <c r="CY5" s="519">
        <v>2765705.16</v>
      </c>
      <c r="CZ5" s="520">
        <f>CY5-CX5</f>
        <v>291024.40000000037</v>
      </c>
      <c r="DB5" s="521">
        <v>1274598.3600000001</v>
      </c>
      <c r="DC5" s="522">
        <v>1425319.84</v>
      </c>
      <c r="DD5" s="523">
        <f>DC5-DB5</f>
        <v>150721.47999999998</v>
      </c>
      <c r="DF5" s="518">
        <v>1743649.58</v>
      </c>
      <c r="DG5" s="519">
        <v>1951884.16</v>
      </c>
      <c r="DH5" s="520">
        <f>DG5-DF5</f>
        <v>208234.57999999984</v>
      </c>
      <c r="DJ5" s="521">
        <v>2824550.96</v>
      </c>
      <c r="DK5" s="522">
        <v>3133954.35</v>
      </c>
      <c r="DL5" s="523">
        <f>DK5-DJ5</f>
        <v>309403.39000000013</v>
      </c>
      <c r="DN5" s="518">
        <v>3637434.78</v>
      </c>
      <c r="DO5" s="519">
        <v>4072704.57</v>
      </c>
      <c r="DP5" s="520">
        <f>DO5-DN5</f>
        <v>435269.79000000004</v>
      </c>
      <c r="DR5" s="521">
        <v>5932282.2199999997</v>
      </c>
      <c r="DS5" s="522">
        <v>6643156.8600000003</v>
      </c>
      <c r="DT5" s="523">
        <f>DS5-DR5</f>
        <v>710874.6400000006</v>
      </c>
      <c r="DV5" s="518">
        <v>3291926.74</v>
      </c>
      <c r="DW5" s="519">
        <v>3689839.7</v>
      </c>
      <c r="DX5" s="520">
        <f>DW5-DV5</f>
        <v>397912.95999999996</v>
      </c>
      <c r="DZ5" s="521">
        <v>5095174.25</v>
      </c>
      <c r="EA5" s="522">
        <v>5675594.9400000004</v>
      </c>
      <c r="EB5" s="523">
        <f>EA5-DZ5</f>
        <v>580420.69000000041</v>
      </c>
      <c r="ED5" s="518">
        <v>6616001.8499999996</v>
      </c>
      <c r="EE5" s="519">
        <v>7404591.4900000002</v>
      </c>
      <c r="EF5" s="520">
        <f>EE5-ED5</f>
        <v>788589.6400000006</v>
      </c>
      <c r="EH5" s="521">
        <v>1863233.75</v>
      </c>
      <c r="EI5" s="522">
        <v>2088176.2</v>
      </c>
      <c r="EJ5" s="523">
        <f>EI5-EH5</f>
        <v>224942.44999999995</v>
      </c>
      <c r="EL5" s="518">
        <v>2403939.4300000002</v>
      </c>
      <c r="EM5" s="519">
        <v>2691286.04</v>
      </c>
      <c r="EN5" s="520">
        <f>EM5-EL5</f>
        <v>287346.60999999987</v>
      </c>
      <c r="EP5" s="521">
        <v>388572.83</v>
      </c>
      <c r="EQ5" s="522">
        <v>435524.42</v>
      </c>
      <c r="ER5" s="523">
        <f>EQ5-EP5</f>
        <v>46951.589999999967</v>
      </c>
      <c r="ET5" s="518">
        <v>4111363.38</v>
      </c>
      <c r="EU5" s="519">
        <v>4602108.53</v>
      </c>
      <c r="EV5" s="520">
        <f>EU5-ET5</f>
        <v>490745.15000000037</v>
      </c>
      <c r="EX5" s="521">
        <v>4285010.1900000004</v>
      </c>
      <c r="EY5" s="522">
        <v>4796771.04</v>
      </c>
      <c r="EZ5" s="523">
        <f>EY5-EX5</f>
        <v>511760.84999999963</v>
      </c>
      <c r="FB5" s="518">
        <v>5208646.5999999996</v>
      </c>
      <c r="FC5" s="519">
        <v>5828225.9900000002</v>
      </c>
      <c r="FD5" s="520">
        <f>FC5-FB5</f>
        <v>619579.3900000006</v>
      </c>
      <c r="FF5" s="521">
        <v>1427176.52</v>
      </c>
      <c r="FG5" s="522">
        <v>1597318.98</v>
      </c>
      <c r="FH5" s="523">
        <f>FG5-FF5</f>
        <v>170142.45999999996</v>
      </c>
      <c r="FJ5" s="518">
        <v>679171.19</v>
      </c>
      <c r="FK5" s="519">
        <v>753249.56</v>
      </c>
      <c r="FL5" s="520">
        <f>FK5-FJ5</f>
        <v>74078.370000000112</v>
      </c>
      <c r="FN5" s="521">
        <v>1672550.08</v>
      </c>
      <c r="FO5" s="522">
        <v>1874905.55</v>
      </c>
      <c r="FP5" s="523">
        <f>FO5-FN5</f>
        <v>202355.46999999997</v>
      </c>
      <c r="FR5" s="518">
        <v>2186075.2799999998</v>
      </c>
      <c r="FS5" s="519">
        <v>2446398.41</v>
      </c>
      <c r="FT5" s="520">
        <f>FS5-FR5</f>
        <v>260323.13000000035</v>
      </c>
      <c r="FV5" s="521">
        <v>1816895.18</v>
      </c>
      <c r="FW5" s="522">
        <v>2107559.86</v>
      </c>
      <c r="FX5" s="523">
        <f>FW5-FV5</f>
        <v>290664.67999999993</v>
      </c>
      <c r="FZ5" s="518">
        <v>870864.25</v>
      </c>
      <c r="GA5" s="519">
        <v>974607.61</v>
      </c>
      <c r="GB5" s="520">
        <f>GA5-FZ5</f>
        <v>103743.35999999999</v>
      </c>
      <c r="GD5" s="521">
        <v>4969231.6399999997</v>
      </c>
      <c r="GE5" s="522">
        <v>5565335.6100000003</v>
      </c>
      <c r="GF5" s="523">
        <f>GE5-GD5</f>
        <v>596103.97000000067</v>
      </c>
      <c r="GH5" s="518">
        <v>1527295.67</v>
      </c>
      <c r="GI5" s="519">
        <v>1719410.72</v>
      </c>
      <c r="GJ5" s="520">
        <f>GI5-GH5</f>
        <v>192115.05000000005</v>
      </c>
      <c r="GL5" s="521">
        <v>186887.48</v>
      </c>
      <c r="GM5" s="522">
        <v>208342.76</v>
      </c>
      <c r="GN5" s="523">
        <f>GM5-GL5</f>
        <v>21455.279999999999</v>
      </c>
      <c r="GP5" s="518">
        <f>SUM(F5,J5,N5,R5,V5,Z5,AD5,AH5,AL5,AP5,AT5,AX5,BB5,BF5,BJ5,BN5,BR5,BV5,BZ5,CD5,CH5,CL5,CP5,CT5,CX5,DB5,DF5,DJ5,DN5,DR5,DV5,DZ5,ED5,EH5,EL5,EP5,ET5,EX5,FB5,FF5,FJ5,FN5,FR5,FV5,FZ5,GD5,GH5,GL5)</f>
        <v>123391925.53999996</v>
      </c>
      <c r="GQ5" s="519">
        <f>SUM(G5,K5,O5,S5,W5,AA5,AE5,AI5,AM5,AQ5,AU5,AY5,BC5,BG5,BK5,BO5,BS5,BW5,CA5,CE5,CI5,CM5,CQ5,CU5,CY5,DC5,DG5,DK5,DO5,DS5,DW5,EA5,EE5,EI5,EM5,EQ5,EU5,EY5,FC5,FG5,FK5,FO5,FS5,FW5,GA5,GE5,GI5,GM5)</f>
        <v>138604579.31999999</v>
      </c>
      <c r="GR5" s="520">
        <f>GQ5-GP5</f>
        <v>15212653.780000031</v>
      </c>
      <c r="GS5" s="525"/>
    </row>
    <row r="6" spans="1:201" x14ac:dyDescent="0.2">
      <c r="A6" s="224" t="s">
        <v>602</v>
      </c>
      <c r="B6" s="526" t="s">
        <v>603</v>
      </c>
      <c r="C6" s="526"/>
      <c r="D6" s="526"/>
      <c r="E6" s="526"/>
      <c r="F6" s="527">
        <v>17191.349999999999</v>
      </c>
      <c r="G6" s="528">
        <v>34608.86</v>
      </c>
      <c r="H6" s="529">
        <f t="shared" ref="H6:H24" si="0">G6-F6</f>
        <v>17417.510000000002</v>
      </c>
      <c r="I6" s="254"/>
      <c r="J6" s="530">
        <v>197429.11</v>
      </c>
      <c r="K6" s="531">
        <v>238341.09</v>
      </c>
      <c r="L6" s="532">
        <f t="shared" ref="L6:L14" si="1">K6-J6</f>
        <v>40911.98000000001</v>
      </c>
      <c r="M6" s="254"/>
      <c r="N6" s="527">
        <v>288094.14</v>
      </c>
      <c r="O6" s="528">
        <v>360325.42</v>
      </c>
      <c r="P6" s="529">
        <f t="shared" ref="P6:P14" si="2">O6-N6</f>
        <v>72231.27999999997</v>
      </c>
      <c r="Q6" s="254"/>
      <c r="R6" s="530">
        <v>40883.06</v>
      </c>
      <c r="S6" s="531">
        <v>42276.73</v>
      </c>
      <c r="T6" s="532">
        <f t="shared" ref="T6:T14" si="3">S6-R6</f>
        <v>1393.6700000000055</v>
      </c>
      <c r="U6" s="254"/>
      <c r="V6" s="527">
        <v>24380.97</v>
      </c>
      <c r="W6" s="528">
        <v>40593.46</v>
      </c>
      <c r="X6" s="529">
        <f t="shared" ref="X6:X14" si="4">W6-V6</f>
        <v>16212.489999999998</v>
      </c>
      <c r="Y6" s="254"/>
      <c r="Z6" s="530">
        <v>158356.9</v>
      </c>
      <c r="AA6" s="531">
        <v>205246.22</v>
      </c>
      <c r="AB6" s="532">
        <f t="shared" ref="AB6:AB14" si="5">AA6-Z6</f>
        <v>46889.320000000007</v>
      </c>
      <c r="AC6" s="254"/>
      <c r="AD6" s="527">
        <v>169145.63</v>
      </c>
      <c r="AE6" s="528">
        <v>209120.85</v>
      </c>
      <c r="AF6" s="529">
        <f t="shared" ref="AF6:AF14" si="6">AE6-AD6</f>
        <v>39975.22</v>
      </c>
      <c r="AG6" s="254"/>
      <c r="AH6" s="530">
        <v>135434.68</v>
      </c>
      <c r="AI6" s="531">
        <v>192334.64</v>
      </c>
      <c r="AJ6" s="532">
        <f t="shared" ref="AJ6:AJ14" si="7">AI6-AH6</f>
        <v>56899.960000000021</v>
      </c>
      <c r="AK6" s="254"/>
      <c r="AL6" s="527">
        <v>335145.83</v>
      </c>
      <c r="AM6" s="528">
        <v>437540.23</v>
      </c>
      <c r="AN6" s="529">
        <f t="shared" ref="AN6:AN14" si="8">AM6-AL6</f>
        <v>102394.39999999997</v>
      </c>
      <c r="AO6" s="254"/>
      <c r="AP6" s="530">
        <v>129355.2</v>
      </c>
      <c r="AQ6" s="531">
        <v>179201.58</v>
      </c>
      <c r="AR6" s="532">
        <f t="shared" ref="AR6:AR14" si="9">AQ6-AP6</f>
        <v>49846.37999999999</v>
      </c>
      <c r="AS6" s="254"/>
      <c r="AT6" s="527">
        <v>14339.13</v>
      </c>
      <c r="AU6" s="528">
        <v>15545.83</v>
      </c>
      <c r="AV6" s="529">
        <f t="shared" ref="AV6:AV14" si="10">AU6-AT6</f>
        <v>1206.7000000000007</v>
      </c>
      <c r="AW6" s="254"/>
      <c r="AX6" s="530">
        <v>283038.52</v>
      </c>
      <c r="AY6" s="531">
        <v>352697.1</v>
      </c>
      <c r="AZ6" s="532">
        <f t="shared" ref="AZ6:AZ14" si="11">AY6-AX6</f>
        <v>69658.579999999958</v>
      </c>
      <c r="BA6" s="254"/>
      <c r="BB6" s="527">
        <v>68417.740000000005</v>
      </c>
      <c r="BC6" s="528">
        <v>88890.15</v>
      </c>
      <c r="BD6" s="529">
        <f t="shared" ref="BD6:BD14" si="12">BC6-BB6</f>
        <v>20472.409999999989</v>
      </c>
      <c r="BE6" s="254"/>
      <c r="BF6" s="530">
        <v>7060.04</v>
      </c>
      <c r="BG6" s="531">
        <v>10216.219999999999</v>
      </c>
      <c r="BH6" s="532">
        <f t="shared" ref="BH6:BH14" si="13">BG6-BF6</f>
        <v>3156.1799999999994</v>
      </c>
      <c r="BI6" s="254"/>
      <c r="BJ6" s="527">
        <v>49180.9</v>
      </c>
      <c r="BK6" s="528">
        <v>71621.19</v>
      </c>
      <c r="BL6" s="529">
        <f t="shared" ref="BL6:BL14" si="14">BK6-BJ6</f>
        <v>22440.29</v>
      </c>
      <c r="BM6" s="254"/>
      <c r="BN6" s="530">
        <v>138366.18</v>
      </c>
      <c r="BO6" s="531">
        <v>174964.6</v>
      </c>
      <c r="BP6" s="532">
        <f t="shared" ref="BP6:BP14" si="15">BO6-BN6</f>
        <v>36598.420000000013</v>
      </c>
      <c r="BQ6" s="254"/>
      <c r="BR6" s="527">
        <v>128201.45</v>
      </c>
      <c r="BS6" s="528">
        <v>234974.28</v>
      </c>
      <c r="BT6" s="529">
        <f t="shared" ref="BT6:BT14" si="16">BS6-BR6</f>
        <v>106772.83</v>
      </c>
      <c r="BU6" s="254"/>
      <c r="BV6" s="530">
        <v>31989.24</v>
      </c>
      <c r="BW6" s="531">
        <v>42682.44</v>
      </c>
      <c r="BX6" s="532">
        <f t="shared" ref="BX6:BX14" si="17">BW6-BV6</f>
        <v>10693.2</v>
      </c>
      <c r="BY6" s="254"/>
      <c r="BZ6" s="527">
        <v>23352.65</v>
      </c>
      <c r="CA6" s="528">
        <v>29988.01</v>
      </c>
      <c r="CB6" s="529">
        <f t="shared" ref="CB6:CB14" si="18">CA6-BZ6</f>
        <v>6635.3599999999969</v>
      </c>
      <c r="CC6" s="254"/>
      <c r="CD6" s="530">
        <v>84333.41</v>
      </c>
      <c r="CE6" s="531">
        <v>111414.52</v>
      </c>
      <c r="CF6" s="532">
        <f t="shared" ref="CF6:CF14" si="19">CE6-CD6</f>
        <v>27081.11</v>
      </c>
      <c r="CG6" s="254"/>
      <c r="CH6" s="527">
        <v>93667.839999999997</v>
      </c>
      <c r="CI6" s="528">
        <v>121001.7</v>
      </c>
      <c r="CJ6" s="529">
        <f t="shared" ref="CJ6:CJ14" si="20">CI6-CH6</f>
        <v>27333.86</v>
      </c>
      <c r="CK6" s="254"/>
      <c r="CL6" s="530">
        <v>84526.97</v>
      </c>
      <c r="CM6" s="531">
        <v>103478.54</v>
      </c>
      <c r="CN6" s="532">
        <f t="shared" ref="CN6:CN14" si="21">CM6-CL6</f>
        <v>18951.569999999992</v>
      </c>
      <c r="CO6" s="254"/>
      <c r="CP6" s="527">
        <v>262948.46000000002</v>
      </c>
      <c r="CQ6" s="528">
        <v>336817.23</v>
      </c>
      <c r="CR6" s="529">
        <f t="shared" ref="CR6:CR14" si="22">CQ6-CP6</f>
        <v>73868.76999999996</v>
      </c>
      <c r="CS6" s="254"/>
      <c r="CT6" s="530">
        <v>134660.42000000001</v>
      </c>
      <c r="CU6" s="531">
        <v>170368.73</v>
      </c>
      <c r="CV6" s="532">
        <f t="shared" ref="CV6:CV14" si="23">CU6-CT6</f>
        <v>35708.31</v>
      </c>
      <c r="CW6" s="254"/>
      <c r="CX6" s="527">
        <v>135567.12</v>
      </c>
      <c r="CY6" s="528">
        <v>164006.31</v>
      </c>
      <c r="CZ6" s="529">
        <f t="shared" ref="CZ6:CZ14" si="24">CY6-CX6</f>
        <v>28439.190000000002</v>
      </c>
      <c r="DA6" s="254"/>
      <c r="DB6" s="530">
        <v>71542.81</v>
      </c>
      <c r="DC6" s="531">
        <v>84521.47</v>
      </c>
      <c r="DD6" s="532">
        <f t="shared" ref="DD6:DD14" si="25">DC6-DB6</f>
        <v>12978.660000000003</v>
      </c>
      <c r="DE6" s="254"/>
      <c r="DF6" s="527">
        <v>85166.24</v>
      </c>
      <c r="DG6" s="528">
        <v>115746.73</v>
      </c>
      <c r="DH6" s="529">
        <f t="shared" ref="DH6:DH14" si="26">DG6-DF6</f>
        <v>30580.489999999991</v>
      </c>
      <c r="DI6" s="254"/>
      <c r="DJ6" s="530">
        <v>122139.79</v>
      </c>
      <c r="DK6" s="531">
        <v>185843.5</v>
      </c>
      <c r="DL6" s="532">
        <f t="shared" ref="DL6:DL14" si="27">DK6-DJ6</f>
        <v>63703.710000000006</v>
      </c>
      <c r="DM6" s="254"/>
      <c r="DN6" s="527">
        <v>225159.91</v>
      </c>
      <c r="DO6" s="528">
        <v>241511.38</v>
      </c>
      <c r="DP6" s="529">
        <f t="shared" ref="DP6:DP14" si="28">DO6-DN6</f>
        <v>16351.470000000001</v>
      </c>
      <c r="DQ6" s="254"/>
      <c r="DR6" s="530">
        <v>311951.08</v>
      </c>
      <c r="DS6" s="531">
        <v>393939.20000000001</v>
      </c>
      <c r="DT6" s="532">
        <f t="shared" ref="DT6:DT14" si="29">DS6-DR6</f>
        <v>81988.12</v>
      </c>
      <c r="DU6" s="254"/>
      <c r="DV6" s="527">
        <v>175357.55</v>
      </c>
      <c r="DW6" s="528">
        <v>218807.49</v>
      </c>
      <c r="DX6" s="529">
        <f t="shared" ref="DX6:DX14" si="30">DW6-DV6</f>
        <v>43449.94</v>
      </c>
      <c r="DY6" s="254"/>
      <c r="DZ6" s="530">
        <v>267247.65000000002</v>
      </c>
      <c r="EA6" s="531">
        <v>336562.78</v>
      </c>
      <c r="EB6" s="532">
        <f t="shared" ref="EB6:EB14" si="31">EA6-DZ6</f>
        <v>69315.13</v>
      </c>
      <c r="EC6" s="254"/>
      <c r="ED6" s="527">
        <v>354808</v>
      </c>
      <c r="EE6" s="528">
        <v>439092.28</v>
      </c>
      <c r="EF6" s="529">
        <f t="shared" ref="EF6:EF14" si="32">EE6-ED6</f>
        <v>84284.280000000028</v>
      </c>
      <c r="EG6" s="254"/>
      <c r="EH6" s="530">
        <v>93436.07</v>
      </c>
      <c r="EI6" s="531">
        <v>123828.84</v>
      </c>
      <c r="EJ6" s="532">
        <f t="shared" ref="EJ6:EJ14" si="33">EI6-EH6</f>
        <v>30392.76999999999</v>
      </c>
      <c r="EK6" s="254"/>
      <c r="EL6" s="527">
        <v>91648.14</v>
      </c>
      <c r="EM6" s="528">
        <v>159593.26</v>
      </c>
      <c r="EN6" s="529">
        <f t="shared" ref="EN6:EN14" si="34">EM6-EL6</f>
        <v>67945.12000000001</v>
      </c>
      <c r="EO6" s="254"/>
      <c r="EP6" s="530">
        <v>22440.86</v>
      </c>
      <c r="EQ6" s="531">
        <v>25826.59</v>
      </c>
      <c r="ER6" s="532">
        <f t="shared" ref="ER6:ER14" si="35">EQ6-EP6</f>
        <v>3385.7299999999996</v>
      </c>
      <c r="ES6" s="254"/>
      <c r="ET6" s="527">
        <v>202711.4</v>
      </c>
      <c r="EU6" s="528">
        <v>272905.03999999998</v>
      </c>
      <c r="EV6" s="529">
        <f t="shared" ref="EV6:EV14" si="36">EU6-ET6</f>
        <v>70193.639999999985</v>
      </c>
      <c r="EW6" s="254"/>
      <c r="EX6" s="530">
        <v>206934.19</v>
      </c>
      <c r="EY6" s="531">
        <v>284448.52</v>
      </c>
      <c r="EZ6" s="532">
        <f t="shared" ref="EZ6:EZ14" si="37">EY6-EX6</f>
        <v>77514.330000000016</v>
      </c>
      <c r="FA6" s="254"/>
      <c r="FB6" s="527">
        <v>290439.84999999998</v>
      </c>
      <c r="FC6" s="528">
        <v>345613.8</v>
      </c>
      <c r="FD6" s="529">
        <f t="shared" ref="FD6:FD14" si="38">FC6-FB6</f>
        <v>55173.950000000012</v>
      </c>
      <c r="FE6" s="254"/>
      <c r="FF6" s="530">
        <v>85752.04</v>
      </c>
      <c r="FG6" s="531">
        <v>94721.02</v>
      </c>
      <c r="FH6" s="532">
        <f t="shared" ref="FH6:FH14" si="39">FG6-FF6</f>
        <v>8968.9800000000105</v>
      </c>
      <c r="FI6" s="254"/>
      <c r="FJ6" s="527">
        <v>35835.07</v>
      </c>
      <c r="FK6" s="528">
        <v>44667.7</v>
      </c>
      <c r="FL6" s="529">
        <f t="shared" ref="FL6:FL14" si="40">FK6-FJ6</f>
        <v>8832.6299999999974</v>
      </c>
      <c r="FM6" s="254"/>
      <c r="FN6" s="530">
        <v>92124.42</v>
      </c>
      <c r="FO6" s="531">
        <v>111181.9</v>
      </c>
      <c r="FP6" s="532">
        <f t="shared" ref="FP6:FP14" si="41">FO6-FN6</f>
        <v>19057.479999999996</v>
      </c>
      <c r="FQ6" s="254"/>
      <c r="FR6" s="527">
        <v>115217.28</v>
      </c>
      <c r="FS6" s="528">
        <v>145071.43</v>
      </c>
      <c r="FT6" s="529">
        <f t="shared" ref="FT6:FT14" si="42">FS6-FR6</f>
        <v>29854.149999999994</v>
      </c>
      <c r="FU6" s="254"/>
      <c r="FV6" s="530">
        <v>83885.149999999994</v>
      </c>
      <c r="FW6" s="531">
        <v>124978.3</v>
      </c>
      <c r="FX6" s="532">
        <f t="shared" ref="FX6:FX14" si="43">FW6-FV6</f>
        <v>41093.150000000009</v>
      </c>
      <c r="FY6" s="254"/>
      <c r="FZ6" s="527">
        <v>69163.990000000005</v>
      </c>
      <c r="GA6" s="528">
        <v>57794.23</v>
      </c>
      <c r="GB6" s="529">
        <f t="shared" ref="GB6:GB14" si="44">GA6-FZ6</f>
        <v>-11369.760000000002</v>
      </c>
      <c r="GC6" s="254"/>
      <c r="GD6" s="530">
        <v>214493.43</v>
      </c>
      <c r="GE6" s="531">
        <v>330024.40000000002</v>
      </c>
      <c r="GF6" s="532">
        <f t="shared" ref="GF6:GF14" si="45">GE6-GD6</f>
        <v>115530.97000000003</v>
      </c>
      <c r="GG6" s="254"/>
      <c r="GH6" s="527">
        <v>71682.880000000005</v>
      </c>
      <c r="GI6" s="528">
        <v>101961.05</v>
      </c>
      <c r="GJ6" s="529">
        <f t="shared" ref="GJ6:GJ14" si="46">GI6-GH6</f>
        <v>30278.17</v>
      </c>
      <c r="GK6" s="254"/>
      <c r="GL6" s="530">
        <v>8906.56</v>
      </c>
      <c r="GM6" s="531">
        <v>12354.72</v>
      </c>
      <c r="GN6" s="532">
        <f t="shared" ref="GN6:GN14" si="47">GM6-GL6</f>
        <v>3448.16</v>
      </c>
      <c r="GO6" s="254"/>
      <c r="GP6" s="527">
        <f t="shared" ref="GP6:GQ19" si="48">SUM(F6,J6,N6,R6,V6,Z6,AD6,AH6,AL6,AP6,AT6,AX6,BB6,BF6,BJ6,BN6,BR6,BV6,BZ6,CD6,CH6,CL6,CP6,CT6,CX6,DB6,DF6,DJ6,DN6,DR6,DV6,DZ6,ED6,EH6,EL6,EP6,ET6,EX6,FB6,FF6,FJ6,FN6,FR6,FV6,FZ6,GD6,GH6,GL6)</f>
        <v>6333111.3000000017</v>
      </c>
      <c r="GQ6" s="528">
        <f t="shared" si="48"/>
        <v>8219251.5600000015</v>
      </c>
      <c r="GR6" s="529">
        <f t="shared" ref="GR6:GR14" si="49">GQ6-GP6</f>
        <v>1886140.2599999998</v>
      </c>
      <c r="GS6" s="533"/>
    </row>
    <row r="7" spans="1:201" x14ac:dyDescent="0.2">
      <c r="A7" s="224" t="s">
        <v>604</v>
      </c>
      <c r="B7" s="526" t="s">
        <v>605</v>
      </c>
      <c r="C7" s="526"/>
      <c r="D7" s="526"/>
      <c r="E7" s="526"/>
      <c r="F7" s="527">
        <v>21737.67</v>
      </c>
      <c r="G7" s="528">
        <v>21752.12</v>
      </c>
      <c r="H7" s="529">
        <f t="shared" si="0"/>
        <v>14.450000000000728</v>
      </c>
      <c r="I7" s="254"/>
      <c r="J7" s="530">
        <v>162968.72</v>
      </c>
      <c r="K7" s="531">
        <v>163207.87</v>
      </c>
      <c r="L7" s="532">
        <f t="shared" si="1"/>
        <v>239.14999999999418</v>
      </c>
      <c r="M7" s="254"/>
      <c r="N7" s="527">
        <v>246558.78</v>
      </c>
      <c r="O7" s="528">
        <v>246955.75</v>
      </c>
      <c r="P7" s="529">
        <f t="shared" si="2"/>
        <v>396.97000000000116</v>
      </c>
      <c r="Q7" s="254"/>
      <c r="R7" s="530">
        <v>15186.59</v>
      </c>
      <c r="S7" s="531">
        <v>15230.95</v>
      </c>
      <c r="T7" s="532">
        <f t="shared" si="3"/>
        <v>44.360000000000582</v>
      </c>
      <c r="U7" s="254"/>
      <c r="V7" s="527">
        <v>5955.53</v>
      </c>
      <c r="W7" s="528">
        <v>5940.52</v>
      </c>
      <c r="X7" s="529">
        <f t="shared" si="4"/>
        <v>-15.009999999999309</v>
      </c>
      <c r="Y7" s="254"/>
      <c r="Z7" s="530">
        <v>32287.46</v>
      </c>
      <c r="AA7" s="531">
        <v>32337.85</v>
      </c>
      <c r="AB7" s="532">
        <f t="shared" si="5"/>
        <v>50.389999999999418</v>
      </c>
      <c r="AC7" s="254"/>
      <c r="AD7" s="527">
        <v>130000.63</v>
      </c>
      <c r="AE7" s="528">
        <v>130200.04</v>
      </c>
      <c r="AF7" s="529">
        <f t="shared" si="6"/>
        <v>199.40999999998894</v>
      </c>
      <c r="AG7" s="254"/>
      <c r="AH7" s="530">
        <v>126342.23</v>
      </c>
      <c r="AI7" s="531">
        <v>126537.46</v>
      </c>
      <c r="AJ7" s="532">
        <f t="shared" si="7"/>
        <v>195.23000000001048</v>
      </c>
      <c r="AK7" s="254"/>
      <c r="AL7" s="527">
        <v>84866.25</v>
      </c>
      <c r="AM7" s="528">
        <v>84998.52</v>
      </c>
      <c r="AN7" s="529">
        <f t="shared" si="8"/>
        <v>132.27000000000407</v>
      </c>
      <c r="AO7" s="254"/>
      <c r="AP7" s="530">
        <v>27225.26</v>
      </c>
      <c r="AQ7" s="531">
        <v>27290.639999999999</v>
      </c>
      <c r="AR7" s="532">
        <f t="shared" si="9"/>
        <v>65.380000000001019</v>
      </c>
      <c r="AS7" s="254"/>
      <c r="AT7" s="527">
        <v>10847.57</v>
      </c>
      <c r="AU7" s="528">
        <v>10853.73</v>
      </c>
      <c r="AV7" s="529">
        <f t="shared" si="10"/>
        <v>6.1599999999998545</v>
      </c>
      <c r="AW7" s="254"/>
      <c r="AX7" s="530">
        <v>229798.23</v>
      </c>
      <c r="AY7" s="531">
        <v>230161.51</v>
      </c>
      <c r="AZ7" s="532">
        <f t="shared" si="11"/>
        <v>363.27999999999884</v>
      </c>
      <c r="BA7" s="254"/>
      <c r="BB7" s="527">
        <v>58023.839999999997</v>
      </c>
      <c r="BC7" s="528">
        <v>58109.86</v>
      </c>
      <c r="BD7" s="529">
        <f t="shared" si="12"/>
        <v>86.020000000004075</v>
      </c>
      <c r="BE7" s="254"/>
      <c r="BF7" s="530">
        <v>7146.63</v>
      </c>
      <c r="BG7" s="531">
        <v>7146.49</v>
      </c>
      <c r="BH7" s="532">
        <f t="shared" si="13"/>
        <v>-0.14000000000032742</v>
      </c>
      <c r="BI7" s="254"/>
      <c r="BJ7" s="527">
        <v>43900.74</v>
      </c>
      <c r="BK7" s="528">
        <v>43950.89</v>
      </c>
      <c r="BL7" s="529">
        <f t="shared" si="14"/>
        <v>50.150000000001455</v>
      </c>
      <c r="BM7" s="254"/>
      <c r="BN7" s="530">
        <v>112006.43</v>
      </c>
      <c r="BO7" s="531">
        <v>112199.83</v>
      </c>
      <c r="BP7" s="532">
        <f t="shared" si="15"/>
        <v>193.40000000000873</v>
      </c>
      <c r="BQ7" s="254"/>
      <c r="BR7" s="527">
        <v>162288.09</v>
      </c>
      <c r="BS7" s="528">
        <v>162537.89000000001</v>
      </c>
      <c r="BT7" s="529">
        <f t="shared" si="16"/>
        <v>249.80000000001746</v>
      </c>
      <c r="BU7" s="254"/>
      <c r="BV7" s="530">
        <v>29777.63</v>
      </c>
      <c r="BW7" s="531">
        <v>29836.58</v>
      </c>
      <c r="BX7" s="532">
        <f t="shared" si="17"/>
        <v>58.950000000000728</v>
      </c>
      <c r="BY7" s="254"/>
      <c r="BZ7" s="527">
        <v>20929.419999999998</v>
      </c>
      <c r="CA7" s="528">
        <v>20992.799999999999</v>
      </c>
      <c r="CB7" s="529">
        <f t="shared" si="18"/>
        <v>63.380000000001019</v>
      </c>
      <c r="CC7" s="254"/>
      <c r="CD7" s="530">
        <v>76911.37</v>
      </c>
      <c r="CE7" s="531">
        <v>77048.05</v>
      </c>
      <c r="CF7" s="532">
        <f t="shared" si="19"/>
        <v>136.68000000000757</v>
      </c>
      <c r="CG7" s="254"/>
      <c r="CH7" s="527">
        <v>76741.210000000006</v>
      </c>
      <c r="CI7" s="528">
        <v>76869.39</v>
      </c>
      <c r="CJ7" s="529">
        <f t="shared" si="20"/>
        <v>128.17999999999302</v>
      </c>
      <c r="CK7" s="254"/>
      <c r="CL7" s="530">
        <v>71466.31</v>
      </c>
      <c r="CM7" s="531">
        <v>71554.19</v>
      </c>
      <c r="CN7" s="532">
        <f t="shared" si="21"/>
        <v>87.880000000004657</v>
      </c>
      <c r="CO7" s="254"/>
      <c r="CP7" s="527">
        <v>219078.28</v>
      </c>
      <c r="CQ7" s="528">
        <v>219397.11</v>
      </c>
      <c r="CR7" s="529">
        <f t="shared" si="22"/>
        <v>318.82999999998719</v>
      </c>
      <c r="CS7" s="254"/>
      <c r="CT7" s="530">
        <v>117281.32</v>
      </c>
      <c r="CU7" s="531">
        <v>117470.36</v>
      </c>
      <c r="CV7" s="532">
        <f t="shared" si="23"/>
        <v>189.0399999999936</v>
      </c>
      <c r="CW7" s="254"/>
      <c r="CX7" s="527">
        <v>111453.42</v>
      </c>
      <c r="CY7" s="528">
        <v>111663.84</v>
      </c>
      <c r="CZ7" s="529">
        <f t="shared" si="24"/>
        <v>210.41999999999825</v>
      </c>
      <c r="DA7" s="254"/>
      <c r="DB7" s="530">
        <v>53599.73</v>
      </c>
      <c r="DC7" s="531">
        <v>53643.31</v>
      </c>
      <c r="DD7" s="532">
        <f t="shared" si="25"/>
        <v>43.57999999999447</v>
      </c>
      <c r="DE7" s="254"/>
      <c r="DF7" s="527">
        <v>75635.179999999993</v>
      </c>
      <c r="DG7" s="528">
        <v>75752.75</v>
      </c>
      <c r="DH7" s="529">
        <f t="shared" si="26"/>
        <v>117.57000000000698</v>
      </c>
      <c r="DI7" s="254"/>
      <c r="DJ7" s="530">
        <v>128001.27</v>
      </c>
      <c r="DK7" s="531">
        <v>128234.75</v>
      </c>
      <c r="DL7" s="532">
        <f t="shared" si="27"/>
        <v>233.47999999999593</v>
      </c>
      <c r="DM7" s="254"/>
      <c r="DN7" s="527">
        <v>156417.64000000001</v>
      </c>
      <c r="DO7" s="528">
        <v>156642.03</v>
      </c>
      <c r="DP7" s="529">
        <f t="shared" si="28"/>
        <v>224.38999999998487</v>
      </c>
      <c r="DQ7" s="254"/>
      <c r="DR7" s="530">
        <v>251110.5</v>
      </c>
      <c r="DS7" s="531">
        <v>251511.63</v>
      </c>
      <c r="DT7" s="532">
        <f t="shared" si="29"/>
        <v>401.13000000000466</v>
      </c>
      <c r="DU7" s="254"/>
      <c r="DV7" s="527">
        <v>150334.49</v>
      </c>
      <c r="DW7" s="528">
        <v>150567.51999999999</v>
      </c>
      <c r="DX7" s="529">
        <f t="shared" si="30"/>
        <v>233.02999999999884</v>
      </c>
      <c r="DY7" s="254"/>
      <c r="DZ7" s="530">
        <v>232818.53</v>
      </c>
      <c r="EA7" s="531">
        <v>233198.76</v>
      </c>
      <c r="EB7" s="532">
        <f t="shared" si="31"/>
        <v>380.23000000001048</v>
      </c>
      <c r="EC7" s="254"/>
      <c r="ED7" s="527">
        <v>284759.23</v>
      </c>
      <c r="EE7" s="528">
        <v>285189.45</v>
      </c>
      <c r="EF7" s="529">
        <f t="shared" si="32"/>
        <v>430.22000000003027</v>
      </c>
      <c r="EG7" s="254"/>
      <c r="EH7" s="530">
        <v>74401.539999999994</v>
      </c>
      <c r="EI7" s="531">
        <v>74546.78</v>
      </c>
      <c r="EJ7" s="532">
        <f t="shared" si="33"/>
        <v>145.24000000000524</v>
      </c>
      <c r="EK7" s="254"/>
      <c r="EL7" s="527">
        <v>102817.9</v>
      </c>
      <c r="EM7" s="528">
        <v>102954.06</v>
      </c>
      <c r="EN7" s="529">
        <f t="shared" si="34"/>
        <v>136.16000000000349</v>
      </c>
      <c r="EO7" s="254"/>
      <c r="EP7" s="530">
        <v>17824.04</v>
      </c>
      <c r="EQ7" s="531">
        <v>17866.21</v>
      </c>
      <c r="ER7" s="532">
        <f t="shared" si="35"/>
        <v>42.169999999998254</v>
      </c>
      <c r="ES7" s="254"/>
      <c r="ET7" s="527">
        <v>176921.66</v>
      </c>
      <c r="EU7" s="528">
        <v>177188.18</v>
      </c>
      <c r="EV7" s="529">
        <f t="shared" si="36"/>
        <v>266.51999999998952</v>
      </c>
      <c r="EW7" s="254"/>
      <c r="EX7" s="530">
        <v>182749.57</v>
      </c>
      <c r="EY7" s="531">
        <v>183039.37</v>
      </c>
      <c r="EZ7" s="532">
        <f t="shared" si="37"/>
        <v>289.79999999998836</v>
      </c>
      <c r="FA7" s="254"/>
      <c r="FB7" s="527">
        <v>224693.49</v>
      </c>
      <c r="FC7" s="528">
        <v>225024.97</v>
      </c>
      <c r="FD7" s="529">
        <f t="shared" si="38"/>
        <v>331.48000000001048</v>
      </c>
      <c r="FE7" s="254"/>
      <c r="FF7" s="530">
        <v>61894.93</v>
      </c>
      <c r="FG7" s="531">
        <v>61995.76</v>
      </c>
      <c r="FH7" s="532">
        <f t="shared" si="39"/>
        <v>100.83000000000175</v>
      </c>
      <c r="FI7" s="254"/>
      <c r="FJ7" s="527">
        <v>30968.74</v>
      </c>
      <c r="FK7" s="528">
        <v>30997.88</v>
      </c>
      <c r="FL7" s="529">
        <f t="shared" si="40"/>
        <v>29.139999999999418</v>
      </c>
      <c r="FM7" s="254"/>
      <c r="FN7" s="530">
        <v>75592.639999999999</v>
      </c>
      <c r="FO7" s="531">
        <v>75708.08</v>
      </c>
      <c r="FP7" s="532">
        <f t="shared" si="41"/>
        <v>115.44000000000233</v>
      </c>
      <c r="FQ7" s="254"/>
      <c r="FR7" s="527">
        <v>90736.69</v>
      </c>
      <c r="FS7" s="528">
        <v>90894.37</v>
      </c>
      <c r="FT7" s="529">
        <f t="shared" si="42"/>
        <v>157.67999999999302</v>
      </c>
      <c r="FU7" s="254"/>
      <c r="FV7" s="530">
        <v>19100.22</v>
      </c>
      <c r="FW7" s="531">
        <v>19116.849999999999</v>
      </c>
      <c r="FX7" s="532">
        <f t="shared" si="43"/>
        <v>16.629999999997381</v>
      </c>
      <c r="FY7" s="254"/>
      <c r="FZ7" s="527">
        <v>37222.04</v>
      </c>
      <c r="GA7" s="528">
        <v>37295.72</v>
      </c>
      <c r="GB7" s="529">
        <f t="shared" si="44"/>
        <v>73.680000000000291</v>
      </c>
      <c r="GC7" s="254"/>
      <c r="GD7" s="530">
        <v>221205.25</v>
      </c>
      <c r="GE7" s="531">
        <v>221541.06</v>
      </c>
      <c r="GF7" s="532">
        <f t="shared" si="45"/>
        <v>335.80999999999767</v>
      </c>
      <c r="GG7" s="254"/>
      <c r="GH7" s="527">
        <v>68658.710000000006</v>
      </c>
      <c r="GI7" s="528">
        <v>68784.929999999993</v>
      </c>
      <c r="GJ7" s="529">
        <f t="shared" si="46"/>
        <v>126.21999999998661</v>
      </c>
      <c r="GK7" s="254"/>
      <c r="GL7" s="530">
        <v>8380.2800000000007</v>
      </c>
      <c r="GM7" s="531">
        <v>8397.1200000000008</v>
      </c>
      <c r="GN7" s="532">
        <f t="shared" si="47"/>
        <v>16.840000000000146</v>
      </c>
      <c r="GO7" s="254"/>
      <c r="GP7" s="527">
        <f t="shared" si="48"/>
        <v>4926623.88</v>
      </c>
      <c r="GQ7" s="528">
        <f t="shared" si="48"/>
        <v>4934335.7799999993</v>
      </c>
      <c r="GR7" s="529">
        <f t="shared" si="49"/>
        <v>7711.8999999994412</v>
      </c>
      <c r="GS7" s="533"/>
    </row>
    <row r="8" spans="1:201" x14ac:dyDescent="0.2">
      <c r="A8" s="224" t="s">
        <v>606</v>
      </c>
      <c r="B8" s="526" t="s">
        <v>607</v>
      </c>
      <c r="C8" s="526"/>
      <c r="D8" s="526"/>
      <c r="E8" s="526"/>
      <c r="F8" s="527">
        <v>0</v>
      </c>
      <c r="G8" s="528">
        <v>0</v>
      </c>
      <c r="H8" s="529">
        <f t="shared" si="0"/>
        <v>0</v>
      </c>
      <c r="I8" s="254"/>
      <c r="J8" s="530">
        <v>0</v>
      </c>
      <c r="K8" s="531">
        <v>0</v>
      </c>
      <c r="L8" s="532">
        <f t="shared" si="1"/>
        <v>0</v>
      </c>
      <c r="M8" s="254"/>
      <c r="N8" s="527">
        <v>0</v>
      </c>
      <c r="O8" s="528">
        <v>0</v>
      </c>
      <c r="P8" s="529">
        <f t="shared" si="2"/>
        <v>0</v>
      </c>
      <c r="Q8" s="254"/>
      <c r="R8" s="530">
        <v>0</v>
      </c>
      <c r="S8" s="531">
        <v>0</v>
      </c>
      <c r="T8" s="532">
        <f t="shared" si="3"/>
        <v>0</v>
      </c>
      <c r="U8" s="254"/>
      <c r="V8" s="527">
        <v>0</v>
      </c>
      <c r="W8" s="528">
        <v>0</v>
      </c>
      <c r="X8" s="529">
        <f t="shared" si="4"/>
        <v>0</v>
      </c>
      <c r="Y8" s="254"/>
      <c r="Z8" s="530">
        <v>0</v>
      </c>
      <c r="AA8" s="531">
        <v>0</v>
      </c>
      <c r="AB8" s="532">
        <f t="shared" si="5"/>
        <v>0</v>
      </c>
      <c r="AC8" s="254"/>
      <c r="AD8" s="527">
        <v>0</v>
      </c>
      <c r="AE8" s="528">
        <v>0</v>
      </c>
      <c r="AF8" s="529">
        <f t="shared" si="6"/>
        <v>0</v>
      </c>
      <c r="AG8" s="254"/>
      <c r="AH8" s="530">
        <v>0</v>
      </c>
      <c r="AI8" s="531">
        <v>0</v>
      </c>
      <c r="AJ8" s="532">
        <f t="shared" si="7"/>
        <v>0</v>
      </c>
      <c r="AK8" s="254"/>
      <c r="AL8" s="527">
        <v>0</v>
      </c>
      <c r="AM8" s="528">
        <v>0</v>
      </c>
      <c r="AN8" s="529">
        <f t="shared" si="8"/>
        <v>0</v>
      </c>
      <c r="AO8" s="254"/>
      <c r="AP8" s="530">
        <v>0</v>
      </c>
      <c r="AQ8" s="531">
        <v>0</v>
      </c>
      <c r="AR8" s="532">
        <f t="shared" si="9"/>
        <v>0</v>
      </c>
      <c r="AS8" s="254"/>
      <c r="AT8" s="527">
        <v>0</v>
      </c>
      <c r="AU8" s="528">
        <v>0</v>
      </c>
      <c r="AV8" s="529">
        <f t="shared" si="10"/>
        <v>0</v>
      </c>
      <c r="AW8" s="254"/>
      <c r="AX8" s="530">
        <v>0</v>
      </c>
      <c r="AY8" s="531">
        <v>0</v>
      </c>
      <c r="AZ8" s="532">
        <f t="shared" si="11"/>
        <v>0</v>
      </c>
      <c r="BA8" s="254"/>
      <c r="BB8" s="527">
        <v>0</v>
      </c>
      <c r="BC8" s="528">
        <v>0</v>
      </c>
      <c r="BD8" s="529">
        <f t="shared" si="12"/>
        <v>0</v>
      </c>
      <c r="BE8" s="254"/>
      <c r="BF8" s="530">
        <v>0</v>
      </c>
      <c r="BG8" s="531">
        <v>0</v>
      </c>
      <c r="BH8" s="532">
        <f t="shared" si="13"/>
        <v>0</v>
      </c>
      <c r="BI8" s="254"/>
      <c r="BJ8" s="527">
        <v>0</v>
      </c>
      <c r="BK8" s="528">
        <v>0</v>
      </c>
      <c r="BL8" s="529">
        <f t="shared" si="14"/>
        <v>0</v>
      </c>
      <c r="BM8" s="254"/>
      <c r="BN8" s="530">
        <v>0</v>
      </c>
      <c r="BO8" s="531">
        <v>0</v>
      </c>
      <c r="BP8" s="532">
        <f t="shared" si="15"/>
        <v>0</v>
      </c>
      <c r="BQ8" s="254"/>
      <c r="BR8" s="527">
        <v>0</v>
      </c>
      <c r="BS8" s="528">
        <v>0</v>
      </c>
      <c r="BT8" s="529">
        <f t="shared" si="16"/>
        <v>0</v>
      </c>
      <c r="BU8" s="254"/>
      <c r="BV8" s="530">
        <v>0</v>
      </c>
      <c r="BW8" s="531">
        <v>0</v>
      </c>
      <c r="BX8" s="532">
        <f t="shared" si="17"/>
        <v>0</v>
      </c>
      <c r="BY8" s="254"/>
      <c r="BZ8" s="527">
        <v>0</v>
      </c>
      <c r="CA8" s="528">
        <v>0</v>
      </c>
      <c r="CB8" s="529">
        <f t="shared" si="18"/>
        <v>0</v>
      </c>
      <c r="CC8" s="254"/>
      <c r="CD8" s="530">
        <v>0</v>
      </c>
      <c r="CE8" s="531">
        <v>0</v>
      </c>
      <c r="CF8" s="532">
        <f t="shared" si="19"/>
        <v>0</v>
      </c>
      <c r="CG8" s="254"/>
      <c r="CH8" s="527">
        <v>0</v>
      </c>
      <c r="CI8" s="528">
        <v>0</v>
      </c>
      <c r="CJ8" s="529">
        <f t="shared" si="20"/>
        <v>0</v>
      </c>
      <c r="CK8" s="254"/>
      <c r="CL8" s="530">
        <v>0</v>
      </c>
      <c r="CM8" s="531">
        <v>0</v>
      </c>
      <c r="CN8" s="532">
        <f t="shared" si="21"/>
        <v>0</v>
      </c>
      <c r="CO8" s="254"/>
      <c r="CP8" s="527">
        <v>0</v>
      </c>
      <c r="CQ8" s="528">
        <v>0</v>
      </c>
      <c r="CR8" s="529">
        <f t="shared" si="22"/>
        <v>0</v>
      </c>
      <c r="CS8" s="254"/>
      <c r="CT8" s="530">
        <v>0</v>
      </c>
      <c r="CU8" s="531">
        <v>0</v>
      </c>
      <c r="CV8" s="532">
        <f t="shared" si="23"/>
        <v>0</v>
      </c>
      <c r="CW8" s="254"/>
      <c r="CX8" s="527">
        <v>0</v>
      </c>
      <c r="CY8" s="528">
        <v>0</v>
      </c>
      <c r="CZ8" s="529">
        <f t="shared" si="24"/>
        <v>0</v>
      </c>
      <c r="DA8" s="254"/>
      <c r="DB8" s="530">
        <v>0</v>
      </c>
      <c r="DC8" s="531">
        <v>0</v>
      </c>
      <c r="DD8" s="532">
        <f t="shared" si="25"/>
        <v>0</v>
      </c>
      <c r="DE8" s="254"/>
      <c r="DF8" s="527">
        <v>0</v>
      </c>
      <c r="DG8" s="528">
        <v>0</v>
      </c>
      <c r="DH8" s="529">
        <f t="shared" si="26"/>
        <v>0</v>
      </c>
      <c r="DI8" s="254"/>
      <c r="DJ8" s="530">
        <v>0</v>
      </c>
      <c r="DK8" s="531">
        <v>0</v>
      </c>
      <c r="DL8" s="532">
        <f t="shared" si="27"/>
        <v>0</v>
      </c>
      <c r="DM8" s="254"/>
      <c r="DN8" s="527">
        <v>0</v>
      </c>
      <c r="DO8" s="528">
        <v>0</v>
      </c>
      <c r="DP8" s="529">
        <f t="shared" si="28"/>
        <v>0</v>
      </c>
      <c r="DQ8" s="254"/>
      <c r="DR8" s="530">
        <v>0</v>
      </c>
      <c r="DS8" s="531">
        <v>0</v>
      </c>
      <c r="DT8" s="532">
        <f t="shared" si="29"/>
        <v>0</v>
      </c>
      <c r="DU8" s="254"/>
      <c r="DV8" s="527">
        <v>0</v>
      </c>
      <c r="DW8" s="528">
        <v>0</v>
      </c>
      <c r="DX8" s="529">
        <f t="shared" si="30"/>
        <v>0</v>
      </c>
      <c r="DY8" s="254"/>
      <c r="DZ8" s="530">
        <v>0</v>
      </c>
      <c r="EA8" s="531">
        <v>0</v>
      </c>
      <c r="EB8" s="532">
        <f t="shared" si="31"/>
        <v>0</v>
      </c>
      <c r="EC8" s="254"/>
      <c r="ED8" s="527">
        <v>0</v>
      </c>
      <c r="EE8" s="528">
        <v>0</v>
      </c>
      <c r="EF8" s="529">
        <f t="shared" si="32"/>
        <v>0</v>
      </c>
      <c r="EG8" s="254"/>
      <c r="EH8" s="530">
        <v>0</v>
      </c>
      <c r="EI8" s="531">
        <v>0</v>
      </c>
      <c r="EJ8" s="532">
        <f t="shared" si="33"/>
        <v>0</v>
      </c>
      <c r="EK8" s="254"/>
      <c r="EL8" s="527">
        <v>0</v>
      </c>
      <c r="EM8" s="528">
        <v>0</v>
      </c>
      <c r="EN8" s="529">
        <f t="shared" si="34"/>
        <v>0</v>
      </c>
      <c r="EO8" s="254"/>
      <c r="EP8" s="530">
        <v>0</v>
      </c>
      <c r="EQ8" s="531">
        <v>0</v>
      </c>
      <c r="ER8" s="532">
        <f t="shared" si="35"/>
        <v>0</v>
      </c>
      <c r="ES8" s="254"/>
      <c r="ET8" s="527">
        <v>0</v>
      </c>
      <c r="EU8" s="528">
        <v>0</v>
      </c>
      <c r="EV8" s="529">
        <f t="shared" si="36"/>
        <v>0</v>
      </c>
      <c r="EW8" s="254"/>
      <c r="EX8" s="530">
        <v>0</v>
      </c>
      <c r="EY8" s="531">
        <v>0</v>
      </c>
      <c r="EZ8" s="532">
        <f t="shared" si="37"/>
        <v>0</v>
      </c>
      <c r="FA8" s="254"/>
      <c r="FB8" s="527">
        <v>0</v>
      </c>
      <c r="FC8" s="528">
        <v>0</v>
      </c>
      <c r="FD8" s="529">
        <f t="shared" si="38"/>
        <v>0</v>
      </c>
      <c r="FE8" s="254"/>
      <c r="FF8" s="530">
        <v>0</v>
      </c>
      <c r="FG8" s="531">
        <v>0</v>
      </c>
      <c r="FH8" s="532">
        <f t="shared" si="39"/>
        <v>0</v>
      </c>
      <c r="FI8" s="254"/>
      <c r="FJ8" s="527">
        <v>0</v>
      </c>
      <c r="FK8" s="528">
        <v>0</v>
      </c>
      <c r="FL8" s="529">
        <f t="shared" si="40"/>
        <v>0</v>
      </c>
      <c r="FM8" s="254"/>
      <c r="FN8" s="530">
        <v>0</v>
      </c>
      <c r="FO8" s="531">
        <v>0</v>
      </c>
      <c r="FP8" s="532">
        <f t="shared" si="41"/>
        <v>0</v>
      </c>
      <c r="FQ8" s="254"/>
      <c r="FR8" s="527">
        <v>0</v>
      </c>
      <c r="FS8" s="528">
        <v>0</v>
      </c>
      <c r="FT8" s="529">
        <f t="shared" si="42"/>
        <v>0</v>
      </c>
      <c r="FU8" s="254"/>
      <c r="FV8" s="530">
        <v>0</v>
      </c>
      <c r="FW8" s="531">
        <v>0</v>
      </c>
      <c r="FX8" s="532">
        <f t="shared" si="43"/>
        <v>0</v>
      </c>
      <c r="FY8" s="254"/>
      <c r="FZ8" s="527">
        <v>0</v>
      </c>
      <c r="GA8" s="528">
        <v>0</v>
      </c>
      <c r="GB8" s="529">
        <f t="shared" si="44"/>
        <v>0</v>
      </c>
      <c r="GC8" s="254"/>
      <c r="GD8" s="530">
        <v>0</v>
      </c>
      <c r="GE8" s="531">
        <v>0</v>
      </c>
      <c r="GF8" s="532">
        <f t="shared" si="45"/>
        <v>0</v>
      </c>
      <c r="GG8" s="254"/>
      <c r="GH8" s="527">
        <v>0</v>
      </c>
      <c r="GI8" s="528">
        <v>0</v>
      </c>
      <c r="GJ8" s="529">
        <f t="shared" si="46"/>
        <v>0</v>
      </c>
      <c r="GK8" s="254"/>
      <c r="GL8" s="530">
        <v>0</v>
      </c>
      <c r="GM8" s="531">
        <v>0</v>
      </c>
      <c r="GN8" s="532">
        <f t="shared" si="47"/>
        <v>0</v>
      </c>
      <c r="GO8" s="254"/>
      <c r="GP8" s="527">
        <f t="shared" si="48"/>
        <v>0</v>
      </c>
      <c r="GQ8" s="528">
        <f t="shared" si="48"/>
        <v>0</v>
      </c>
      <c r="GR8" s="529">
        <f t="shared" si="49"/>
        <v>0</v>
      </c>
      <c r="GS8" s="533"/>
    </row>
    <row r="9" spans="1:201" x14ac:dyDescent="0.2">
      <c r="A9" s="224" t="s">
        <v>608</v>
      </c>
      <c r="B9" s="526" t="s">
        <v>609</v>
      </c>
      <c r="C9" s="526"/>
      <c r="D9" s="526"/>
      <c r="E9" s="526"/>
      <c r="F9" s="527">
        <v>6861.44</v>
      </c>
      <c r="G9" s="528">
        <v>8568.5400000000009</v>
      </c>
      <c r="H9" s="529">
        <f t="shared" si="0"/>
        <v>1707.1000000000013</v>
      </c>
      <c r="I9" s="254"/>
      <c r="J9" s="530">
        <v>51440.67</v>
      </c>
      <c r="K9" s="531">
        <v>64264.03</v>
      </c>
      <c r="L9" s="532">
        <f t="shared" si="1"/>
        <v>12823.36</v>
      </c>
      <c r="M9" s="254"/>
      <c r="N9" s="527">
        <v>77825.66</v>
      </c>
      <c r="O9" s="528">
        <v>97244.82</v>
      </c>
      <c r="P9" s="529">
        <f t="shared" si="2"/>
        <v>19419.160000000003</v>
      </c>
      <c r="Q9" s="254"/>
      <c r="R9" s="530">
        <v>4793.6099999999997</v>
      </c>
      <c r="S9" s="531">
        <v>5997.98</v>
      </c>
      <c r="T9" s="532">
        <f t="shared" si="3"/>
        <v>1204.3699999999999</v>
      </c>
      <c r="U9" s="254"/>
      <c r="V9" s="527">
        <v>1879.85</v>
      </c>
      <c r="W9" s="528">
        <v>2344.2199999999998</v>
      </c>
      <c r="X9" s="529">
        <f t="shared" si="4"/>
        <v>464.36999999999989</v>
      </c>
      <c r="Y9" s="254"/>
      <c r="Z9" s="530">
        <v>10191.459999999999</v>
      </c>
      <c r="AA9" s="531">
        <v>12739.64</v>
      </c>
      <c r="AB9" s="532">
        <f t="shared" si="5"/>
        <v>2548.1800000000003</v>
      </c>
      <c r="AC9" s="254"/>
      <c r="AD9" s="527">
        <v>41034.370000000003</v>
      </c>
      <c r="AE9" s="528">
        <v>51265.72</v>
      </c>
      <c r="AF9" s="529">
        <f t="shared" si="6"/>
        <v>10231.349999999999</v>
      </c>
      <c r="AG9" s="254"/>
      <c r="AH9" s="530">
        <v>39879.61</v>
      </c>
      <c r="AI9" s="531">
        <v>49826.85</v>
      </c>
      <c r="AJ9" s="532">
        <f t="shared" si="7"/>
        <v>9947.239999999998</v>
      </c>
      <c r="AK9" s="254"/>
      <c r="AL9" s="527">
        <v>26787.82</v>
      </c>
      <c r="AM9" s="528">
        <v>33465.800000000003</v>
      </c>
      <c r="AN9" s="529">
        <f t="shared" si="8"/>
        <v>6677.9800000000032</v>
      </c>
      <c r="AO9" s="254"/>
      <c r="AP9" s="530">
        <v>8593.59</v>
      </c>
      <c r="AQ9" s="531">
        <v>10734.92</v>
      </c>
      <c r="AR9" s="532">
        <f t="shared" si="9"/>
        <v>2141.33</v>
      </c>
      <c r="AS9" s="254"/>
      <c r="AT9" s="527">
        <v>3424.01</v>
      </c>
      <c r="AU9" s="528">
        <v>4284.2700000000004</v>
      </c>
      <c r="AV9" s="529">
        <f t="shared" si="10"/>
        <v>860.26000000000022</v>
      </c>
      <c r="AW9" s="254"/>
      <c r="AX9" s="530">
        <v>72535.240000000005</v>
      </c>
      <c r="AY9" s="531">
        <v>90632.49</v>
      </c>
      <c r="AZ9" s="532">
        <f t="shared" si="11"/>
        <v>18097.25</v>
      </c>
      <c r="BA9" s="254"/>
      <c r="BB9" s="527">
        <v>18315.080000000002</v>
      </c>
      <c r="BC9" s="528">
        <v>22876.38</v>
      </c>
      <c r="BD9" s="529">
        <f t="shared" si="12"/>
        <v>4561.2999999999993</v>
      </c>
      <c r="BE9" s="254"/>
      <c r="BF9" s="530">
        <v>2255.8200000000002</v>
      </c>
      <c r="BG9" s="531">
        <v>2813.07</v>
      </c>
      <c r="BH9" s="532">
        <f t="shared" si="13"/>
        <v>557.25</v>
      </c>
      <c r="BI9" s="254"/>
      <c r="BJ9" s="527">
        <v>13857.16</v>
      </c>
      <c r="BK9" s="528">
        <v>17314.91</v>
      </c>
      <c r="BL9" s="529">
        <f t="shared" si="14"/>
        <v>3457.75</v>
      </c>
      <c r="BM9" s="254"/>
      <c r="BN9" s="530">
        <v>35354.550000000003</v>
      </c>
      <c r="BO9" s="531">
        <v>44168.39</v>
      </c>
      <c r="BP9" s="532">
        <f t="shared" si="15"/>
        <v>8813.8399999999965</v>
      </c>
      <c r="BQ9" s="254"/>
      <c r="BR9" s="527">
        <v>51225.83</v>
      </c>
      <c r="BS9" s="528">
        <v>64005.36</v>
      </c>
      <c r="BT9" s="529">
        <f t="shared" si="16"/>
        <v>12779.529999999999</v>
      </c>
      <c r="BU9" s="254"/>
      <c r="BV9" s="530">
        <v>9399.23</v>
      </c>
      <c r="BW9" s="531">
        <v>11737.28</v>
      </c>
      <c r="BX9" s="532">
        <f t="shared" si="17"/>
        <v>2338.0500000000011</v>
      </c>
      <c r="BY9" s="254"/>
      <c r="BZ9" s="527">
        <v>6606.32</v>
      </c>
      <c r="CA9" s="528">
        <v>8261.36</v>
      </c>
      <c r="CB9" s="529">
        <f t="shared" si="18"/>
        <v>1655.0400000000009</v>
      </c>
      <c r="CC9" s="254"/>
      <c r="CD9" s="530">
        <v>24276.880000000001</v>
      </c>
      <c r="CE9" s="531">
        <v>30329.39</v>
      </c>
      <c r="CF9" s="532">
        <f t="shared" si="19"/>
        <v>6052.5099999999984</v>
      </c>
      <c r="CG9" s="254"/>
      <c r="CH9" s="527">
        <v>24223.17</v>
      </c>
      <c r="CI9" s="528">
        <v>30264.720000000001</v>
      </c>
      <c r="CJ9" s="529">
        <f t="shared" si="20"/>
        <v>6041.5500000000029</v>
      </c>
      <c r="CK9" s="254"/>
      <c r="CL9" s="530">
        <v>22558.16</v>
      </c>
      <c r="CM9" s="531">
        <v>28179.17</v>
      </c>
      <c r="CN9" s="532">
        <f t="shared" si="21"/>
        <v>5621.0099999999984</v>
      </c>
      <c r="CO9" s="254"/>
      <c r="CP9" s="527">
        <v>69151.509999999995</v>
      </c>
      <c r="CQ9" s="528">
        <v>86396.73</v>
      </c>
      <c r="CR9" s="529">
        <f t="shared" si="22"/>
        <v>17245.22</v>
      </c>
      <c r="CS9" s="254"/>
      <c r="CT9" s="530">
        <v>24059.81</v>
      </c>
      <c r="CU9" s="531">
        <v>46253.94</v>
      </c>
      <c r="CV9" s="532">
        <f t="shared" si="23"/>
        <v>22194.13</v>
      </c>
      <c r="CW9" s="254"/>
      <c r="CX9" s="527">
        <v>35179.99</v>
      </c>
      <c r="CY9" s="528">
        <v>43958.21</v>
      </c>
      <c r="CZ9" s="529">
        <f t="shared" si="24"/>
        <v>8778.2200000000012</v>
      </c>
      <c r="DA9" s="254"/>
      <c r="DB9" s="530">
        <v>16918.62</v>
      </c>
      <c r="DC9" s="531">
        <v>21130.34</v>
      </c>
      <c r="DD9" s="532">
        <f t="shared" si="25"/>
        <v>4211.7200000000012</v>
      </c>
      <c r="DE9" s="254"/>
      <c r="DF9" s="527">
        <v>23874.06</v>
      </c>
      <c r="DG9" s="528">
        <v>29828.21</v>
      </c>
      <c r="DH9" s="529">
        <f t="shared" si="26"/>
        <v>5954.1499999999978</v>
      </c>
      <c r="DI9" s="254"/>
      <c r="DJ9" s="530">
        <v>40403.279999999999</v>
      </c>
      <c r="DK9" s="531">
        <v>50489.7</v>
      </c>
      <c r="DL9" s="532">
        <f t="shared" si="27"/>
        <v>10086.419999999998</v>
      </c>
      <c r="DM9" s="254"/>
      <c r="DN9" s="527">
        <v>49372.84</v>
      </c>
      <c r="DO9" s="528">
        <v>61677.3</v>
      </c>
      <c r="DP9" s="529">
        <f t="shared" si="28"/>
        <v>12304.460000000006</v>
      </c>
      <c r="DQ9" s="254"/>
      <c r="DR9" s="530">
        <v>79262.399999999994</v>
      </c>
      <c r="DS9" s="531">
        <v>99039.360000000001</v>
      </c>
      <c r="DT9" s="532">
        <f t="shared" si="29"/>
        <v>19776.960000000006</v>
      </c>
      <c r="DU9" s="254"/>
      <c r="DV9" s="527">
        <v>47452.71</v>
      </c>
      <c r="DW9" s="528">
        <v>59300.75</v>
      </c>
      <c r="DX9" s="529">
        <f t="shared" si="30"/>
        <v>11848.04</v>
      </c>
      <c r="DY9" s="254"/>
      <c r="DZ9" s="530">
        <v>73488.59</v>
      </c>
      <c r="EA9" s="531">
        <v>91828.86</v>
      </c>
      <c r="EB9" s="532">
        <f t="shared" si="31"/>
        <v>18340.270000000004</v>
      </c>
      <c r="EC9" s="254"/>
      <c r="ED9" s="527">
        <v>89883.54</v>
      </c>
      <c r="EE9" s="528">
        <v>112296.34</v>
      </c>
      <c r="EF9" s="529">
        <f t="shared" si="32"/>
        <v>22412.800000000003</v>
      </c>
      <c r="EG9" s="254"/>
      <c r="EH9" s="530">
        <v>23484.66</v>
      </c>
      <c r="EI9" s="531">
        <v>29343.200000000001</v>
      </c>
      <c r="EJ9" s="532">
        <f t="shared" si="33"/>
        <v>5858.5400000000009</v>
      </c>
      <c r="EK9" s="254"/>
      <c r="EL9" s="527">
        <v>32454.21</v>
      </c>
      <c r="EM9" s="528">
        <v>40546.97</v>
      </c>
      <c r="EN9" s="529">
        <f t="shared" si="34"/>
        <v>8092.760000000002</v>
      </c>
      <c r="EO9" s="254"/>
      <c r="EP9" s="530">
        <v>5626.11</v>
      </c>
      <c r="EQ9" s="531">
        <v>7032.67</v>
      </c>
      <c r="ER9" s="532">
        <f t="shared" si="35"/>
        <v>1406.5600000000004</v>
      </c>
      <c r="ES9" s="254"/>
      <c r="ET9" s="527">
        <v>55844.88</v>
      </c>
      <c r="EU9" s="528">
        <v>69777</v>
      </c>
      <c r="EV9" s="529">
        <f t="shared" si="36"/>
        <v>13932.120000000003</v>
      </c>
      <c r="EW9" s="254"/>
      <c r="EX9" s="530">
        <v>57684.45</v>
      </c>
      <c r="EY9" s="531">
        <v>72072.72</v>
      </c>
      <c r="EZ9" s="532">
        <f t="shared" si="37"/>
        <v>14388.270000000004</v>
      </c>
      <c r="FA9" s="254"/>
      <c r="FB9" s="527">
        <v>70923.94</v>
      </c>
      <c r="FC9" s="528">
        <v>88611.61</v>
      </c>
      <c r="FD9" s="529">
        <f t="shared" si="38"/>
        <v>17687.669999999998</v>
      </c>
      <c r="FE9" s="254"/>
      <c r="FF9" s="530">
        <v>19536.98</v>
      </c>
      <c r="FG9" s="531">
        <v>24412.25</v>
      </c>
      <c r="FH9" s="532">
        <f t="shared" si="39"/>
        <v>4875.2700000000004</v>
      </c>
      <c r="FI9" s="254"/>
      <c r="FJ9" s="527">
        <v>9775.2000000000007</v>
      </c>
      <c r="FK9" s="528">
        <v>12206.12</v>
      </c>
      <c r="FL9" s="529">
        <f t="shared" si="40"/>
        <v>2430.92</v>
      </c>
      <c r="FM9" s="254"/>
      <c r="FN9" s="530">
        <v>23860.63</v>
      </c>
      <c r="FO9" s="531">
        <v>29812.04</v>
      </c>
      <c r="FP9" s="532">
        <f t="shared" si="41"/>
        <v>5951.41</v>
      </c>
      <c r="FQ9" s="254"/>
      <c r="FR9" s="527">
        <v>28640.81</v>
      </c>
      <c r="FS9" s="528">
        <v>35777.69</v>
      </c>
      <c r="FT9" s="529">
        <f t="shared" si="42"/>
        <v>7136.880000000001</v>
      </c>
      <c r="FU9" s="254"/>
      <c r="FV9" s="530">
        <v>6028.94</v>
      </c>
      <c r="FW9" s="531">
        <v>7533.85</v>
      </c>
      <c r="FX9" s="532">
        <f t="shared" si="43"/>
        <v>1504.9100000000008</v>
      </c>
      <c r="FY9" s="254"/>
      <c r="FZ9" s="527">
        <v>11749.04</v>
      </c>
      <c r="GA9" s="528">
        <v>14679.68</v>
      </c>
      <c r="GB9" s="529">
        <f t="shared" si="44"/>
        <v>2930.6399999999994</v>
      </c>
      <c r="GC9" s="254"/>
      <c r="GD9" s="530">
        <v>69822.89</v>
      </c>
      <c r="GE9" s="531">
        <v>87237.41</v>
      </c>
      <c r="GF9" s="532">
        <f t="shared" si="45"/>
        <v>17414.520000000004</v>
      </c>
      <c r="GG9" s="254"/>
      <c r="GH9" s="527">
        <v>21671.95</v>
      </c>
      <c r="GI9" s="528">
        <v>27079.81</v>
      </c>
      <c r="GJ9" s="529">
        <f t="shared" si="46"/>
        <v>5407.8600000000006</v>
      </c>
      <c r="GK9" s="254"/>
      <c r="GL9" s="530">
        <v>2645.21</v>
      </c>
      <c r="GM9" s="531">
        <v>3314.25</v>
      </c>
      <c r="GN9" s="532">
        <f t="shared" si="47"/>
        <v>669.04</v>
      </c>
      <c r="GO9" s="254"/>
      <c r="GP9" s="527">
        <f t="shared" si="48"/>
        <v>1542116.7799999996</v>
      </c>
      <c r="GQ9" s="528">
        <f t="shared" si="48"/>
        <v>1942956.32</v>
      </c>
      <c r="GR9" s="529">
        <f t="shared" si="49"/>
        <v>400839.5400000005</v>
      </c>
      <c r="GS9" s="533"/>
    </row>
    <row r="10" spans="1:201" x14ac:dyDescent="0.2">
      <c r="A10" s="224" t="s">
        <v>610</v>
      </c>
      <c r="B10" s="224" t="s">
        <v>611</v>
      </c>
      <c r="C10" s="224"/>
      <c r="D10" s="224"/>
      <c r="E10" s="224"/>
      <c r="F10" s="527">
        <v>4459.3999999999996</v>
      </c>
      <c r="G10" s="528">
        <v>5311.21</v>
      </c>
      <c r="H10" s="529">
        <f t="shared" si="0"/>
        <v>851.8100000000004</v>
      </c>
      <c r="I10" s="254"/>
      <c r="J10" s="530">
        <v>33432.400000000001</v>
      </c>
      <c r="K10" s="531">
        <v>39869.230000000003</v>
      </c>
      <c r="L10" s="532">
        <f t="shared" si="1"/>
        <v>6436.8300000000017</v>
      </c>
      <c r="M10" s="254"/>
      <c r="N10" s="527">
        <v>50580.57</v>
      </c>
      <c r="O10" s="528">
        <v>60310.87</v>
      </c>
      <c r="P10" s="529">
        <f t="shared" si="2"/>
        <v>9730.3000000000029</v>
      </c>
      <c r="Q10" s="254"/>
      <c r="R10" s="530">
        <v>3115.47</v>
      </c>
      <c r="S10" s="531">
        <v>3714.84</v>
      </c>
      <c r="T10" s="532">
        <f t="shared" si="3"/>
        <v>599.37000000000035</v>
      </c>
      <c r="U10" s="254"/>
      <c r="V10" s="527">
        <v>1221.75</v>
      </c>
      <c r="W10" s="528">
        <v>1455.81</v>
      </c>
      <c r="X10" s="529">
        <f t="shared" si="4"/>
        <v>234.05999999999995</v>
      </c>
      <c r="Y10" s="254"/>
      <c r="Z10" s="530">
        <v>6623.65</v>
      </c>
      <c r="AA10" s="531">
        <v>7901.56</v>
      </c>
      <c r="AB10" s="532">
        <f t="shared" si="5"/>
        <v>1277.9100000000008</v>
      </c>
      <c r="AC10" s="534"/>
      <c r="AD10" s="527">
        <v>26669.119999999999</v>
      </c>
      <c r="AE10" s="528">
        <v>31796.99</v>
      </c>
      <c r="AF10" s="529">
        <f t="shared" si="6"/>
        <v>5127.8700000000026</v>
      </c>
      <c r="AG10" s="254"/>
      <c r="AH10" s="530">
        <v>25918.62</v>
      </c>
      <c r="AI10" s="531">
        <v>30913.46</v>
      </c>
      <c r="AJ10" s="532">
        <f t="shared" si="7"/>
        <v>4994.84</v>
      </c>
      <c r="AK10" s="254"/>
      <c r="AL10" s="527">
        <v>17409.98</v>
      </c>
      <c r="AM10" s="528">
        <v>20762.919999999998</v>
      </c>
      <c r="AN10" s="529">
        <f t="shared" si="8"/>
        <v>3352.9399999999987</v>
      </c>
      <c r="AO10" s="254"/>
      <c r="AP10" s="530">
        <v>5585.16</v>
      </c>
      <c r="AQ10" s="531">
        <v>6656.59</v>
      </c>
      <c r="AR10" s="532">
        <f t="shared" si="9"/>
        <v>1071.4300000000003</v>
      </c>
      <c r="AS10" s="254"/>
      <c r="AT10" s="527">
        <v>2225.34</v>
      </c>
      <c r="AU10" s="528">
        <v>2660.63</v>
      </c>
      <c r="AV10" s="529">
        <f t="shared" si="10"/>
        <v>435.28999999999996</v>
      </c>
      <c r="AW10" s="254"/>
      <c r="AX10" s="530">
        <v>47142.21</v>
      </c>
      <c r="AY10" s="531">
        <v>56214.51</v>
      </c>
      <c r="AZ10" s="532">
        <f t="shared" si="11"/>
        <v>9072.3000000000029</v>
      </c>
      <c r="BA10" s="254"/>
      <c r="BB10" s="527">
        <v>11903.36</v>
      </c>
      <c r="BC10" s="528">
        <v>14186.66</v>
      </c>
      <c r="BD10" s="529">
        <f t="shared" si="12"/>
        <v>2283.2999999999993</v>
      </c>
      <c r="BE10" s="254"/>
      <c r="BF10" s="530">
        <v>1466.1</v>
      </c>
      <c r="BG10" s="531">
        <v>1746.98</v>
      </c>
      <c r="BH10" s="532">
        <f t="shared" si="13"/>
        <v>280.88000000000011</v>
      </c>
      <c r="BI10" s="254"/>
      <c r="BJ10" s="527">
        <v>9006.06</v>
      </c>
      <c r="BK10" s="528">
        <v>10742.91</v>
      </c>
      <c r="BL10" s="529">
        <f t="shared" si="14"/>
        <v>1736.8500000000004</v>
      </c>
      <c r="BM10" s="254"/>
      <c r="BN10" s="530">
        <v>22977.68</v>
      </c>
      <c r="BO10" s="531">
        <v>27399.43</v>
      </c>
      <c r="BP10" s="532">
        <f t="shared" si="15"/>
        <v>4421.75</v>
      </c>
      <c r="BQ10" s="254"/>
      <c r="BR10" s="527">
        <v>33292.769999999997</v>
      </c>
      <c r="BS10" s="528">
        <v>39698.550000000003</v>
      </c>
      <c r="BT10" s="529">
        <f t="shared" si="16"/>
        <v>6405.7800000000061</v>
      </c>
      <c r="BU10" s="254"/>
      <c r="BV10" s="530">
        <v>6108.76</v>
      </c>
      <c r="BW10" s="531">
        <v>7279.07</v>
      </c>
      <c r="BX10" s="532">
        <f t="shared" si="17"/>
        <v>1170.3099999999995</v>
      </c>
      <c r="BY10" s="254"/>
      <c r="BZ10" s="527">
        <v>4293.59</v>
      </c>
      <c r="CA10" s="528">
        <v>5120.45</v>
      </c>
      <c r="CB10" s="529">
        <f t="shared" si="18"/>
        <v>826.85999999999967</v>
      </c>
      <c r="CC10" s="254"/>
      <c r="CD10" s="530">
        <v>15778.07</v>
      </c>
      <c r="CE10" s="531">
        <v>18815.150000000001</v>
      </c>
      <c r="CF10" s="532">
        <f t="shared" si="19"/>
        <v>3037.0800000000017</v>
      </c>
      <c r="CG10" s="254"/>
      <c r="CH10" s="527">
        <v>15743.16</v>
      </c>
      <c r="CI10" s="528">
        <v>18774.990000000002</v>
      </c>
      <c r="CJ10" s="529">
        <f t="shared" si="20"/>
        <v>3031.8300000000017</v>
      </c>
      <c r="CK10" s="254"/>
      <c r="CL10" s="530">
        <v>14661.04</v>
      </c>
      <c r="CM10" s="531">
        <v>17479.810000000001</v>
      </c>
      <c r="CN10" s="532">
        <f t="shared" si="21"/>
        <v>2818.7700000000004</v>
      </c>
      <c r="CO10" s="254"/>
      <c r="CP10" s="527">
        <v>44943.06</v>
      </c>
      <c r="CQ10" s="528">
        <v>53584.01</v>
      </c>
      <c r="CR10" s="529">
        <f t="shared" si="22"/>
        <v>8640.9500000000044</v>
      </c>
      <c r="CS10" s="254"/>
      <c r="CT10" s="530">
        <v>37019.56</v>
      </c>
      <c r="CU10" s="531">
        <v>28694.6</v>
      </c>
      <c r="CV10" s="532">
        <f t="shared" si="23"/>
        <v>-8324.9599999999991</v>
      </c>
      <c r="CW10" s="254"/>
      <c r="CX10" s="527">
        <v>22864.23</v>
      </c>
      <c r="CY10" s="528">
        <v>27268.91</v>
      </c>
      <c r="CZ10" s="529">
        <f t="shared" si="24"/>
        <v>4404.68</v>
      </c>
      <c r="DA10" s="254"/>
      <c r="DB10" s="530">
        <v>10995.78</v>
      </c>
      <c r="DC10" s="531">
        <v>13102.33</v>
      </c>
      <c r="DD10" s="532">
        <f t="shared" si="25"/>
        <v>2106.5499999999993</v>
      </c>
      <c r="DE10" s="254"/>
      <c r="DF10" s="527">
        <v>15516.26</v>
      </c>
      <c r="DG10" s="528">
        <v>18503.900000000001</v>
      </c>
      <c r="DH10" s="529">
        <f t="shared" si="26"/>
        <v>2987.6400000000012</v>
      </c>
      <c r="DI10" s="254"/>
      <c r="DJ10" s="530">
        <v>26258.959999999999</v>
      </c>
      <c r="DK10" s="531">
        <v>31315.07</v>
      </c>
      <c r="DL10" s="532">
        <f t="shared" si="27"/>
        <v>5056.1100000000006</v>
      </c>
      <c r="DM10" s="254"/>
      <c r="DN10" s="527">
        <v>32088.47</v>
      </c>
      <c r="DO10" s="528">
        <v>38262.82</v>
      </c>
      <c r="DP10" s="529">
        <f t="shared" si="28"/>
        <v>6174.3499999999985</v>
      </c>
      <c r="DQ10" s="254"/>
      <c r="DR10" s="530">
        <v>51514.34</v>
      </c>
      <c r="DS10" s="531">
        <v>61425.33</v>
      </c>
      <c r="DT10" s="532">
        <f t="shared" si="29"/>
        <v>9910.9900000000052</v>
      </c>
      <c r="DU10" s="254"/>
      <c r="DV10" s="527">
        <v>30840.54</v>
      </c>
      <c r="DW10" s="528">
        <v>36776.879999999997</v>
      </c>
      <c r="DX10" s="529">
        <f t="shared" si="30"/>
        <v>5936.3399999999965</v>
      </c>
      <c r="DY10" s="254"/>
      <c r="DZ10" s="530">
        <v>47761.81</v>
      </c>
      <c r="EA10" s="531">
        <v>56957.48</v>
      </c>
      <c r="EB10" s="532">
        <f t="shared" si="31"/>
        <v>9195.6700000000055</v>
      </c>
      <c r="EC10" s="254"/>
      <c r="ED10" s="527">
        <v>58417.25</v>
      </c>
      <c r="EE10" s="528">
        <v>69658.210000000006</v>
      </c>
      <c r="EF10" s="529">
        <f t="shared" si="32"/>
        <v>11240.960000000006</v>
      </c>
      <c r="EG10" s="254"/>
      <c r="EH10" s="530">
        <v>15263.19</v>
      </c>
      <c r="EI10" s="531">
        <v>18202.7</v>
      </c>
      <c r="EJ10" s="532">
        <f t="shared" si="33"/>
        <v>2939.51</v>
      </c>
      <c r="EK10" s="254"/>
      <c r="EL10" s="527">
        <v>21092.69</v>
      </c>
      <c r="EM10" s="528">
        <v>25150.45</v>
      </c>
      <c r="EN10" s="529">
        <f t="shared" si="34"/>
        <v>4057.760000000002</v>
      </c>
      <c r="EO10" s="254"/>
      <c r="EP10" s="530">
        <v>3656.53</v>
      </c>
      <c r="EQ10" s="531">
        <v>4357.3999999999996</v>
      </c>
      <c r="ER10" s="532">
        <f t="shared" si="35"/>
        <v>700.86999999999944</v>
      </c>
      <c r="ES10" s="254"/>
      <c r="ET10" s="527">
        <v>36294.79</v>
      </c>
      <c r="EU10" s="528">
        <v>43282.87</v>
      </c>
      <c r="EV10" s="529">
        <f t="shared" si="36"/>
        <v>6988.0800000000017</v>
      </c>
      <c r="EW10" s="254"/>
      <c r="EX10" s="530">
        <v>37490.36</v>
      </c>
      <c r="EY10" s="531">
        <v>44708.56</v>
      </c>
      <c r="EZ10" s="532">
        <f t="shared" si="37"/>
        <v>7218.1999999999971</v>
      </c>
      <c r="FA10" s="254"/>
      <c r="FB10" s="527">
        <v>46094.99</v>
      </c>
      <c r="FC10" s="528">
        <v>54959.5</v>
      </c>
      <c r="FD10" s="529">
        <f t="shared" si="38"/>
        <v>8864.510000000002</v>
      </c>
      <c r="FE10" s="254"/>
      <c r="FF10" s="530">
        <v>12697.5</v>
      </c>
      <c r="FG10" s="531">
        <v>15150.51</v>
      </c>
      <c r="FH10" s="532">
        <f t="shared" si="39"/>
        <v>2453.0100000000002</v>
      </c>
      <c r="FI10" s="254"/>
      <c r="FJ10" s="527">
        <v>6353.12</v>
      </c>
      <c r="FK10" s="528">
        <v>7570.23</v>
      </c>
      <c r="FL10" s="529">
        <f t="shared" si="40"/>
        <v>1217.1099999999997</v>
      </c>
      <c r="FM10" s="254"/>
      <c r="FN10" s="530">
        <v>15507.54</v>
      </c>
      <c r="FO10" s="531">
        <v>18493.86</v>
      </c>
      <c r="FP10" s="532">
        <f t="shared" si="41"/>
        <v>2986.3199999999997</v>
      </c>
      <c r="FQ10" s="254"/>
      <c r="FR10" s="527">
        <v>18614.28</v>
      </c>
      <c r="FS10" s="528">
        <v>22198.66</v>
      </c>
      <c r="FT10" s="529">
        <f t="shared" si="42"/>
        <v>3584.380000000001</v>
      </c>
      <c r="FU10" s="254"/>
      <c r="FV10" s="530">
        <v>3918.34</v>
      </c>
      <c r="FW10" s="531">
        <v>4668.6499999999996</v>
      </c>
      <c r="FX10" s="532">
        <f t="shared" si="43"/>
        <v>750.30999999999949</v>
      </c>
      <c r="FY10" s="254"/>
      <c r="FZ10" s="527">
        <v>7635.96</v>
      </c>
      <c r="GA10" s="528">
        <v>9106.3700000000008</v>
      </c>
      <c r="GB10" s="529">
        <f t="shared" si="44"/>
        <v>1470.4100000000008</v>
      </c>
      <c r="GC10" s="254"/>
      <c r="GD10" s="530">
        <v>45379.4</v>
      </c>
      <c r="GE10" s="531">
        <v>54116.13</v>
      </c>
      <c r="GF10" s="532">
        <f t="shared" si="45"/>
        <v>8736.7299999999959</v>
      </c>
      <c r="GG10" s="254"/>
      <c r="GH10" s="527">
        <v>14085.07</v>
      </c>
      <c r="GI10" s="528">
        <v>16797.09</v>
      </c>
      <c r="GJ10" s="529">
        <f t="shared" si="46"/>
        <v>2712.0200000000004</v>
      </c>
      <c r="GK10" s="254"/>
      <c r="GL10" s="530">
        <v>1719.18</v>
      </c>
      <c r="GM10" s="531">
        <v>2058.2199999999998</v>
      </c>
      <c r="GN10" s="532">
        <f t="shared" si="47"/>
        <v>339.03999999999974</v>
      </c>
      <c r="GO10" s="254"/>
      <c r="GP10" s="527">
        <f t="shared" si="48"/>
        <v>1023637.46</v>
      </c>
      <c r="GQ10" s="528">
        <f t="shared" si="48"/>
        <v>1205183.3599999996</v>
      </c>
      <c r="GR10" s="529">
        <f t="shared" si="49"/>
        <v>181545.89999999967</v>
      </c>
      <c r="GS10" s="533"/>
    </row>
    <row r="11" spans="1:201" x14ac:dyDescent="0.2">
      <c r="A11" s="224" t="s">
        <v>612</v>
      </c>
      <c r="B11" s="526" t="s">
        <v>613</v>
      </c>
      <c r="C11" s="526"/>
      <c r="D11" s="526"/>
      <c r="E11" s="526"/>
      <c r="F11" s="527">
        <v>14795.92</v>
      </c>
      <c r="G11" s="528">
        <v>22400.46</v>
      </c>
      <c r="H11" s="529">
        <f t="shared" si="0"/>
        <v>7604.5399999999991</v>
      </c>
      <c r="I11" s="254"/>
      <c r="J11" s="530">
        <v>66972.479999999996</v>
      </c>
      <c r="K11" s="531">
        <v>146090.84</v>
      </c>
      <c r="L11" s="532">
        <f t="shared" si="1"/>
        <v>79118.36</v>
      </c>
      <c r="M11" s="254"/>
      <c r="N11" s="527">
        <v>216187.93</v>
      </c>
      <c r="O11" s="528">
        <v>432087.01</v>
      </c>
      <c r="P11" s="529">
        <f t="shared" si="2"/>
        <v>215899.08000000002</v>
      </c>
      <c r="Q11" s="254"/>
      <c r="R11" s="530">
        <v>297048.93</v>
      </c>
      <c r="S11" s="531">
        <v>88665.25</v>
      </c>
      <c r="T11" s="532">
        <f t="shared" si="3"/>
        <v>-208383.68</v>
      </c>
      <c r="U11" s="254"/>
      <c r="V11" s="527">
        <v>7240.8</v>
      </c>
      <c r="W11" s="528">
        <v>2048.8200000000002</v>
      </c>
      <c r="X11" s="529">
        <f t="shared" si="4"/>
        <v>-5191.9799999999996</v>
      </c>
      <c r="Y11" s="254"/>
      <c r="Z11" s="530">
        <v>0</v>
      </c>
      <c r="AA11" s="531">
        <v>0</v>
      </c>
      <c r="AB11" s="532">
        <f t="shared" si="5"/>
        <v>0</v>
      </c>
      <c r="AC11" s="512"/>
      <c r="AD11" s="527">
        <v>115345.74</v>
      </c>
      <c r="AE11" s="528">
        <v>152159.25</v>
      </c>
      <c r="AF11" s="529">
        <f t="shared" si="6"/>
        <v>36813.509999999995</v>
      </c>
      <c r="AG11" s="254"/>
      <c r="AH11" s="530">
        <v>143084.24</v>
      </c>
      <c r="AI11" s="531">
        <v>194189.4</v>
      </c>
      <c r="AJ11" s="532">
        <f t="shared" si="7"/>
        <v>51105.16</v>
      </c>
      <c r="AK11" s="254"/>
      <c r="AL11" s="527">
        <v>531400.73</v>
      </c>
      <c r="AM11" s="528">
        <v>154286.13</v>
      </c>
      <c r="AN11" s="529">
        <f t="shared" si="8"/>
        <v>-377114.6</v>
      </c>
      <c r="AO11" s="254"/>
      <c r="AP11" s="530">
        <v>70192.5</v>
      </c>
      <c r="AQ11" s="531">
        <v>20488.23</v>
      </c>
      <c r="AR11" s="532">
        <f t="shared" si="9"/>
        <v>-49704.270000000004</v>
      </c>
      <c r="AS11" s="254"/>
      <c r="AT11" s="527">
        <v>311162.90000000002</v>
      </c>
      <c r="AU11" s="528">
        <v>96470.29</v>
      </c>
      <c r="AV11" s="529">
        <f t="shared" si="10"/>
        <v>-214692.61000000004</v>
      </c>
      <c r="AW11" s="254"/>
      <c r="AX11" s="530">
        <v>230504.84</v>
      </c>
      <c r="AY11" s="531">
        <v>367032.01</v>
      </c>
      <c r="AZ11" s="532">
        <f t="shared" si="11"/>
        <v>136527.17000000001</v>
      </c>
      <c r="BA11" s="254"/>
      <c r="BB11" s="527">
        <v>42589.77</v>
      </c>
      <c r="BC11" s="528">
        <v>73972.27</v>
      </c>
      <c r="BD11" s="529">
        <f t="shared" si="12"/>
        <v>31382.500000000007</v>
      </c>
      <c r="BE11" s="254"/>
      <c r="BF11" s="530">
        <v>209364.13</v>
      </c>
      <c r="BG11" s="531">
        <v>63337.9</v>
      </c>
      <c r="BH11" s="532">
        <f t="shared" si="13"/>
        <v>-146026.23000000001</v>
      </c>
      <c r="BI11" s="254"/>
      <c r="BJ11" s="527">
        <v>36214.480000000003</v>
      </c>
      <c r="BK11" s="528">
        <v>54518.2</v>
      </c>
      <c r="BL11" s="529">
        <f t="shared" si="14"/>
        <v>18303.719999999994</v>
      </c>
      <c r="BM11" s="254"/>
      <c r="BN11" s="530">
        <v>70135.5</v>
      </c>
      <c r="BO11" s="531">
        <v>116099.97</v>
      </c>
      <c r="BP11" s="532">
        <f t="shared" si="15"/>
        <v>45964.47</v>
      </c>
      <c r="BQ11" s="254"/>
      <c r="BR11" s="527">
        <v>78222</v>
      </c>
      <c r="BS11" s="528">
        <v>163710.71</v>
      </c>
      <c r="BT11" s="529">
        <f t="shared" si="16"/>
        <v>85488.709999999992</v>
      </c>
      <c r="BU11" s="254"/>
      <c r="BV11" s="530">
        <v>26149.5</v>
      </c>
      <c r="BW11" s="531">
        <v>58342.67</v>
      </c>
      <c r="BX11" s="532">
        <f t="shared" si="17"/>
        <v>32193.17</v>
      </c>
      <c r="BY11" s="254"/>
      <c r="BZ11" s="527">
        <v>456071.25</v>
      </c>
      <c r="CA11" s="528">
        <v>186091.67</v>
      </c>
      <c r="CB11" s="529">
        <f t="shared" si="18"/>
        <v>-269979.57999999996</v>
      </c>
      <c r="CC11" s="254"/>
      <c r="CD11" s="530">
        <v>54136.03</v>
      </c>
      <c r="CE11" s="531">
        <v>103807.03</v>
      </c>
      <c r="CF11" s="532">
        <f t="shared" si="19"/>
        <v>49671</v>
      </c>
      <c r="CG11" s="254"/>
      <c r="CH11" s="527">
        <v>72375.77</v>
      </c>
      <c r="CI11" s="528">
        <v>119046.37</v>
      </c>
      <c r="CJ11" s="529">
        <f t="shared" si="20"/>
        <v>46670.599999999991</v>
      </c>
      <c r="CK11" s="254"/>
      <c r="CL11" s="530">
        <v>44958.51</v>
      </c>
      <c r="CM11" s="531">
        <v>83689.539999999994</v>
      </c>
      <c r="CN11" s="532">
        <f t="shared" si="21"/>
        <v>38731.029999999992</v>
      </c>
      <c r="CO11" s="254"/>
      <c r="CP11" s="527">
        <v>154909.13</v>
      </c>
      <c r="CQ11" s="528">
        <v>209740.94</v>
      </c>
      <c r="CR11" s="529">
        <f t="shared" si="22"/>
        <v>54831.81</v>
      </c>
      <c r="CS11" s="254"/>
      <c r="CT11" s="530">
        <v>100818.08</v>
      </c>
      <c r="CU11" s="531">
        <v>163827.79</v>
      </c>
      <c r="CV11" s="532">
        <f t="shared" si="23"/>
        <v>63009.710000000006</v>
      </c>
      <c r="CW11" s="254"/>
      <c r="CX11" s="527">
        <v>96324.73</v>
      </c>
      <c r="CY11" s="528">
        <v>155008.09</v>
      </c>
      <c r="CZ11" s="529">
        <f t="shared" si="24"/>
        <v>58683.360000000001</v>
      </c>
      <c r="DA11" s="254"/>
      <c r="DB11" s="530">
        <v>81470.83</v>
      </c>
      <c r="DC11" s="531">
        <v>106343.67</v>
      </c>
      <c r="DD11" s="532">
        <f t="shared" si="25"/>
        <v>24872.839999999997</v>
      </c>
      <c r="DE11" s="254"/>
      <c r="DF11" s="527">
        <v>49003.65</v>
      </c>
      <c r="DG11" s="528">
        <v>70479.509999999995</v>
      </c>
      <c r="DH11" s="529">
        <f t="shared" si="26"/>
        <v>21475.859999999993</v>
      </c>
      <c r="DI11" s="254"/>
      <c r="DJ11" s="530">
        <v>95776.35</v>
      </c>
      <c r="DK11" s="531">
        <v>216726.45</v>
      </c>
      <c r="DL11" s="532">
        <f t="shared" si="27"/>
        <v>120950.1</v>
      </c>
      <c r="DM11" s="254"/>
      <c r="DN11" s="527">
        <v>75505.38</v>
      </c>
      <c r="DO11" s="528">
        <v>121056.17</v>
      </c>
      <c r="DP11" s="529">
        <f t="shared" si="28"/>
        <v>45550.789999999994</v>
      </c>
      <c r="DQ11" s="254"/>
      <c r="DR11" s="530">
        <v>163655.98000000001</v>
      </c>
      <c r="DS11" s="531">
        <v>208179.93</v>
      </c>
      <c r="DT11" s="532">
        <f t="shared" si="29"/>
        <v>44523.949999999983</v>
      </c>
      <c r="DU11" s="254"/>
      <c r="DV11" s="527">
        <v>157728.23000000001</v>
      </c>
      <c r="DW11" s="528">
        <v>246853.9</v>
      </c>
      <c r="DX11" s="529">
        <f t="shared" si="30"/>
        <v>89125.669999999984</v>
      </c>
      <c r="DY11" s="254"/>
      <c r="DZ11" s="530">
        <v>69384</v>
      </c>
      <c r="EA11" s="531">
        <v>157232.53</v>
      </c>
      <c r="EB11" s="532">
        <f t="shared" si="31"/>
        <v>87848.53</v>
      </c>
      <c r="EC11" s="254"/>
      <c r="ED11" s="527">
        <v>165935.31</v>
      </c>
      <c r="EE11" s="528">
        <v>233078.01</v>
      </c>
      <c r="EF11" s="529">
        <f t="shared" si="32"/>
        <v>67142.700000000012</v>
      </c>
      <c r="EG11" s="254"/>
      <c r="EH11" s="530">
        <v>13086.77</v>
      </c>
      <c r="EI11" s="531">
        <v>19336.990000000002</v>
      </c>
      <c r="EJ11" s="532">
        <f t="shared" si="33"/>
        <v>6250.2200000000012</v>
      </c>
      <c r="EK11" s="254"/>
      <c r="EL11" s="527">
        <v>74502.33</v>
      </c>
      <c r="EM11" s="528">
        <v>95299.54</v>
      </c>
      <c r="EN11" s="529">
        <f t="shared" si="34"/>
        <v>20797.209999999992</v>
      </c>
      <c r="EO11" s="254"/>
      <c r="EP11" s="530">
        <v>21392.720000000001</v>
      </c>
      <c r="EQ11" s="531">
        <v>27746.92</v>
      </c>
      <c r="ER11" s="532">
        <f t="shared" si="35"/>
        <v>6354.1999999999971</v>
      </c>
      <c r="ES11" s="254"/>
      <c r="ET11" s="527">
        <v>80362</v>
      </c>
      <c r="EU11" s="528">
        <v>117875.62</v>
      </c>
      <c r="EV11" s="529">
        <f t="shared" si="36"/>
        <v>37513.619999999995</v>
      </c>
      <c r="EW11" s="254"/>
      <c r="EX11" s="530">
        <v>108972.36</v>
      </c>
      <c r="EY11" s="531">
        <v>175437.79</v>
      </c>
      <c r="EZ11" s="532">
        <f t="shared" si="37"/>
        <v>66465.430000000008</v>
      </c>
      <c r="FA11" s="254"/>
      <c r="FB11" s="527">
        <v>193962.56</v>
      </c>
      <c r="FC11" s="528">
        <v>207594.55</v>
      </c>
      <c r="FD11" s="529">
        <f t="shared" si="38"/>
        <v>13631.989999999991</v>
      </c>
      <c r="FE11" s="254"/>
      <c r="FF11" s="530">
        <v>45367.93</v>
      </c>
      <c r="FG11" s="531">
        <v>61835.43</v>
      </c>
      <c r="FH11" s="532">
        <f t="shared" si="39"/>
        <v>16467.5</v>
      </c>
      <c r="FI11" s="254"/>
      <c r="FJ11" s="527">
        <v>29423.75</v>
      </c>
      <c r="FK11" s="528">
        <v>57854.86</v>
      </c>
      <c r="FL11" s="529">
        <f t="shared" si="40"/>
        <v>28431.11</v>
      </c>
      <c r="FM11" s="254"/>
      <c r="FN11" s="530">
        <v>59974.25</v>
      </c>
      <c r="FO11" s="531">
        <v>92392.16</v>
      </c>
      <c r="FP11" s="532">
        <f t="shared" si="41"/>
        <v>32417.910000000003</v>
      </c>
      <c r="FQ11" s="254"/>
      <c r="FR11" s="527">
        <v>40657.160000000003</v>
      </c>
      <c r="FS11" s="528">
        <v>64723.29</v>
      </c>
      <c r="FT11" s="529">
        <f t="shared" si="42"/>
        <v>24066.129999999997</v>
      </c>
      <c r="FU11" s="254"/>
      <c r="FV11" s="530">
        <v>17557.5</v>
      </c>
      <c r="FW11" s="531">
        <v>4878.1499999999996</v>
      </c>
      <c r="FX11" s="532">
        <f t="shared" si="43"/>
        <v>-12679.35</v>
      </c>
      <c r="FY11" s="254"/>
      <c r="FZ11" s="527">
        <v>37142.050000000003</v>
      </c>
      <c r="GA11" s="528">
        <v>41269.15</v>
      </c>
      <c r="GB11" s="529">
        <f t="shared" si="44"/>
        <v>4127.0999999999985</v>
      </c>
      <c r="GC11" s="254"/>
      <c r="GD11" s="530">
        <v>122744.46</v>
      </c>
      <c r="GE11" s="531">
        <v>190755.18</v>
      </c>
      <c r="GF11" s="532">
        <f t="shared" si="45"/>
        <v>68010.719999999987</v>
      </c>
      <c r="GG11" s="254"/>
      <c r="GH11" s="527">
        <v>46789.25</v>
      </c>
      <c r="GI11" s="528">
        <v>95709.3</v>
      </c>
      <c r="GJ11" s="529">
        <f t="shared" si="46"/>
        <v>48920.05</v>
      </c>
      <c r="GK11" s="254"/>
      <c r="GL11" s="530">
        <v>8006</v>
      </c>
      <c r="GM11" s="531">
        <v>7805.04</v>
      </c>
      <c r="GN11" s="532">
        <f t="shared" si="47"/>
        <v>-200.96000000000004</v>
      </c>
      <c r="GO11" s="254"/>
      <c r="GP11" s="527">
        <f t="shared" si="48"/>
        <v>5204606.7099999981</v>
      </c>
      <c r="GQ11" s="528">
        <f t="shared" si="48"/>
        <v>5847574.9800000004</v>
      </c>
      <c r="GR11" s="529">
        <f t="shared" si="49"/>
        <v>642968.27000000235</v>
      </c>
      <c r="GS11" s="533"/>
    </row>
    <row r="12" spans="1:201" x14ac:dyDescent="0.2">
      <c r="A12" s="224" t="s">
        <v>614</v>
      </c>
      <c r="B12" s="526" t="s">
        <v>615</v>
      </c>
      <c r="C12" s="526"/>
      <c r="D12" s="526"/>
      <c r="E12" s="526"/>
      <c r="F12" s="527">
        <v>103348.66</v>
      </c>
      <c r="G12" s="528">
        <v>112037.67</v>
      </c>
      <c r="H12" s="529">
        <f t="shared" si="0"/>
        <v>8689.0099999999948</v>
      </c>
      <c r="I12" s="254"/>
      <c r="J12" s="530">
        <v>707144.12</v>
      </c>
      <c r="K12" s="531">
        <v>771372.33</v>
      </c>
      <c r="L12" s="532">
        <f t="shared" si="1"/>
        <v>64228.209999999963</v>
      </c>
      <c r="M12" s="254"/>
      <c r="N12" s="527">
        <v>1066698.44</v>
      </c>
      <c r="O12" s="528">
        <v>1166316.83</v>
      </c>
      <c r="P12" s="529">
        <f t="shared" si="2"/>
        <v>99618.39000000013</v>
      </c>
      <c r="Q12" s="254"/>
      <c r="R12" s="530">
        <v>125833.7</v>
      </c>
      <c r="S12" s="531">
        <v>136882.84</v>
      </c>
      <c r="T12" s="532">
        <f t="shared" si="3"/>
        <v>11049.14</v>
      </c>
      <c r="U12" s="254"/>
      <c r="V12" s="527">
        <v>116344.6</v>
      </c>
      <c r="W12" s="528">
        <v>131491.91</v>
      </c>
      <c r="X12" s="529">
        <f t="shared" si="4"/>
        <v>15147.309999999998</v>
      </c>
      <c r="Y12" s="254"/>
      <c r="Z12" s="530">
        <v>594925.22</v>
      </c>
      <c r="AA12" s="531">
        <v>664256.81000000006</v>
      </c>
      <c r="AB12" s="532">
        <f t="shared" si="5"/>
        <v>69331.590000000084</v>
      </c>
      <c r="AC12" s="516"/>
      <c r="AD12" s="527">
        <v>625042.79</v>
      </c>
      <c r="AE12" s="528">
        <v>676913.79</v>
      </c>
      <c r="AF12" s="529">
        <f t="shared" si="6"/>
        <v>51871</v>
      </c>
      <c r="AG12" s="254"/>
      <c r="AH12" s="530">
        <v>574709.31000000006</v>
      </c>
      <c r="AI12" s="531">
        <v>622535.67000000004</v>
      </c>
      <c r="AJ12" s="532">
        <f t="shared" si="7"/>
        <v>47826.359999999986</v>
      </c>
      <c r="AK12" s="254"/>
      <c r="AL12" s="527">
        <v>1276490.03</v>
      </c>
      <c r="AM12" s="528">
        <v>1416174.9</v>
      </c>
      <c r="AN12" s="529">
        <f t="shared" si="8"/>
        <v>139684.86999999988</v>
      </c>
      <c r="AO12" s="254"/>
      <c r="AP12" s="530">
        <v>514267.88</v>
      </c>
      <c r="AQ12" s="531">
        <v>580111.37</v>
      </c>
      <c r="AR12" s="532">
        <f t="shared" si="9"/>
        <v>65843.489999999991</v>
      </c>
      <c r="AS12" s="254"/>
      <c r="AT12" s="527">
        <v>46826.64</v>
      </c>
      <c r="AU12" s="528">
        <v>50393.51</v>
      </c>
      <c r="AV12" s="529">
        <f t="shared" si="10"/>
        <v>3566.8700000000026</v>
      </c>
      <c r="AW12" s="254"/>
      <c r="AX12" s="530">
        <v>1054115.07</v>
      </c>
      <c r="AY12" s="531">
        <v>1141471.6599999999</v>
      </c>
      <c r="AZ12" s="532">
        <f t="shared" si="11"/>
        <v>87356.589999999851</v>
      </c>
      <c r="BA12" s="254"/>
      <c r="BB12" s="527">
        <v>265694.76</v>
      </c>
      <c r="BC12" s="528">
        <v>287594.59999999998</v>
      </c>
      <c r="BD12" s="529">
        <f t="shared" si="12"/>
        <v>21899.839999999967</v>
      </c>
      <c r="BE12" s="254"/>
      <c r="BF12" s="530">
        <v>30736.43</v>
      </c>
      <c r="BG12" s="531">
        <v>33048.769999999997</v>
      </c>
      <c r="BH12" s="532">
        <f t="shared" si="13"/>
        <v>2312.3399999999965</v>
      </c>
      <c r="BI12" s="254"/>
      <c r="BJ12" s="527">
        <v>213917.28</v>
      </c>
      <c r="BK12" s="528">
        <v>231810.16</v>
      </c>
      <c r="BL12" s="529">
        <f t="shared" si="14"/>
        <v>17892.880000000005</v>
      </c>
      <c r="BM12" s="254"/>
      <c r="BN12" s="530">
        <v>522519.27</v>
      </c>
      <c r="BO12" s="531">
        <v>566282.44999999995</v>
      </c>
      <c r="BP12" s="532">
        <f t="shared" si="15"/>
        <v>43763.179999999935</v>
      </c>
      <c r="BQ12" s="254"/>
      <c r="BR12" s="527">
        <v>703637.28</v>
      </c>
      <c r="BS12" s="528">
        <v>760590.46</v>
      </c>
      <c r="BT12" s="529">
        <f t="shared" si="16"/>
        <v>56953.179999999935</v>
      </c>
      <c r="BU12" s="254"/>
      <c r="BV12" s="530">
        <v>128721.68</v>
      </c>
      <c r="BW12" s="531">
        <v>138054.79</v>
      </c>
      <c r="BX12" s="532">
        <f t="shared" si="17"/>
        <v>9333.1100000000151</v>
      </c>
      <c r="BY12" s="254"/>
      <c r="BZ12" s="527">
        <v>90559</v>
      </c>
      <c r="CA12" s="528">
        <v>97036.81</v>
      </c>
      <c r="CB12" s="529">
        <f t="shared" si="18"/>
        <v>6477.8099999999977</v>
      </c>
      <c r="CC12" s="254"/>
      <c r="CD12" s="530">
        <v>335625.29</v>
      </c>
      <c r="CE12" s="531">
        <v>360723.8</v>
      </c>
      <c r="CF12" s="532">
        <f t="shared" si="19"/>
        <v>25098.510000000009</v>
      </c>
      <c r="CG12" s="254"/>
      <c r="CH12" s="527">
        <v>362029.73</v>
      </c>
      <c r="CI12" s="528">
        <v>391663.07</v>
      </c>
      <c r="CJ12" s="529">
        <f t="shared" si="20"/>
        <v>29633.340000000026</v>
      </c>
      <c r="CK12" s="254"/>
      <c r="CL12" s="530">
        <v>311696.26</v>
      </c>
      <c r="CM12" s="531">
        <v>334941.07</v>
      </c>
      <c r="CN12" s="532">
        <f t="shared" si="21"/>
        <v>23244.809999999998</v>
      </c>
      <c r="CO12" s="254"/>
      <c r="CP12" s="527">
        <v>1006669.58</v>
      </c>
      <c r="CQ12" s="528">
        <v>1090140.5900000001</v>
      </c>
      <c r="CR12" s="529">
        <f t="shared" si="22"/>
        <v>83471.010000000126</v>
      </c>
      <c r="CS12" s="254"/>
      <c r="CT12" s="530">
        <v>508285.62</v>
      </c>
      <c r="CU12" s="531">
        <v>551515.98</v>
      </c>
      <c r="CV12" s="532">
        <f t="shared" si="23"/>
        <v>43230.359999999986</v>
      </c>
      <c r="CW12" s="254"/>
      <c r="CX12" s="527">
        <v>490751.42</v>
      </c>
      <c r="CY12" s="528">
        <v>530889.80000000005</v>
      </c>
      <c r="CZ12" s="529">
        <f t="shared" si="24"/>
        <v>40138.380000000063</v>
      </c>
      <c r="DA12" s="254"/>
      <c r="DB12" s="530">
        <v>252698.82</v>
      </c>
      <c r="DC12" s="531">
        <v>273531.3</v>
      </c>
      <c r="DD12" s="532">
        <f t="shared" si="25"/>
        <v>20832.479999999981</v>
      </c>
      <c r="DE12" s="254"/>
      <c r="DF12" s="527">
        <v>345733.24</v>
      </c>
      <c r="DG12" s="528">
        <v>374552.71</v>
      </c>
      <c r="DH12" s="529">
        <f t="shared" si="26"/>
        <v>28819.47000000003</v>
      </c>
      <c r="DI12" s="254"/>
      <c r="DJ12" s="530">
        <v>560269.38</v>
      </c>
      <c r="DK12" s="531">
        <v>601440.71</v>
      </c>
      <c r="DL12" s="532">
        <f t="shared" si="27"/>
        <v>41171.329999999958</v>
      </c>
      <c r="DM12" s="254"/>
      <c r="DN12" s="527">
        <v>721377.77</v>
      </c>
      <c r="DO12" s="528">
        <v>781685.42</v>
      </c>
      <c r="DP12" s="529">
        <f t="shared" si="28"/>
        <v>60307.650000000023</v>
      </c>
      <c r="DQ12" s="254"/>
      <c r="DR12" s="530">
        <v>1176648.21</v>
      </c>
      <c r="DS12" s="531">
        <v>1275073.06</v>
      </c>
      <c r="DT12" s="532">
        <f t="shared" si="29"/>
        <v>98424.850000000093</v>
      </c>
      <c r="DU12" s="254"/>
      <c r="DV12" s="527">
        <v>652891.23</v>
      </c>
      <c r="DW12" s="528">
        <v>708321.84</v>
      </c>
      <c r="DX12" s="529">
        <f t="shared" si="30"/>
        <v>55430.609999999986</v>
      </c>
      <c r="DY12" s="254"/>
      <c r="DZ12" s="530">
        <v>1010588.99</v>
      </c>
      <c r="EA12" s="531">
        <v>1089437.43</v>
      </c>
      <c r="EB12" s="532">
        <f t="shared" si="31"/>
        <v>78848.439999999944</v>
      </c>
      <c r="EC12" s="254"/>
      <c r="ED12" s="527">
        <v>1312177.29</v>
      </c>
      <c r="EE12" s="528">
        <v>1421097.06</v>
      </c>
      <c r="EF12" s="529">
        <f t="shared" si="32"/>
        <v>108919.77000000002</v>
      </c>
      <c r="EG12" s="254"/>
      <c r="EH12" s="530">
        <v>369455.99</v>
      </c>
      <c r="EI12" s="531">
        <v>400804.22</v>
      </c>
      <c r="EJ12" s="532">
        <f t="shared" si="33"/>
        <v>31348.229999999981</v>
      </c>
      <c r="EK12" s="254"/>
      <c r="EL12" s="527">
        <v>476724.05</v>
      </c>
      <c r="EM12" s="528">
        <v>516592.1</v>
      </c>
      <c r="EN12" s="529">
        <f t="shared" si="34"/>
        <v>39868.049999999988</v>
      </c>
      <c r="EO12" s="254"/>
      <c r="EP12" s="530">
        <v>77150.5</v>
      </c>
      <c r="EQ12" s="531">
        <v>83676.67</v>
      </c>
      <c r="ER12" s="532">
        <f t="shared" si="35"/>
        <v>6526.1699999999983</v>
      </c>
      <c r="ES12" s="254"/>
      <c r="ET12" s="527">
        <v>815443.61</v>
      </c>
      <c r="EU12" s="528">
        <v>883410</v>
      </c>
      <c r="EV12" s="529">
        <f t="shared" si="36"/>
        <v>67966.390000000014</v>
      </c>
      <c r="EW12" s="254"/>
      <c r="EX12" s="530">
        <v>849893.17</v>
      </c>
      <c r="EY12" s="531">
        <v>920677.76</v>
      </c>
      <c r="EZ12" s="532">
        <f t="shared" si="37"/>
        <v>70784.589999999967</v>
      </c>
      <c r="FA12" s="254"/>
      <c r="FB12" s="527">
        <v>1033074.02</v>
      </c>
      <c r="FC12" s="528">
        <v>1118735.98</v>
      </c>
      <c r="FD12" s="529">
        <f t="shared" si="38"/>
        <v>85661.959999999963</v>
      </c>
      <c r="FE12" s="254"/>
      <c r="FF12" s="530">
        <v>283022.68</v>
      </c>
      <c r="FG12" s="531">
        <v>306580.07</v>
      </c>
      <c r="FH12" s="532">
        <f t="shared" si="39"/>
        <v>23557.390000000014</v>
      </c>
      <c r="FI12" s="254"/>
      <c r="FJ12" s="527">
        <v>134703.94</v>
      </c>
      <c r="FK12" s="528">
        <v>144617.66</v>
      </c>
      <c r="FL12" s="529">
        <f t="shared" si="40"/>
        <v>9913.7200000000012</v>
      </c>
      <c r="FM12" s="254"/>
      <c r="FN12" s="530">
        <v>331705.88</v>
      </c>
      <c r="FO12" s="531">
        <v>359786.23999999999</v>
      </c>
      <c r="FP12" s="532">
        <f t="shared" si="41"/>
        <v>28080.359999999986</v>
      </c>
      <c r="FQ12" s="254"/>
      <c r="FR12" s="527">
        <v>433610.54</v>
      </c>
      <c r="FS12" s="528">
        <v>469480.03</v>
      </c>
      <c r="FT12" s="529">
        <f t="shared" si="42"/>
        <v>35869.490000000049</v>
      </c>
      <c r="FU12" s="254"/>
      <c r="FV12" s="530">
        <v>360379.46</v>
      </c>
      <c r="FW12" s="531">
        <v>404554.43</v>
      </c>
      <c r="FX12" s="532">
        <f t="shared" si="43"/>
        <v>44174.969999999972</v>
      </c>
      <c r="FY12" s="254"/>
      <c r="FZ12" s="527">
        <v>172660.33</v>
      </c>
      <c r="GA12" s="528">
        <v>187041.97</v>
      </c>
      <c r="GB12" s="529">
        <f t="shared" si="44"/>
        <v>14381.640000000014</v>
      </c>
      <c r="GC12" s="254"/>
      <c r="GD12" s="530">
        <v>985628.53</v>
      </c>
      <c r="GE12" s="531">
        <v>1068108.08</v>
      </c>
      <c r="GF12" s="532">
        <f t="shared" si="45"/>
        <v>82479.550000000047</v>
      </c>
      <c r="GG12" s="254"/>
      <c r="GH12" s="527">
        <v>302826.01</v>
      </c>
      <c r="GI12" s="528">
        <v>330018.90999999997</v>
      </c>
      <c r="GJ12" s="529">
        <f t="shared" si="46"/>
        <v>27192.899999999965</v>
      </c>
      <c r="GK12" s="254"/>
      <c r="GL12" s="530">
        <v>37131.25</v>
      </c>
      <c r="GM12" s="531">
        <v>40080.42</v>
      </c>
      <c r="GN12" s="532">
        <f t="shared" si="47"/>
        <v>2949.1699999999983</v>
      </c>
      <c r="GO12" s="254"/>
      <c r="GP12" s="527">
        <f t="shared" si="48"/>
        <v>24472384.949999999</v>
      </c>
      <c r="GQ12" s="528">
        <f t="shared" si="48"/>
        <v>26603555.710000005</v>
      </c>
      <c r="GR12" s="529">
        <f t="shared" si="49"/>
        <v>2131170.7600000054</v>
      </c>
      <c r="GS12" s="533"/>
    </row>
    <row r="13" spans="1:201" x14ac:dyDescent="0.2">
      <c r="A13" s="224" t="s">
        <v>616</v>
      </c>
      <c r="B13" s="526" t="s">
        <v>617</v>
      </c>
      <c r="C13" s="526"/>
      <c r="D13" s="526"/>
      <c r="E13" s="526"/>
      <c r="F13" s="527">
        <v>0</v>
      </c>
      <c r="G13" s="528">
        <v>0</v>
      </c>
      <c r="H13" s="529">
        <f t="shared" si="0"/>
        <v>0</v>
      </c>
      <c r="I13" s="254"/>
      <c r="J13" s="530">
        <v>0</v>
      </c>
      <c r="K13" s="531">
        <v>0</v>
      </c>
      <c r="L13" s="532">
        <f t="shared" si="1"/>
        <v>0</v>
      </c>
      <c r="M13" s="254"/>
      <c r="N13" s="527">
        <v>0</v>
      </c>
      <c r="O13" s="528">
        <v>0</v>
      </c>
      <c r="P13" s="529">
        <f t="shared" si="2"/>
        <v>0</v>
      </c>
      <c r="Q13" s="254"/>
      <c r="R13" s="530">
        <v>0</v>
      </c>
      <c r="S13" s="531">
        <v>0</v>
      </c>
      <c r="T13" s="532">
        <f t="shared" si="3"/>
        <v>0</v>
      </c>
      <c r="U13" s="254"/>
      <c r="V13" s="527">
        <v>0</v>
      </c>
      <c r="W13" s="528">
        <v>0</v>
      </c>
      <c r="X13" s="529">
        <f t="shared" si="4"/>
        <v>0</v>
      </c>
      <c r="Y13" s="254"/>
      <c r="Z13" s="530">
        <v>0</v>
      </c>
      <c r="AA13" s="531">
        <v>0</v>
      </c>
      <c r="AB13" s="532">
        <f t="shared" si="5"/>
        <v>0</v>
      </c>
      <c r="AC13" s="254"/>
      <c r="AD13" s="527">
        <v>0</v>
      </c>
      <c r="AE13" s="528">
        <v>0</v>
      </c>
      <c r="AF13" s="529">
        <f t="shared" si="6"/>
        <v>0</v>
      </c>
      <c r="AG13" s="254"/>
      <c r="AH13" s="530">
        <v>0</v>
      </c>
      <c r="AI13" s="531">
        <v>0</v>
      </c>
      <c r="AJ13" s="532">
        <f t="shared" si="7"/>
        <v>0</v>
      </c>
      <c r="AK13" s="254"/>
      <c r="AL13" s="527">
        <v>0</v>
      </c>
      <c r="AM13" s="528">
        <v>0</v>
      </c>
      <c r="AN13" s="529">
        <f t="shared" si="8"/>
        <v>0</v>
      </c>
      <c r="AO13" s="254"/>
      <c r="AP13" s="530">
        <v>0</v>
      </c>
      <c r="AQ13" s="531">
        <v>0</v>
      </c>
      <c r="AR13" s="532">
        <f t="shared" si="9"/>
        <v>0</v>
      </c>
      <c r="AS13" s="254"/>
      <c r="AT13" s="527">
        <v>0</v>
      </c>
      <c r="AU13" s="528">
        <v>0</v>
      </c>
      <c r="AV13" s="529">
        <f t="shared" si="10"/>
        <v>0</v>
      </c>
      <c r="AW13" s="254"/>
      <c r="AX13" s="530">
        <v>0</v>
      </c>
      <c r="AY13" s="531">
        <v>0</v>
      </c>
      <c r="AZ13" s="532">
        <f t="shared" si="11"/>
        <v>0</v>
      </c>
      <c r="BA13" s="254"/>
      <c r="BB13" s="527">
        <v>0</v>
      </c>
      <c r="BC13" s="528">
        <v>0</v>
      </c>
      <c r="BD13" s="529">
        <f t="shared" si="12"/>
        <v>0</v>
      </c>
      <c r="BE13" s="254"/>
      <c r="BF13" s="530">
        <v>0</v>
      </c>
      <c r="BG13" s="531">
        <v>0</v>
      </c>
      <c r="BH13" s="532">
        <f t="shared" si="13"/>
        <v>0</v>
      </c>
      <c r="BI13" s="254"/>
      <c r="BJ13" s="527">
        <v>0</v>
      </c>
      <c r="BK13" s="528">
        <v>0</v>
      </c>
      <c r="BL13" s="529">
        <f t="shared" si="14"/>
        <v>0</v>
      </c>
      <c r="BM13" s="254"/>
      <c r="BN13" s="530">
        <v>0</v>
      </c>
      <c r="BO13" s="531">
        <v>0</v>
      </c>
      <c r="BP13" s="532">
        <f t="shared" si="15"/>
        <v>0</v>
      </c>
      <c r="BQ13" s="254"/>
      <c r="BR13" s="527">
        <v>0</v>
      </c>
      <c r="BS13" s="528">
        <v>0</v>
      </c>
      <c r="BT13" s="529">
        <f t="shared" si="16"/>
        <v>0</v>
      </c>
      <c r="BU13" s="254"/>
      <c r="BV13" s="530">
        <v>0</v>
      </c>
      <c r="BW13" s="531">
        <v>0</v>
      </c>
      <c r="BX13" s="532">
        <f t="shared" si="17"/>
        <v>0</v>
      </c>
      <c r="BY13" s="254"/>
      <c r="BZ13" s="527">
        <v>0</v>
      </c>
      <c r="CA13" s="528">
        <v>0</v>
      </c>
      <c r="CB13" s="529">
        <f t="shared" si="18"/>
        <v>0</v>
      </c>
      <c r="CC13" s="254"/>
      <c r="CD13" s="530">
        <v>0</v>
      </c>
      <c r="CE13" s="531">
        <v>0</v>
      </c>
      <c r="CF13" s="532">
        <f t="shared" si="19"/>
        <v>0</v>
      </c>
      <c r="CG13" s="254"/>
      <c r="CH13" s="527">
        <v>0</v>
      </c>
      <c r="CI13" s="528">
        <v>0</v>
      </c>
      <c r="CJ13" s="529">
        <f t="shared" si="20"/>
        <v>0</v>
      </c>
      <c r="CK13" s="254"/>
      <c r="CL13" s="530">
        <v>0</v>
      </c>
      <c r="CM13" s="531">
        <v>0</v>
      </c>
      <c r="CN13" s="532">
        <f t="shared" si="21"/>
        <v>0</v>
      </c>
      <c r="CO13" s="254"/>
      <c r="CP13" s="527">
        <v>0</v>
      </c>
      <c r="CQ13" s="528">
        <v>0</v>
      </c>
      <c r="CR13" s="529">
        <f t="shared" si="22"/>
        <v>0</v>
      </c>
      <c r="CS13" s="254"/>
      <c r="CT13" s="530">
        <v>0</v>
      </c>
      <c r="CU13" s="531">
        <v>0</v>
      </c>
      <c r="CV13" s="532">
        <f t="shared" si="23"/>
        <v>0</v>
      </c>
      <c r="CW13" s="254"/>
      <c r="CX13" s="527">
        <v>0</v>
      </c>
      <c r="CY13" s="528">
        <v>0</v>
      </c>
      <c r="CZ13" s="529">
        <f t="shared" si="24"/>
        <v>0</v>
      </c>
      <c r="DA13" s="254"/>
      <c r="DB13" s="530">
        <v>0</v>
      </c>
      <c r="DC13" s="531">
        <v>0</v>
      </c>
      <c r="DD13" s="532">
        <f t="shared" si="25"/>
        <v>0</v>
      </c>
      <c r="DE13" s="254"/>
      <c r="DF13" s="527">
        <v>0</v>
      </c>
      <c r="DG13" s="528">
        <v>0</v>
      </c>
      <c r="DH13" s="529">
        <f t="shared" si="26"/>
        <v>0</v>
      </c>
      <c r="DI13" s="254"/>
      <c r="DJ13" s="530">
        <v>0</v>
      </c>
      <c r="DK13" s="531">
        <v>0</v>
      </c>
      <c r="DL13" s="532">
        <f t="shared" si="27"/>
        <v>0</v>
      </c>
      <c r="DM13" s="254"/>
      <c r="DN13" s="527">
        <v>0</v>
      </c>
      <c r="DO13" s="528">
        <v>0</v>
      </c>
      <c r="DP13" s="529">
        <f t="shared" si="28"/>
        <v>0</v>
      </c>
      <c r="DQ13" s="254"/>
      <c r="DR13" s="530">
        <v>0</v>
      </c>
      <c r="DS13" s="531">
        <v>0</v>
      </c>
      <c r="DT13" s="532">
        <f t="shared" si="29"/>
        <v>0</v>
      </c>
      <c r="DU13" s="254"/>
      <c r="DV13" s="527">
        <v>0</v>
      </c>
      <c r="DW13" s="528">
        <v>0</v>
      </c>
      <c r="DX13" s="529">
        <f t="shared" si="30"/>
        <v>0</v>
      </c>
      <c r="DY13" s="254"/>
      <c r="DZ13" s="530">
        <v>0</v>
      </c>
      <c r="EA13" s="531">
        <v>0</v>
      </c>
      <c r="EB13" s="532">
        <f t="shared" si="31"/>
        <v>0</v>
      </c>
      <c r="EC13" s="254"/>
      <c r="ED13" s="527">
        <v>0</v>
      </c>
      <c r="EE13" s="528">
        <v>0</v>
      </c>
      <c r="EF13" s="529">
        <f t="shared" si="32"/>
        <v>0</v>
      </c>
      <c r="EG13" s="254"/>
      <c r="EH13" s="530">
        <v>0</v>
      </c>
      <c r="EI13" s="531">
        <v>0</v>
      </c>
      <c r="EJ13" s="532">
        <f t="shared" si="33"/>
        <v>0</v>
      </c>
      <c r="EK13" s="254"/>
      <c r="EL13" s="527">
        <v>0</v>
      </c>
      <c r="EM13" s="528">
        <v>0</v>
      </c>
      <c r="EN13" s="529">
        <f t="shared" si="34"/>
        <v>0</v>
      </c>
      <c r="EO13" s="254"/>
      <c r="EP13" s="530">
        <v>0</v>
      </c>
      <c r="EQ13" s="531">
        <v>0</v>
      </c>
      <c r="ER13" s="532">
        <f t="shared" si="35"/>
        <v>0</v>
      </c>
      <c r="ES13" s="254"/>
      <c r="ET13" s="527">
        <v>0</v>
      </c>
      <c r="EU13" s="528">
        <v>0</v>
      </c>
      <c r="EV13" s="529">
        <f t="shared" si="36"/>
        <v>0</v>
      </c>
      <c r="EW13" s="254"/>
      <c r="EX13" s="530">
        <v>0</v>
      </c>
      <c r="EY13" s="531">
        <v>0</v>
      </c>
      <c r="EZ13" s="532">
        <f t="shared" si="37"/>
        <v>0</v>
      </c>
      <c r="FA13" s="254"/>
      <c r="FB13" s="527">
        <v>0</v>
      </c>
      <c r="FC13" s="528">
        <v>0</v>
      </c>
      <c r="FD13" s="529">
        <f t="shared" si="38"/>
        <v>0</v>
      </c>
      <c r="FE13" s="254"/>
      <c r="FF13" s="530">
        <v>0</v>
      </c>
      <c r="FG13" s="531">
        <v>0</v>
      </c>
      <c r="FH13" s="532">
        <f t="shared" si="39"/>
        <v>0</v>
      </c>
      <c r="FI13" s="254"/>
      <c r="FJ13" s="527">
        <v>0</v>
      </c>
      <c r="FK13" s="528">
        <v>0</v>
      </c>
      <c r="FL13" s="529">
        <f t="shared" si="40"/>
        <v>0</v>
      </c>
      <c r="FM13" s="254"/>
      <c r="FN13" s="530">
        <v>0</v>
      </c>
      <c r="FO13" s="531">
        <v>0</v>
      </c>
      <c r="FP13" s="532">
        <f t="shared" si="41"/>
        <v>0</v>
      </c>
      <c r="FQ13" s="254"/>
      <c r="FR13" s="527">
        <v>0</v>
      </c>
      <c r="FS13" s="528">
        <v>0</v>
      </c>
      <c r="FT13" s="529">
        <f t="shared" si="42"/>
        <v>0</v>
      </c>
      <c r="FU13" s="254"/>
      <c r="FV13" s="530">
        <v>0</v>
      </c>
      <c r="FW13" s="531">
        <v>0</v>
      </c>
      <c r="FX13" s="532">
        <f t="shared" si="43"/>
        <v>0</v>
      </c>
      <c r="FY13" s="254"/>
      <c r="FZ13" s="527">
        <v>0</v>
      </c>
      <c r="GA13" s="528">
        <v>0</v>
      </c>
      <c r="GB13" s="529">
        <f t="shared" si="44"/>
        <v>0</v>
      </c>
      <c r="GC13" s="254"/>
      <c r="GD13" s="530">
        <v>0</v>
      </c>
      <c r="GE13" s="531">
        <v>0</v>
      </c>
      <c r="GF13" s="532">
        <f t="shared" si="45"/>
        <v>0</v>
      </c>
      <c r="GG13" s="254"/>
      <c r="GH13" s="527">
        <v>0</v>
      </c>
      <c r="GI13" s="528">
        <v>0</v>
      </c>
      <c r="GJ13" s="529">
        <f t="shared" si="46"/>
        <v>0</v>
      </c>
      <c r="GK13" s="254"/>
      <c r="GL13" s="530">
        <v>0</v>
      </c>
      <c r="GM13" s="531">
        <v>0</v>
      </c>
      <c r="GN13" s="532">
        <f t="shared" si="47"/>
        <v>0</v>
      </c>
      <c r="GO13" s="254"/>
      <c r="GP13" s="527">
        <f t="shared" si="48"/>
        <v>0</v>
      </c>
      <c r="GQ13" s="528">
        <f t="shared" si="48"/>
        <v>0</v>
      </c>
      <c r="GR13" s="529">
        <f t="shared" si="49"/>
        <v>0</v>
      </c>
      <c r="GS13" s="533"/>
    </row>
    <row r="14" spans="1:201" x14ac:dyDescent="0.2">
      <c r="A14" s="224" t="s">
        <v>618</v>
      </c>
      <c r="B14" s="526" t="s">
        <v>619</v>
      </c>
      <c r="C14" s="526"/>
      <c r="D14" s="526"/>
      <c r="E14" s="526"/>
      <c r="F14" s="527">
        <v>106302.39</v>
      </c>
      <c r="G14" s="528">
        <v>105128.99</v>
      </c>
      <c r="H14" s="529">
        <f t="shared" si="0"/>
        <v>-1173.3999999999942</v>
      </c>
      <c r="I14" s="254"/>
      <c r="J14" s="530">
        <v>712491.69</v>
      </c>
      <c r="K14" s="531">
        <v>709214.64</v>
      </c>
      <c r="L14" s="532">
        <f t="shared" si="1"/>
        <v>-3277.0499999999302</v>
      </c>
      <c r="M14" s="254"/>
      <c r="N14" s="527">
        <v>1074925.44</v>
      </c>
      <c r="O14" s="528">
        <v>1072194.72</v>
      </c>
      <c r="P14" s="529">
        <f t="shared" si="2"/>
        <v>-2730.7199999999721</v>
      </c>
      <c r="Q14" s="254"/>
      <c r="R14" s="530">
        <v>126877.4</v>
      </c>
      <c r="S14" s="531">
        <v>125799.85</v>
      </c>
      <c r="T14" s="532">
        <f t="shared" si="3"/>
        <v>-1077.5499999999884</v>
      </c>
      <c r="U14" s="254"/>
      <c r="V14" s="527">
        <v>118950.5</v>
      </c>
      <c r="W14" s="528">
        <v>122454.02</v>
      </c>
      <c r="X14" s="529">
        <f t="shared" si="4"/>
        <v>3503.5200000000041</v>
      </c>
      <c r="Y14" s="254"/>
      <c r="Z14" s="530">
        <v>609909.47</v>
      </c>
      <c r="AA14" s="531">
        <v>621233.93000000005</v>
      </c>
      <c r="AB14" s="532">
        <f t="shared" si="5"/>
        <v>11324.460000000079</v>
      </c>
      <c r="AC14" s="254"/>
      <c r="AD14" s="527">
        <v>649920.57999999996</v>
      </c>
      <c r="AE14" s="528">
        <v>642070.57999999996</v>
      </c>
      <c r="AF14" s="529">
        <f t="shared" si="6"/>
        <v>-7850</v>
      </c>
      <c r="AG14" s="254"/>
      <c r="AH14" s="530">
        <v>589210.68000000005</v>
      </c>
      <c r="AI14" s="531">
        <v>582262.42000000004</v>
      </c>
      <c r="AJ14" s="532">
        <f t="shared" si="7"/>
        <v>-6948.2600000000093</v>
      </c>
      <c r="AK14" s="254"/>
      <c r="AL14" s="527">
        <v>1304810.6399999999</v>
      </c>
      <c r="AM14" s="528">
        <v>1320519.18</v>
      </c>
      <c r="AN14" s="529">
        <f t="shared" si="8"/>
        <v>15708.540000000037</v>
      </c>
      <c r="AO14" s="254"/>
      <c r="AP14" s="530">
        <v>518185.96</v>
      </c>
      <c r="AQ14" s="531">
        <v>533237.42000000004</v>
      </c>
      <c r="AR14" s="532">
        <f t="shared" si="9"/>
        <v>15051.460000000021</v>
      </c>
      <c r="AS14" s="254"/>
      <c r="AT14" s="527">
        <v>47266.69</v>
      </c>
      <c r="AU14" s="528">
        <v>46258.62</v>
      </c>
      <c r="AV14" s="529">
        <f t="shared" si="10"/>
        <v>-1008.0699999999997</v>
      </c>
      <c r="AW14" s="254"/>
      <c r="AX14" s="530">
        <v>1084212.68</v>
      </c>
      <c r="AY14" s="531">
        <v>1071169.67</v>
      </c>
      <c r="AZ14" s="532">
        <f t="shared" si="11"/>
        <v>-13043.010000000009</v>
      </c>
      <c r="BA14" s="254"/>
      <c r="BB14" s="527">
        <v>273077.78999999998</v>
      </c>
      <c r="BC14" s="528">
        <v>269780.34000000003</v>
      </c>
      <c r="BD14" s="529">
        <f t="shared" si="12"/>
        <v>-3297.4499999999534</v>
      </c>
      <c r="BE14" s="254"/>
      <c r="BF14" s="530">
        <v>31029.67</v>
      </c>
      <c r="BG14" s="531">
        <v>30393.98</v>
      </c>
      <c r="BH14" s="532">
        <f t="shared" si="13"/>
        <v>-635.68999999999869</v>
      </c>
      <c r="BI14" s="254"/>
      <c r="BJ14" s="527">
        <v>222480.32</v>
      </c>
      <c r="BK14" s="528">
        <v>219926.75</v>
      </c>
      <c r="BL14" s="529">
        <f t="shared" si="14"/>
        <v>-2553.570000000007</v>
      </c>
      <c r="BM14" s="254"/>
      <c r="BN14" s="530">
        <v>537857.01</v>
      </c>
      <c r="BO14" s="531">
        <v>531712.47</v>
      </c>
      <c r="BP14" s="532">
        <f t="shared" si="15"/>
        <v>-6144.5400000000373</v>
      </c>
      <c r="BQ14" s="254"/>
      <c r="BR14" s="527">
        <v>709022.48</v>
      </c>
      <c r="BS14" s="528">
        <v>699196.25</v>
      </c>
      <c r="BT14" s="529">
        <f t="shared" si="16"/>
        <v>-9826.2299999999814</v>
      </c>
      <c r="BU14" s="254"/>
      <c r="BV14" s="530">
        <v>129612.66</v>
      </c>
      <c r="BW14" s="531">
        <v>126978.52</v>
      </c>
      <c r="BX14" s="532">
        <f t="shared" si="17"/>
        <v>-2634.1399999999994</v>
      </c>
      <c r="BY14" s="254"/>
      <c r="BZ14" s="527">
        <v>91177.56</v>
      </c>
      <c r="CA14" s="528">
        <v>89233.18</v>
      </c>
      <c r="CB14" s="529">
        <f t="shared" si="18"/>
        <v>-1944.3800000000047</v>
      </c>
      <c r="CC14" s="254"/>
      <c r="CD14" s="530">
        <v>338245.06</v>
      </c>
      <c r="CE14" s="531">
        <v>331528.25</v>
      </c>
      <c r="CF14" s="532">
        <f t="shared" si="19"/>
        <v>-6716.8099999999977</v>
      </c>
      <c r="CG14" s="254"/>
      <c r="CH14" s="527">
        <v>376477.52</v>
      </c>
      <c r="CI14" s="528">
        <v>371613.05</v>
      </c>
      <c r="CJ14" s="529">
        <f t="shared" si="20"/>
        <v>-4864.4700000000303</v>
      </c>
      <c r="CK14" s="254"/>
      <c r="CL14" s="530">
        <v>314113.02</v>
      </c>
      <c r="CM14" s="531">
        <v>307913.73</v>
      </c>
      <c r="CN14" s="532">
        <f t="shared" si="21"/>
        <v>-6199.2900000000373</v>
      </c>
      <c r="CO14" s="254"/>
      <c r="CP14" s="527">
        <v>1036139.64</v>
      </c>
      <c r="CQ14" s="528">
        <v>1023609.98</v>
      </c>
      <c r="CR14" s="529">
        <f t="shared" si="22"/>
        <v>-12529.660000000033</v>
      </c>
      <c r="CS14" s="254"/>
      <c r="CT14" s="530">
        <v>511051.14</v>
      </c>
      <c r="CU14" s="531">
        <v>505729.95</v>
      </c>
      <c r="CV14" s="532">
        <f t="shared" si="23"/>
        <v>-5321.1900000000023</v>
      </c>
      <c r="CW14" s="254"/>
      <c r="CX14" s="527">
        <v>493861.49</v>
      </c>
      <c r="CY14" s="528">
        <v>487298.67</v>
      </c>
      <c r="CZ14" s="529">
        <f t="shared" si="24"/>
        <v>-6562.820000000007</v>
      </c>
      <c r="DA14" s="254"/>
      <c r="DB14" s="530">
        <v>262659.03000000003</v>
      </c>
      <c r="DC14" s="531">
        <v>259313.42</v>
      </c>
      <c r="DD14" s="532">
        <f t="shared" si="25"/>
        <v>-3345.6100000000151</v>
      </c>
      <c r="DE14" s="254"/>
      <c r="DF14" s="527">
        <v>354696.82</v>
      </c>
      <c r="DG14" s="528">
        <v>350544.59</v>
      </c>
      <c r="DH14" s="529">
        <f t="shared" si="26"/>
        <v>-4152.2299999999814</v>
      </c>
      <c r="DI14" s="254"/>
      <c r="DJ14" s="530">
        <v>564516.13</v>
      </c>
      <c r="DK14" s="531">
        <v>553001.27</v>
      </c>
      <c r="DL14" s="532">
        <f t="shared" si="27"/>
        <v>-11514.859999999986</v>
      </c>
      <c r="DM14" s="254"/>
      <c r="DN14" s="527">
        <v>739913.67</v>
      </c>
      <c r="DO14" s="528">
        <v>731410.24</v>
      </c>
      <c r="DP14" s="529">
        <f t="shared" si="28"/>
        <v>-8503.4300000000512</v>
      </c>
      <c r="DQ14" s="254"/>
      <c r="DR14" s="530">
        <v>1210096.3400000001</v>
      </c>
      <c r="DS14" s="531">
        <v>1196374.6399999999</v>
      </c>
      <c r="DT14" s="532">
        <f t="shared" si="29"/>
        <v>-13721.700000000186</v>
      </c>
      <c r="DU14" s="254"/>
      <c r="DV14" s="527">
        <v>656340.18000000005</v>
      </c>
      <c r="DW14" s="528">
        <v>649517.68999999994</v>
      </c>
      <c r="DX14" s="529">
        <f t="shared" si="30"/>
        <v>-6822.4900000001071</v>
      </c>
      <c r="DY14" s="254"/>
      <c r="DZ14" s="530">
        <v>1018324.01</v>
      </c>
      <c r="EA14" s="531">
        <v>1001485.94</v>
      </c>
      <c r="EB14" s="532">
        <f t="shared" si="31"/>
        <v>-16838.070000000065</v>
      </c>
      <c r="EC14" s="254"/>
      <c r="ED14" s="527">
        <v>1349194.33</v>
      </c>
      <c r="EE14" s="528">
        <v>1333123.1200000001</v>
      </c>
      <c r="EF14" s="529">
        <f t="shared" si="32"/>
        <v>-16071.209999999963</v>
      </c>
      <c r="EG14" s="254"/>
      <c r="EH14" s="530">
        <v>383545.18</v>
      </c>
      <c r="EI14" s="531">
        <v>379504.94</v>
      </c>
      <c r="EJ14" s="532">
        <f t="shared" si="33"/>
        <v>-4040.2399999999907</v>
      </c>
      <c r="EK14" s="254"/>
      <c r="EL14" s="527">
        <v>489913.51</v>
      </c>
      <c r="EM14" s="528">
        <v>484225.6</v>
      </c>
      <c r="EN14" s="529">
        <f t="shared" si="34"/>
        <v>-5687.9100000000326</v>
      </c>
      <c r="EO14" s="254"/>
      <c r="EP14" s="530">
        <v>77473.16</v>
      </c>
      <c r="EQ14" s="531">
        <v>76664.800000000003</v>
      </c>
      <c r="ER14" s="532">
        <f t="shared" si="35"/>
        <v>-808.36000000000058</v>
      </c>
      <c r="ES14" s="254"/>
      <c r="ET14" s="527">
        <v>837914.75</v>
      </c>
      <c r="EU14" s="528">
        <v>828060.69</v>
      </c>
      <c r="EV14" s="529">
        <f t="shared" si="36"/>
        <v>-9854.0600000000559</v>
      </c>
      <c r="EW14" s="254"/>
      <c r="EX14" s="530">
        <v>873812.04</v>
      </c>
      <c r="EY14" s="531">
        <v>863587.28</v>
      </c>
      <c r="EZ14" s="532">
        <f t="shared" si="37"/>
        <v>-10224.760000000009</v>
      </c>
      <c r="FA14" s="254"/>
      <c r="FB14" s="527">
        <v>1063056.67</v>
      </c>
      <c r="FC14" s="528">
        <v>1050163.96</v>
      </c>
      <c r="FD14" s="529">
        <f t="shared" si="38"/>
        <v>-12892.709999999963</v>
      </c>
      <c r="FE14" s="254"/>
      <c r="FF14" s="530">
        <v>290538.34999999998</v>
      </c>
      <c r="FG14" s="531">
        <v>287082.74</v>
      </c>
      <c r="FH14" s="532">
        <f t="shared" si="39"/>
        <v>-3455.609999999986</v>
      </c>
      <c r="FI14" s="254"/>
      <c r="FJ14" s="527">
        <v>135739.49</v>
      </c>
      <c r="FK14" s="528">
        <v>132914.5</v>
      </c>
      <c r="FL14" s="529">
        <f t="shared" si="40"/>
        <v>-2824.9899999999907</v>
      </c>
      <c r="FM14" s="254"/>
      <c r="FN14" s="530">
        <v>333470.92</v>
      </c>
      <c r="FO14" s="531">
        <v>330037.19</v>
      </c>
      <c r="FP14" s="532">
        <f t="shared" si="41"/>
        <v>-3433.7299999999814</v>
      </c>
      <c r="FQ14" s="254"/>
      <c r="FR14" s="527">
        <v>450421.65</v>
      </c>
      <c r="FS14" s="528">
        <v>445018.84</v>
      </c>
      <c r="FT14" s="529">
        <f t="shared" si="42"/>
        <v>-5402.8099999999977</v>
      </c>
      <c r="FU14" s="254"/>
      <c r="FV14" s="530">
        <v>372174.42</v>
      </c>
      <c r="FW14" s="531">
        <v>381188.76</v>
      </c>
      <c r="FX14" s="532">
        <f t="shared" si="43"/>
        <v>9014.3400000000256</v>
      </c>
      <c r="FY14" s="254"/>
      <c r="FZ14" s="527">
        <v>178052.1</v>
      </c>
      <c r="GA14" s="528">
        <v>175921.31</v>
      </c>
      <c r="GB14" s="529">
        <f t="shared" si="44"/>
        <v>-2130.7900000000081</v>
      </c>
      <c r="GC14" s="254"/>
      <c r="GD14" s="530">
        <v>991875.37</v>
      </c>
      <c r="GE14" s="531">
        <v>980763.16</v>
      </c>
      <c r="GF14" s="532">
        <f t="shared" si="45"/>
        <v>-11112.209999999963</v>
      </c>
      <c r="GG14" s="254"/>
      <c r="GH14" s="527">
        <v>305246.06</v>
      </c>
      <c r="GI14" s="528">
        <v>303398.27</v>
      </c>
      <c r="GJ14" s="529">
        <f t="shared" si="46"/>
        <v>-1847.789999999979</v>
      </c>
      <c r="GK14" s="254"/>
      <c r="GL14" s="530">
        <v>37351.42</v>
      </c>
      <c r="GM14" s="531">
        <v>36763.08</v>
      </c>
      <c r="GN14" s="532">
        <f t="shared" si="47"/>
        <v>-588.33999999999651</v>
      </c>
      <c r="GO14" s="254"/>
      <c r="GP14" s="527">
        <f t="shared" si="48"/>
        <v>24983535.080000009</v>
      </c>
      <c r="GQ14" s="528">
        <f t="shared" si="48"/>
        <v>24776525.190000005</v>
      </c>
      <c r="GR14" s="529">
        <f t="shared" si="49"/>
        <v>-207009.89000000432</v>
      </c>
      <c r="GS14" s="533"/>
    </row>
    <row r="15" spans="1:201" x14ac:dyDescent="0.2">
      <c r="A15" s="224" t="s">
        <v>620</v>
      </c>
      <c r="B15" s="526" t="s">
        <v>621</v>
      </c>
      <c r="C15" s="526"/>
      <c r="D15" s="526"/>
      <c r="E15" s="526"/>
      <c r="F15" s="527"/>
      <c r="G15" s="528"/>
      <c r="H15" s="529"/>
      <c r="I15" s="254"/>
      <c r="J15" s="530"/>
      <c r="K15" s="531"/>
      <c r="L15" s="532"/>
      <c r="M15" s="254"/>
      <c r="N15" s="527"/>
      <c r="O15" s="528"/>
      <c r="P15" s="529"/>
      <c r="Q15" s="254"/>
      <c r="R15" s="530"/>
      <c r="S15" s="531"/>
      <c r="T15" s="532"/>
      <c r="U15" s="254"/>
      <c r="V15" s="527"/>
      <c r="W15" s="528"/>
      <c r="X15" s="529"/>
      <c r="Y15" s="254"/>
      <c r="Z15" s="530"/>
      <c r="AA15" s="531"/>
      <c r="AB15" s="532"/>
      <c r="AC15" s="254"/>
      <c r="AD15" s="527"/>
      <c r="AE15" s="528"/>
      <c r="AF15" s="529"/>
      <c r="AG15" s="254"/>
      <c r="AH15" s="530"/>
      <c r="AI15" s="531"/>
      <c r="AJ15" s="532"/>
      <c r="AK15" s="254"/>
      <c r="AL15" s="527"/>
      <c r="AM15" s="528"/>
      <c r="AN15" s="529"/>
      <c r="AO15" s="254"/>
      <c r="AP15" s="530"/>
      <c r="AQ15" s="531"/>
      <c r="AR15" s="532"/>
      <c r="AS15" s="254"/>
      <c r="AT15" s="527"/>
      <c r="AU15" s="528"/>
      <c r="AV15" s="529"/>
      <c r="AW15" s="254"/>
      <c r="AX15" s="530"/>
      <c r="AY15" s="531"/>
      <c r="AZ15" s="532"/>
      <c r="BA15" s="254"/>
      <c r="BB15" s="527"/>
      <c r="BC15" s="528"/>
      <c r="BD15" s="529"/>
      <c r="BE15" s="254"/>
      <c r="BF15" s="530"/>
      <c r="BG15" s="531"/>
      <c r="BH15" s="532"/>
      <c r="BI15" s="254"/>
      <c r="BJ15" s="527"/>
      <c r="BK15" s="528"/>
      <c r="BL15" s="529"/>
      <c r="BM15" s="254"/>
      <c r="BN15" s="530"/>
      <c r="BO15" s="531"/>
      <c r="BP15" s="532"/>
      <c r="BQ15" s="254"/>
      <c r="BR15" s="527"/>
      <c r="BS15" s="528"/>
      <c r="BT15" s="529"/>
      <c r="BU15" s="254"/>
      <c r="BV15" s="530"/>
      <c r="BW15" s="531"/>
      <c r="BX15" s="532"/>
      <c r="BY15" s="254"/>
      <c r="BZ15" s="527"/>
      <c r="CA15" s="528"/>
      <c r="CB15" s="529"/>
      <c r="CC15" s="254"/>
      <c r="CD15" s="530"/>
      <c r="CE15" s="531"/>
      <c r="CF15" s="532"/>
      <c r="CG15" s="254"/>
      <c r="CH15" s="527"/>
      <c r="CI15" s="528"/>
      <c r="CJ15" s="529"/>
      <c r="CK15" s="254"/>
      <c r="CL15" s="530"/>
      <c r="CM15" s="531"/>
      <c r="CN15" s="532"/>
      <c r="CO15" s="254"/>
      <c r="CP15" s="527"/>
      <c r="CQ15" s="528"/>
      <c r="CR15" s="529"/>
      <c r="CS15" s="254"/>
      <c r="CT15" s="530"/>
      <c r="CU15" s="531"/>
      <c r="CV15" s="532"/>
      <c r="CW15" s="254"/>
      <c r="CX15" s="527"/>
      <c r="CY15" s="528"/>
      <c r="CZ15" s="529"/>
      <c r="DA15" s="254"/>
      <c r="DB15" s="530"/>
      <c r="DC15" s="531"/>
      <c r="DD15" s="532"/>
      <c r="DE15" s="254"/>
      <c r="DF15" s="527"/>
      <c r="DG15" s="528"/>
      <c r="DH15" s="529"/>
      <c r="DI15" s="254"/>
      <c r="DJ15" s="530"/>
      <c r="DK15" s="531"/>
      <c r="DL15" s="532"/>
      <c r="DM15" s="254"/>
      <c r="DN15" s="527"/>
      <c r="DO15" s="528"/>
      <c r="DP15" s="529"/>
      <c r="DQ15" s="254"/>
      <c r="DR15" s="530"/>
      <c r="DS15" s="531"/>
      <c r="DT15" s="532"/>
      <c r="DU15" s="254"/>
      <c r="DV15" s="527"/>
      <c r="DW15" s="528"/>
      <c r="DX15" s="529"/>
      <c r="DY15" s="254"/>
      <c r="DZ15" s="530"/>
      <c r="EA15" s="531"/>
      <c r="EB15" s="532"/>
      <c r="EC15" s="254"/>
      <c r="ED15" s="527"/>
      <c r="EE15" s="528"/>
      <c r="EF15" s="529"/>
      <c r="EG15" s="254"/>
      <c r="EH15" s="530"/>
      <c r="EI15" s="531"/>
      <c r="EJ15" s="532"/>
      <c r="EK15" s="254"/>
      <c r="EL15" s="527"/>
      <c r="EM15" s="528"/>
      <c r="EN15" s="529"/>
      <c r="EO15" s="254"/>
      <c r="EP15" s="530"/>
      <c r="EQ15" s="531"/>
      <c r="ER15" s="532"/>
      <c r="ES15" s="254"/>
      <c r="ET15" s="527"/>
      <c r="EU15" s="528"/>
      <c r="EV15" s="529"/>
      <c r="EW15" s="254"/>
      <c r="EX15" s="530"/>
      <c r="EY15" s="531"/>
      <c r="EZ15" s="532"/>
      <c r="FA15" s="254"/>
      <c r="FB15" s="527"/>
      <c r="FC15" s="528"/>
      <c r="FD15" s="529"/>
      <c r="FE15" s="254"/>
      <c r="FF15" s="530"/>
      <c r="FG15" s="531"/>
      <c r="FH15" s="532"/>
      <c r="FI15" s="254"/>
      <c r="FJ15" s="527"/>
      <c r="FK15" s="528"/>
      <c r="FL15" s="529"/>
      <c r="FM15" s="254"/>
      <c r="FN15" s="530"/>
      <c r="FO15" s="531"/>
      <c r="FP15" s="532"/>
      <c r="FQ15" s="254"/>
      <c r="FR15" s="527"/>
      <c r="FS15" s="528"/>
      <c r="FT15" s="529"/>
      <c r="FU15" s="254"/>
      <c r="FV15" s="530"/>
      <c r="FW15" s="531"/>
      <c r="FX15" s="532"/>
      <c r="FY15" s="254"/>
      <c r="FZ15" s="527"/>
      <c r="GA15" s="528"/>
      <c r="GB15" s="529"/>
      <c r="GC15" s="254"/>
      <c r="GD15" s="530"/>
      <c r="GE15" s="531"/>
      <c r="GF15" s="532"/>
      <c r="GG15" s="254"/>
      <c r="GH15" s="527"/>
      <c r="GI15" s="528"/>
      <c r="GJ15" s="529"/>
      <c r="GK15" s="254"/>
      <c r="GL15" s="530"/>
      <c r="GM15" s="531"/>
      <c r="GN15" s="532"/>
      <c r="GO15" s="254"/>
      <c r="GP15" s="527">
        <f t="shared" si="48"/>
        <v>0</v>
      </c>
      <c r="GQ15" s="528">
        <f t="shared" si="48"/>
        <v>0</v>
      </c>
      <c r="GR15" s="529"/>
      <c r="GS15" s="533"/>
    </row>
    <row r="16" spans="1:201" x14ac:dyDescent="0.2">
      <c r="B16" s="535" t="s">
        <v>622</v>
      </c>
      <c r="C16" s="535"/>
      <c r="D16" s="535"/>
      <c r="E16" s="535"/>
      <c r="F16" s="527">
        <v>0</v>
      </c>
      <c r="G16" s="528">
        <v>0</v>
      </c>
      <c r="H16" s="529">
        <f t="shared" si="0"/>
        <v>0</v>
      </c>
      <c r="I16" s="254"/>
      <c r="J16" s="530">
        <v>247520</v>
      </c>
      <c r="K16" s="531">
        <v>257075</v>
      </c>
      <c r="L16" s="532">
        <f t="shared" ref="L16:L24" si="50">K16-J16</f>
        <v>9555</v>
      </c>
      <c r="M16" s="254"/>
      <c r="N16" s="527">
        <v>353600</v>
      </c>
      <c r="O16" s="528">
        <v>367250</v>
      </c>
      <c r="P16" s="529">
        <f t="shared" ref="P16:P24" si="51">O16-N16</f>
        <v>13650</v>
      </c>
      <c r="Q16" s="254"/>
      <c r="R16" s="530">
        <v>19312</v>
      </c>
      <c r="S16" s="531">
        <v>20057.5</v>
      </c>
      <c r="T16" s="532">
        <f t="shared" ref="T16:T24" si="52">S16-R16</f>
        <v>745.5</v>
      </c>
      <c r="U16" s="254"/>
      <c r="V16" s="527">
        <v>2448</v>
      </c>
      <c r="W16" s="528">
        <v>2542.5</v>
      </c>
      <c r="X16" s="529">
        <f t="shared" ref="X16:X24" si="53">W16-V16</f>
        <v>94.5</v>
      </c>
      <c r="Y16" s="254"/>
      <c r="Z16" s="530">
        <v>0</v>
      </c>
      <c r="AA16" s="531">
        <v>0</v>
      </c>
      <c r="AB16" s="532">
        <f t="shared" ref="AB16:AB24" si="54">AA16-Z16</f>
        <v>0</v>
      </c>
      <c r="AC16" s="254"/>
      <c r="AD16" s="527">
        <v>105808</v>
      </c>
      <c r="AE16" s="528">
        <v>109892.5</v>
      </c>
      <c r="AF16" s="529">
        <f t="shared" ref="AF16:AF24" si="55">AE16-AD16</f>
        <v>4084.5</v>
      </c>
      <c r="AG16" s="254"/>
      <c r="AH16" s="530">
        <v>272</v>
      </c>
      <c r="AI16" s="531">
        <v>282.5</v>
      </c>
      <c r="AJ16" s="532">
        <f t="shared" ref="AJ16:AJ24" si="56">AI16-AH16</f>
        <v>10.5</v>
      </c>
      <c r="AK16" s="254"/>
      <c r="AL16" s="527">
        <v>272</v>
      </c>
      <c r="AM16" s="528">
        <v>282.5</v>
      </c>
      <c r="AN16" s="529">
        <f t="shared" ref="AN16:AN24" si="57">AM16-AL16</f>
        <v>10.5</v>
      </c>
      <c r="AO16" s="254"/>
      <c r="AP16" s="530">
        <v>0</v>
      </c>
      <c r="AQ16" s="531">
        <v>0</v>
      </c>
      <c r="AR16" s="532">
        <f t="shared" ref="AR16:AR24" si="58">AQ16-AP16</f>
        <v>0</v>
      </c>
      <c r="AS16" s="254"/>
      <c r="AT16" s="527">
        <v>26384</v>
      </c>
      <c r="AU16" s="528">
        <v>27402.5</v>
      </c>
      <c r="AV16" s="529">
        <f t="shared" ref="AV16:AV24" si="59">AU16-AT16</f>
        <v>1018.5</v>
      </c>
      <c r="AW16" s="254"/>
      <c r="AX16" s="530">
        <v>40528</v>
      </c>
      <c r="AY16" s="531">
        <v>42092.5</v>
      </c>
      <c r="AZ16" s="532">
        <f t="shared" ref="AZ16:AZ24" si="60">AY16-AX16</f>
        <v>1564.5</v>
      </c>
      <c r="BA16" s="254"/>
      <c r="BB16" s="527">
        <v>118320</v>
      </c>
      <c r="BC16" s="528">
        <v>122887.5</v>
      </c>
      <c r="BD16" s="529">
        <f t="shared" ref="BD16:BD24" si="61">BC16-BB16</f>
        <v>4567.5</v>
      </c>
      <c r="BE16" s="254"/>
      <c r="BF16" s="530">
        <v>16048</v>
      </c>
      <c r="BG16" s="531">
        <v>16667.5</v>
      </c>
      <c r="BH16" s="532">
        <f t="shared" ref="BH16:BH24" si="62">BG16-BF16</f>
        <v>619.5</v>
      </c>
      <c r="BI16" s="254"/>
      <c r="BJ16" s="527">
        <v>6800</v>
      </c>
      <c r="BK16" s="528">
        <v>7062.5</v>
      </c>
      <c r="BL16" s="529">
        <f t="shared" ref="BL16:BL24" si="63">BK16-BJ16</f>
        <v>262.5</v>
      </c>
      <c r="BM16" s="254"/>
      <c r="BN16" s="530">
        <v>15232</v>
      </c>
      <c r="BO16" s="531">
        <v>15820</v>
      </c>
      <c r="BP16" s="532">
        <f t="shared" ref="BP16:BP24" si="64">BO16-BN16</f>
        <v>588</v>
      </c>
      <c r="BQ16" s="254"/>
      <c r="BR16" s="527">
        <v>146880</v>
      </c>
      <c r="BS16" s="528">
        <v>152550</v>
      </c>
      <c r="BT16" s="529">
        <f t="shared" ref="BT16:BT24" si="65">BS16-BR16</f>
        <v>5670</v>
      </c>
      <c r="BU16" s="254"/>
      <c r="BV16" s="530">
        <v>50320</v>
      </c>
      <c r="BW16" s="531">
        <v>52262.5</v>
      </c>
      <c r="BX16" s="532">
        <f t="shared" ref="BX16:BX24" si="66">BW16-BV16</f>
        <v>1942.5</v>
      </c>
      <c r="BY16" s="254"/>
      <c r="BZ16" s="527">
        <v>33728</v>
      </c>
      <c r="CA16" s="528">
        <v>35030</v>
      </c>
      <c r="CB16" s="529">
        <f t="shared" ref="CB16:CB24" si="67">CA16-BZ16</f>
        <v>1302</v>
      </c>
      <c r="CC16" s="254"/>
      <c r="CD16" s="530">
        <v>41344</v>
      </c>
      <c r="CE16" s="531">
        <v>42940</v>
      </c>
      <c r="CF16" s="532">
        <f t="shared" ref="CF16:CF24" si="68">CE16-CD16</f>
        <v>1596</v>
      </c>
      <c r="CG16" s="254"/>
      <c r="CH16" s="527">
        <v>544</v>
      </c>
      <c r="CI16" s="528">
        <v>565</v>
      </c>
      <c r="CJ16" s="529">
        <f t="shared" ref="CJ16:CJ24" si="69">CI16-CH16</f>
        <v>21</v>
      </c>
      <c r="CK16" s="254"/>
      <c r="CL16" s="530">
        <v>14960</v>
      </c>
      <c r="CM16" s="531">
        <v>15537.5</v>
      </c>
      <c r="CN16" s="532">
        <f t="shared" ref="CN16:CN24" si="70">CM16-CL16</f>
        <v>577.5</v>
      </c>
      <c r="CO16" s="254"/>
      <c r="CP16" s="527">
        <v>12512</v>
      </c>
      <c r="CQ16" s="528">
        <v>12995</v>
      </c>
      <c r="CR16" s="529">
        <f t="shared" ref="CR16:CR24" si="71">CQ16-CP16</f>
        <v>483</v>
      </c>
      <c r="CS16" s="254"/>
      <c r="CT16" s="530">
        <v>181968</v>
      </c>
      <c r="CU16" s="531">
        <v>188992.5</v>
      </c>
      <c r="CV16" s="532">
        <f t="shared" ref="CV16:CV24" si="72">CU16-CT16</f>
        <v>7024.5</v>
      </c>
      <c r="CW16" s="254"/>
      <c r="CX16" s="527">
        <v>149600</v>
      </c>
      <c r="CY16" s="528">
        <v>155375</v>
      </c>
      <c r="CZ16" s="529">
        <f t="shared" ref="CZ16:CZ24" si="73">CY16-CX16</f>
        <v>5775</v>
      </c>
      <c r="DA16" s="254"/>
      <c r="DB16" s="530">
        <v>0</v>
      </c>
      <c r="DC16" s="531">
        <v>0</v>
      </c>
      <c r="DD16" s="532">
        <f t="shared" ref="DD16:DD24" si="74">DC16-DB16</f>
        <v>0</v>
      </c>
      <c r="DE16" s="254"/>
      <c r="DF16" s="527">
        <v>544</v>
      </c>
      <c r="DG16" s="528">
        <v>565</v>
      </c>
      <c r="DH16" s="529">
        <f t="shared" ref="DH16:DH24" si="75">DG16-DF16</f>
        <v>21</v>
      </c>
      <c r="DI16" s="254"/>
      <c r="DJ16" s="530">
        <v>43248</v>
      </c>
      <c r="DK16" s="531">
        <v>44917.5</v>
      </c>
      <c r="DL16" s="532">
        <f t="shared" ref="DL16:DL24" si="76">DK16-DJ16</f>
        <v>1669.5</v>
      </c>
      <c r="DM16" s="254"/>
      <c r="DN16" s="527">
        <v>29376</v>
      </c>
      <c r="DO16" s="528">
        <v>30510</v>
      </c>
      <c r="DP16" s="529">
        <f t="shared" ref="DP16:DP24" si="77">DO16-DN16</f>
        <v>1134</v>
      </c>
      <c r="DQ16" s="254"/>
      <c r="DR16" s="530">
        <v>1904</v>
      </c>
      <c r="DS16" s="531">
        <v>1977.5</v>
      </c>
      <c r="DT16" s="532">
        <f t="shared" ref="DT16:DT24" si="78">DS16-DR16</f>
        <v>73.5</v>
      </c>
      <c r="DU16" s="254"/>
      <c r="DV16" s="527">
        <v>0</v>
      </c>
      <c r="DW16" s="528">
        <v>0</v>
      </c>
      <c r="DX16" s="529">
        <f t="shared" ref="DX16:DX24" si="79">DW16-DV16</f>
        <v>0</v>
      </c>
      <c r="DY16" s="254"/>
      <c r="DZ16" s="530">
        <v>272</v>
      </c>
      <c r="EA16" s="531">
        <v>282.5</v>
      </c>
      <c r="EB16" s="532">
        <f t="shared" ref="EB16:EB24" si="80">EA16-DZ16</f>
        <v>10.5</v>
      </c>
      <c r="EC16" s="254"/>
      <c r="ED16" s="527">
        <v>107712</v>
      </c>
      <c r="EE16" s="528">
        <v>111870</v>
      </c>
      <c r="EF16" s="529">
        <f t="shared" ref="EF16:EF24" si="81">EE16-ED16</f>
        <v>4158</v>
      </c>
      <c r="EG16" s="254"/>
      <c r="EH16" s="530">
        <v>272</v>
      </c>
      <c r="EI16" s="531">
        <v>282.5</v>
      </c>
      <c r="EJ16" s="532">
        <f t="shared" ref="EJ16:EJ24" si="82">EI16-EH16</f>
        <v>10.5</v>
      </c>
      <c r="EK16" s="254"/>
      <c r="EL16" s="527">
        <v>0</v>
      </c>
      <c r="EM16" s="528">
        <v>0</v>
      </c>
      <c r="EN16" s="529">
        <f t="shared" ref="EN16:EN24" si="83">EM16-EL16</f>
        <v>0</v>
      </c>
      <c r="EO16" s="254"/>
      <c r="EP16" s="530">
        <v>0</v>
      </c>
      <c r="EQ16" s="531">
        <v>0</v>
      </c>
      <c r="ER16" s="532">
        <f t="shared" ref="ER16:ER24" si="84">EQ16-EP16</f>
        <v>0</v>
      </c>
      <c r="ES16" s="254"/>
      <c r="ET16" s="527">
        <v>1360</v>
      </c>
      <c r="EU16" s="528">
        <v>1412.5</v>
      </c>
      <c r="EV16" s="529">
        <f t="shared" ref="EV16:EV24" si="85">EU16-ET16</f>
        <v>52.5</v>
      </c>
      <c r="EW16" s="254"/>
      <c r="EX16" s="530">
        <v>1904</v>
      </c>
      <c r="EY16" s="531">
        <v>1977.5</v>
      </c>
      <c r="EZ16" s="532">
        <f t="shared" ref="EZ16:EZ24" si="86">EY16-EX16</f>
        <v>73.5</v>
      </c>
      <c r="FA16" s="254"/>
      <c r="FB16" s="527">
        <v>76432</v>
      </c>
      <c r="FC16" s="528">
        <v>79382.5</v>
      </c>
      <c r="FD16" s="529">
        <f t="shared" ref="FD16:FD24" si="87">FC16-FB16</f>
        <v>2950.5</v>
      </c>
      <c r="FE16" s="254"/>
      <c r="FF16" s="530">
        <v>18224</v>
      </c>
      <c r="FG16" s="531">
        <v>18927.5</v>
      </c>
      <c r="FH16" s="532">
        <f t="shared" ref="FH16:FH24" si="88">FG16-FF16</f>
        <v>703.5</v>
      </c>
      <c r="FI16" s="254"/>
      <c r="FJ16" s="527">
        <v>18496</v>
      </c>
      <c r="FK16" s="528">
        <v>19210</v>
      </c>
      <c r="FL16" s="529">
        <f t="shared" ref="FL16:FL24" si="89">FK16-FJ16</f>
        <v>714</v>
      </c>
      <c r="FM16" s="254"/>
      <c r="FN16" s="530">
        <v>544</v>
      </c>
      <c r="FO16" s="531">
        <v>565</v>
      </c>
      <c r="FP16" s="532">
        <f t="shared" ref="FP16:FP24" si="90">FO16-FN16</f>
        <v>21</v>
      </c>
      <c r="FQ16" s="254"/>
      <c r="FR16" s="527">
        <v>0</v>
      </c>
      <c r="FS16" s="528">
        <v>0</v>
      </c>
      <c r="FT16" s="529">
        <f t="shared" ref="FT16:FT24" si="91">FS16-FR16</f>
        <v>0</v>
      </c>
      <c r="FU16" s="254"/>
      <c r="FV16" s="530">
        <v>0</v>
      </c>
      <c r="FW16" s="531">
        <v>0</v>
      </c>
      <c r="FX16" s="532">
        <f t="shared" ref="FX16:FX24" si="92">FW16-FV16</f>
        <v>0</v>
      </c>
      <c r="FY16" s="254"/>
      <c r="FZ16" s="527">
        <v>272</v>
      </c>
      <c r="GA16" s="528">
        <v>282.5</v>
      </c>
      <c r="GB16" s="529">
        <f t="shared" ref="GB16:GB24" si="93">GA16-FZ16</f>
        <v>10.5</v>
      </c>
      <c r="GC16" s="254"/>
      <c r="GD16" s="530">
        <v>1360</v>
      </c>
      <c r="GE16" s="531">
        <v>1412.5</v>
      </c>
      <c r="GF16" s="532">
        <f t="shared" ref="GF16:GF24" si="94">GE16-GD16</f>
        <v>52.5</v>
      </c>
      <c r="GG16" s="254"/>
      <c r="GH16" s="527">
        <v>0</v>
      </c>
      <c r="GI16" s="528">
        <v>0</v>
      </c>
      <c r="GJ16" s="529">
        <f t="shared" ref="GJ16:GJ24" si="95">GI16-GH16</f>
        <v>0</v>
      </c>
      <c r="GK16" s="254"/>
      <c r="GL16" s="530">
        <v>544</v>
      </c>
      <c r="GM16" s="531">
        <v>565</v>
      </c>
      <c r="GN16" s="532">
        <f t="shared" ref="GN16:GN24" si="96">GM16-GL16</f>
        <v>21</v>
      </c>
      <c r="GO16" s="254"/>
      <c r="GP16" s="527">
        <f t="shared" si="48"/>
        <v>1886864</v>
      </c>
      <c r="GQ16" s="528">
        <f t="shared" si="48"/>
        <v>1959702.5</v>
      </c>
      <c r="GR16" s="529">
        <f t="shared" ref="GR16:GR24" si="97">GQ16-GP16</f>
        <v>72838.5</v>
      </c>
      <c r="GS16" s="533"/>
    </row>
    <row r="17" spans="1:201" x14ac:dyDescent="0.2">
      <c r="B17" s="535" t="s">
        <v>623</v>
      </c>
      <c r="C17" s="535"/>
      <c r="D17" s="535"/>
      <c r="E17" s="535"/>
      <c r="F17" s="527">
        <v>0</v>
      </c>
      <c r="G17" s="528">
        <v>0</v>
      </c>
      <c r="H17" s="529">
        <f t="shared" si="0"/>
        <v>0</v>
      </c>
      <c r="I17" s="254"/>
      <c r="J17" s="530">
        <v>0</v>
      </c>
      <c r="K17" s="531">
        <v>0</v>
      </c>
      <c r="L17" s="532">
        <f t="shared" si="50"/>
        <v>0</v>
      </c>
      <c r="M17" s="254"/>
      <c r="N17" s="527">
        <v>0</v>
      </c>
      <c r="O17" s="528">
        <v>0</v>
      </c>
      <c r="P17" s="529">
        <f t="shared" si="51"/>
        <v>0</v>
      </c>
      <c r="Q17" s="254"/>
      <c r="R17" s="530">
        <v>0</v>
      </c>
      <c r="S17" s="531">
        <v>0</v>
      </c>
      <c r="T17" s="532">
        <f t="shared" si="52"/>
        <v>0</v>
      </c>
      <c r="U17" s="254"/>
      <c r="V17" s="527">
        <v>0</v>
      </c>
      <c r="W17" s="528">
        <v>0</v>
      </c>
      <c r="X17" s="529">
        <f t="shared" si="53"/>
        <v>0</v>
      </c>
      <c r="Y17" s="254"/>
      <c r="Z17" s="530">
        <v>0</v>
      </c>
      <c r="AA17" s="531">
        <v>0</v>
      </c>
      <c r="AB17" s="532">
        <f t="shared" si="54"/>
        <v>0</v>
      </c>
      <c r="AC17" s="254"/>
      <c r="AD17" s="527">
        <v>848.5</v>
      </c>
      <c r="AE17" s="528">
        <v>881</v>
      </c>
      <c r="AF17" s="529">
        <f t="shared" si="55"/>
        <v>32.5</v>
      </c>
      <c r="AG17" s="254"/>
      <c r="AH17" s="530">
        <v>0</v>
      </c>
      <c r="AI17" s="531">
        <v>0</v>
      </c>
      <c r="AJ17" s="532">
        <f t="shared" si="56"/>
        <v>0</v>
      </c>
      <c r="AK17" s="254"/>
      <c r="AL17" s="527">
        <v>848.5</v>
      </c>
      <c r="AM17" s="528">
        <v>881</v>
      </c>
      <c r="AN17" s="529">
        <f t="shared" si="57"/>
        <v>32.5</v>
      </c>
      <c r="AO17" s="254"/>
      <c r="AP17" s="530">
        <v>0</v>
      </c>
      <c r="AQ17" s="531">
        <v>0</v>
      </c>
      <c r="AR17" s="532">
        <f t="shared" si="58"/>
        <v>0</v>
      </c>
      <c r="AS17" s="254"/>
      <c r="AT17" s="527">
        <v>0</v>
      </c>
      <c r="AU17" s="528">
        <v>0</v>
      </c>
      <c r="AV17" s="529">
        <f t="shared" si="59"/>
        <v>0</v>
      </c>
      <c r="AW17" s="254"/>
      <c r="AX17" s="530">
        <v>0</v>
      </c>
      <c r="AY17" s="531">
        <v>0</v>
      </c>
      <c r="AZ17" s="532">
        <f t="shared" si="60"/>
        <v>0</v>
      </c>
      <c r="BA17" s="254"/>
      <c r="BB17" s="527">
        <v>0</v>
      </c>
      <c r="BC17" s="528">
        <v>0</v>
      </c>
      <c r="BD17" s="529">
        <f t="shared" si="61"/>
        <v>0</v>
      </c>
      <c r="BE17" s="254"/>
      <c r="BF17" s="530">
        <v>0</v>
      </c>
      <c r="BG17" s="531">
        <v>0</v>
      </c>
      <c r="BH17" s="532">
        <f t="shared" si="62"/>
        <v>0</v>
      </c>
      <c r="BI17" s="254"/>
      <c r="BJ17" s="527">
        <v>0</v>
      </c>
      <c r="BK17" s="528">
        <v>0</v>
      </c>
      <c r="BL17" s="529">
        <f t="shared" si="63"/>
        <v>0</v>
      </c>
      <c r="BM17" s="254"/>
      <c r="BN17" s="530">
        <v>0</v>
      </c>
      <c r="BO17" s="531">
        <v>0</v>
      </c>
      <c r="BP17" s="532">
        <f t="shared" si="64"/>
        <v>0</v>
      </c>
      <c r="BQ17" s="254"/>
      <c r="BR17" s="527">
        <v>848.5</v>
      </c>
      <c r="BS17" s="528">
        <v>881</v>
      </c>
      <c r="BT17" s="529">
        <f t="shared" si="65"/>
        <v>32.5</v>
      </c>
      <c r="BU17" s="254"/>
      <c r="BV17" s="530">
        <v>0</v>
      </c>
      <c r="BW17" s="531">
        <v>0</v>
      </c>
      <c r="BX17" s="532">
        <f t="shared" si="66"/>
        <v>0</v>
      </c>
      <c r="BY17" s="254"/>
      <c r="BZ17" s="527">
        <v>0</v>
      </c>
      <c r="CA17" s="528">
        <v>0</v>
      </c>
      <c r="CB17" s="529">
        <f t="shared" si="67"/>
        <v>0</v>
      </c>
      <c r="CC17" s="254"/>
      <c r="CD17" s="530">
        <v>0</v>
      </c>
      <c r="CE17" s="531">
        <v>0</v>
      </c>
      <c r="CF17" s="532">
        <f t="shared" si="68"/>
        <v>0</v>
      </c>
      <c r="CG17" s="254"/>
      <c r="CH17" s="527">
        <v>0</v>
      </c>
      <c r="CI17" s="528">
        <v>0</v>
      </c>
      <c r="CJ17" s="529">
        <f t="shared" si="69"/>
        <v>0</v>
      </c>
      <c r="CK17" s="254"/>
      <c r="CL17" s="530">
        <v>0</v>
      </c>
      <c r="CM17" s="531">
        <v>0</v>
      </c>
      <c r="CN17" s="532">
        <f t="shared" si="70"/>
        <v>0</v>
      </c>
      <c r="CO17" s="254"/>
      <c r="CP17" s="527">
        <v>0</v>
      </c>
      <c r="CQ17" s="528">
        <v>0</v>
      </c>
      <c r="CR17" s="529">
        <f t="shared" si="71"/>
        <v>0</v>
      </c>
      <c r="CS17" s="254"/>
      <c r="CT17" s="530">
        <v>0</v>
      </c>
      <c r="CU17" s="531">
        <v>0</v>
      </c>
      <c r="CV17" s="532">
        <f t="shared" si="72"/>
        <v>0</v>
      </c>
      <c r="CW17" s="254"/>
      <c r="CX17" s="527">
        <v>0</v>
      </c>
      <c r="CY17" s="528">
        <v>0</v>
      </c>
      <c r="CZ17" s="529">
        <f t="shared" si="73"/>
        <v>0</v>
      </c>
      <c r="DA17" s="254"/>
      <c r="DB17" s="530">
        <v>0</v>
      </c>
      <c r="DC17" s="531">
        <v>0</v>
      </c>
      <c r="DD17" s="532">
        <f t="shared" si="74"/>
        <v>0</v>
      </c>
      <c r="DE17" s="254"/>
      <c r="DF17" s="527">
        <v>0</v>
      </c>
      <c r="DG17" s="528">
        <v>0</v>
      </c>
      <c r="DH17" s="529">
        <f t="shared" si="75"/>
        <v>0</v>
      </c>
      <c r="DI17" s="254"/>
      <c r="DJ17" s="530">
        <v>0</v>
      </c>
      <c r="DK17" s="531">
        <v>0</v>
      </c>
      <c r="DL17" s="532">
        <f t="shared" si="76"/>
        <v>0</v>
      </c>
      <c r="DM17" s="254"/>
      <c r="DN17" s="527">
        <v>0</v>
      </c>
      <c r="DO17" s="528">
        <v>0</v>
      </c>
      <c r="DP17" s="529">
        <f t="shared" si="77"/>
        <v>0</v>
      </c>
      <c r="DQ17" s="254"/>
      <c r="DR17" s="530">
        <v>0</v>
      </c>
      <c r="DS17" s="531">
        <v>0</v>
      </c>
      <c r="DT17" s="532">
        <f t="shared" si="78"/>
        <v>0</v>
      </c>
      <c r="DU17" s="254"/>
      <c r="DV17" s="527">
        <v>0</v>
      </c>
      <c r="DW17" s="528">
        <v>0</v>
      </c>
      <c r="DX17" s="529">
        <f t="shared" si="79"/>
        <v>0</v>
      </c>
      <c r="DY17" s="254"/>
      <c r="DZ17" s="530">
        <v>0</v>
      </c>
      <c r="EA17" s="531">
        <v>0</v>
      </c>
      <c r="EB17" s="532">
        <f t="shared" si="80"/>
        <v>0</v>
      </c>
      <c r="EC17" s="254"/>
      <c r="ED17" s="527">
        <v>0</v>
      </c>
      <c r="EE17" s="528">
        <v>0</v>
      </c>
      <c r="EF17" s="529">
        <f t="shared" si="81"/>
        <v>0</v>
      </c>
      <c r="EG17" s="254"/>
      <c r="EH17" s="530">
        <v>0</v>
      </c>
      <c r="EI17" s="531">
        <v>0</v>
      </c>
      <c r="EJ17" s="532">
        <f t="shared" si="82"/>
        <v>0</v>
      </c>
      <c r="EK17" s="254"/>
      <c r="EL17" s="527">
        <v>0</v>
      </c>
      <c r="EM17" s="528">
        <v>0</v>
      </c>
      <c r="EN17" s="529">
        <f t="shared" si="83"/>
        <v>0</v>
      </c>
      <c r="EO17" s="254"/>
      <c r="EP17" s="530">
        <v>0</v>
      </c>
      <c r="EQ17" s="531">
        <v>0</v>
      </c>
      <c r="ER17" s="532">
        <f t="shared" si="84"/>
        <v>0</v>
      </c>
      <c r="ES17" s="254"/>
      <c r="ET17" s="527">
        <v>848.5</v>
      </c>
      <c r="EU17" s="528">
        <v>881</v>
      </c>
      <c r="EV17" s="529">
        <f t="shared" si="85"/>
        <v>32.5</v>
      </c>
      <c r="EW17" s="254"/>
      <c r="EX17" s="530">
        <v>1697</v>
      </c>
      <c r="EY17" s="531">
        <v>1762</v>
      </c>
      <c r="EZ17" s="532">
        <f t="shared" si="86"/>
        <v>65</v>
      </c>
      <c r="FA17" s="254"/>
      <c r="FB17" s="527">
        <v>0</v>
      </c>
      <c r="FC17" s="528">
        <v>0</v>
      </c>
      <c r="FD17" s="529">
        <f t="shared" si="87"/>
        <v>0</v>
      </c>
      <c r="FE17" s="254"/>
      <c r="FF17" s="530">
        <v>0</v>
      </c>
      <c r="FG17" s="531">
        <v>0</v>
      </c>
      <c r="FH17" s="532">
        <f t="shared" si="88"/>
        <v>0</v>
      </c>
      <c r="FI17" s="254"/>
      <c r="FJ17" s="527">
        <v>0</v>
      </c>
      <c r="FK17" s="528">
        <v>0</v>
      </c>
      <c r="FL17" s="529">
        <f t="shared" si="89"/>
        <v>0</v>
      </c>
      <c r="FM17" s="254"/>
      <c r="FN17" s="530">
        <v>0</v>
      </c>
      <c r="FO17" s="531">
        <v>0</v>
      </c>
      <c r="FP17" s="532">
        <f t="shared" si="90"/>
        <v>0</v>
      </c>
      <c r="FQ17" s="254"/>
      <c r="FR17" s="527">
        <v>0</v>
      </c>
      <c r="FS17" s="528">
        <v>0</v>
      </c>
      <c r="FT17" s="529">
        <f t="shared" si="91"/>
        <v>0</v>
      </c>
      <c r="FU17" s="254"/>
      <c r="FV17" s="530">
        <v>0</v>
      </c>
      <c r="FW17" s="531">
        <v>0</v>
      </c>
      <c r="FX17" s="532">
        <f t="shared" si="92"/>
        <v>0</v>
      </c>
      <c r="FY17" s="254"/>
      <c r="FZ17" s="527">
        <v>0</v>
      </c>
      <c r="GA17" s="528">
        <v>0</v>
      </c>
      <c r="GB17" s="529">
        <f t="shared" si="93"/>
        <v>0</v>
      </c>
      <c r="GC17" s="254"/>
      <c r="GD17" s="530">
        <v>0</v>
      </c>
      <c r="GE17" s="531">
        <v>0</v>
      </c>
      <c r="GF17" s="532">
        <f t="shared" si="94"/>
        <v>0</v>
      </c>
      <c r="GG17" s="254"/>
      <c r="GH17" s="527">
        <v>0</v>
      </c>
      <c r="GI17" s="528">
        <v>0</v>
      </c>
      <c r="GJ17" s="529">
        <f t="shared" si="95"/>
        <v>0</v>
      </c>
      <c r="GK17" s="254"/>
      <c r="GL17" s="530">
        <v>0</v>
      </c>
      <c r="GM17" s="531">
        <v>0</v>
      </c>
      <c r="GN17" s="532">
        <f t="shared" si="96"/>
        <v>0</v>
      </c>
      <c r="GO17" s="254"/>
      <c r="GP17" s="527">
        <f t="shared" si="48"/>
        <v>5091</v>
      </c>
      <c r="GQ17" s="528">
        <f t="shared" si="48"/>
        <v>5286</v>
      </c>
      <c r="GR17" s="529">
        <f t="shared" si="97"/>
        <v>195</v>
      </c>
      <c r="GS17" s="533"/>
    </row>
    <row r="18" spans="1:201" x14ac:dyDescent="0.2">
      <c r="A18" s="224" t="s">
        <v>612</v>
      </c>
      <c r="B18" s="526" t="s">
        <v>624</v>
      </c>
      <c r="C18" s="526"/>
      <c r="D18" s="526"/>
      <c r="E18" s="526"/>
      <c r="F18" s="527">
        <v>7565.48</v>
      </c>
      <c r="G18" s="528">
        <v>0</v>
      </c>
      <c r="H18" s="529">
        <f t="shared" si="0"/>
        <v>-7565.48</v>
      </c>
      <c r="I18" s="254"/>
      <c r="J18" s="530">
        <v>56718.87</v>
      </c>
      <c r="K18" s="531">
        <v>0</v>
      </c>
      <c r="L18" s="532">
        <f t="shared" si="50"/>
        <v>-56718.87</v>
      </c>
      <c r="M18" s="254"/>
      <c r="N18" s="527">
        <v>85811.16</v>
      </c>
      <c r="O18" s="528">
        <v>0</v>
      </c>
      <c r="P18" s="529">
        <f t="shared" si="51"/>
        <v>-85811.16</v>
      </c>
      <c r="Q18" s="254"/>
      <c r="R18" s="530">
        <v>5285.47</v>
      </c>
      <c r="S18" s="531">
        <v>0</v>
      </c>
      <c r="T18" s="532">
        <f t="shared" si="52"/>
        <v>-5285.47</v>
      </c>
      <c r="U18" s="254"/>
      <c r="V18" s="527">
        <v>2072.73</v>
      </c>
      <c r="W18" s="528">
        <v>0</v>
      </c>
      <c r="X18" s="529">
        <f t="shared" si="53"/>
        <v>-2072.73</v>
      </c>
      <c r="Y18" s="254"/>
      <c r="Z18" s="530">
        <v>11237.18</v>
      </c>
      <c r="AA18" s="531">
        <v>0</v>
      </c>
      <c r="AB18" s="532">
        <f t="shared" si="54"/>
        <v>-11237.18</v>
      </c>
      <c r="AC18" s="254"/>
      <c r="AD18" s="527">
        <v>45244.81</v>
      </c>
      <c r="AE18" s="528">
        <v>0</v>
      </c>
      <c r="AF18" s="529">
        <f t="shared" si="55"/>
        <v>-45244.81</v>
      </c>
      <c r="AG18" s="254"/>
      <c r="AH18" s="530">
        <v>43971.56</v>
      </c>
      <c r="AI18" s="531">
        <v>0</v>
      </c>
      <c r="AJ18" s="532">
        <f t="shared" si="56"/>
        <v>-43971.56</v>
      </c>
      <c r="AK18" s="254"/>
      <c r="AL18" s="527">
        <v>29536.45</v>
      </c>
      <c r="AM18" s="528">
        <v>0</v>
      </c>
      <c r="AN18" s="529">
        <f t="shared" si="57"/>
        <v>-29536.45</v>
      </c>
      <c r="AO18" s="254"/>
      <c r="AP18" s="530">
        <v>9475.35</v>
      </c>
      <c r="AQ18" s="531">
        <v>0</v>
      </c>
      <c r="AR18" s="532">
        <f t="shared" si="58"/>
        <v>-9475.35</v>
      </c>
      <c r="AS18" s="254"/>
      <c r="AT18" s="527">
        <v>3775.34</v>
      </c>
      <c r="AU18" s="528">
        <v>0</v>
      </c>
      <c r="AV18" s="529">
        <f t="shared" si="59"/>
        <v>-3775.34</v>
      </c>
      <c r="AW18" s="254"/>
      <c r="AX18" s="530">
        <v>79977.899999999994</v>
      </c>
      <c r="AY18" s="531">
        <v>0</v>
      </c>
      <c r="AZ18" s="532">
        <f t="shared" si="60"/>
        <v>-79977.899999999994</v>
      </c>
      <c r="BA18" s="254"/>
      <c r="BB18" s="527">
        <v>20194.34</v>
      </c>
      <c r="BC18" s="528">
        <v>0</v>
      </c>
      <c r="BD18" s="529">
        <f t="shared" si="61"/>
        <v>-20194.34</v>
      </c>
      <c r="BE18" s="254"/>
      <c r="BF18" s="530">
        <v>2487.2800000000002</v>
      </c>
      <c r="BG18" s="531">
        <v>0</v>
      </c>
      <c r="BH18" s="532">
        <f t="shared" si="62"/>
        <v>-2487.2800000000002</v>
      </c>
      <c r="BI18" s="254"/>
      <c r="BJ18" s="527">
        <v>15279.01</v>
      </c>
      <c r="BK18" s="528">
        <v>0</v>
      </c>
      <c r="BL18" s="529">
        <f t="shared" si="63"/>
        <v>-15279.01</v>
      </c>
      <c r="BM18" s="254"/>
      <c r="BN18" s="530">
        <v>38982.19</v>
      </c>
      <c r="BO18" s="531">
        <v>0</v>
      </c>
      <c r="BP18" s="532">
        <f t="shared" si="64"/>
        <v>-38982.19</v>
      </c>
      <c r="BQ18" s="254"/>
      <c r="BR18" s="527">
        <v>56481.98</v>
      </c>
      <c r="BS18" s="528">
        <v>0</v>
      </c>
      <c r="BT18" s="529">
        <f t="shared" si="65"/>
        <v>-56481.98</v>
      </c>
      <c r="BU18" s="254"/>
      <c r="BV18" s="530">
        <v>10363.67</v>
      </c>
      <c r="BW18" s="531">
        <v>0</v>
      </c>
      <c r="BX18" s="532">
        <f t="shared" si="66"/>
        <v>-10363.67</v>
      </c>
      <c r="BY18" s="254"/>
      <c r="BZ18" s="527">
        <v>7284.18</v>
      </c>
      <c r="CA18" s="528">
        <v>0</v>
      </c>
      <c r="CB18" s="529">
        <f t="shared" si="67"/>
        <v>-7284.18</v>
      </c>
      <c r="CC18" s="254"/>
      <c r="CD18" s="530">
        <v>26767.87</v>
      </c>
      <c r="CE18" s="531">
        <v>0</v>
      </c>
      <c r="CF18" s="532">
        <f t="shared" si="68"/>
        <v>-26767.87</v>
      </c>
      <c r="CG18" s="254"/>
      <c r="CH18" s="527">
        <v>26708.65</v>
      </c>
      <c r="CI18" s="528">
        <v>0</v>
      </c>
      <c r="CJ18" s="529">
        <f t="shared" si="69"/>
        <v>-26708.65</v>
      </c>
      <c r="CK18" s="254"/>
      <c r="CL18" s="530">
        <v>24872.799999999999</v>
      </c>
      <c r="CM18" s="531">
        <v>0</v>
      </c>
      <c r="CN18" s="532">
        <f t="shared" si="70"/>
        <v>-24872.799999999999</v>
      </c>
      <c r="CO18" s="254"/>
      <c r="CP18" s="527">
        <v>76246.98</v>
      </c>
      <c r="CQ18" s="528">
        <v>0</v>
      </c>
      <c r="CR18" s="529">
        <f t="shared" si="71"/>
        <v>-76246.98</v>
      </c>
      <c r="CS18" s="254"/>
      <c r="CT18" s="530">
        <v>40818.04</v>
      </c>
      <c r="CU18" s="531">
        <v>0</v>
      </c>
      <c r="CV18" s="532">
        <f t="shared" si="72"/>
        <v>-40818.04</v>
      </c>
      <c r="CW18" s="254"/>
      <c r="CX18" s="527">
        <v>38789.72</v>
      </c>
      <c r="CY18" s="528">
        <v>0</v>
      </c>
      <c r="CZ18" s="529">
        <f t="shared" si="73"/>
        <v>-38789.72</v>
      </c>
      <c r="DA18" s="254"/>
      <c r="DB18" s="530">
        <v>18654.599999999999</v>
      </c>
      <c r="DC18" s="531">
        <v>0</v>
      </c>
      <c r="DD18" s="532">
        <f t="shared" si="74"/>
        <v>-18654.599999999999</v>
      </c>
      <c r="DE18" s="254"/>
      <c r="DF18" s="527">
        <v>26323.71</v>
      </c>
      <c r="DG18" s="528">
        <v>0</v>
      </c>
      <c r="DH18" s="529">
        <f t="shared" si="75"/>
        <v>-26323.71</v>
      </c>
      <c r="DI18" s="254"/>
      <c r="DJ18" s="530">
        <v>44548.959999999999</v>
      </c>
      <c r="DK18" s="531">
        <v>0</v>
      </c>
      <c r="DL18" s="532">
        <f t="shared" si="76"/>
        <v>-44548.959999999999</v>
      </c>
      <c r="DM18" s="254"/>
      <c r="DN18" s="527">
        <v>54438.86</v>
      </c>
      <c r="DO18" s="528">
        <v>0</v>
      </c>
      <c r="DP18" s="529">
        <f t="shared" si="77"/>
        <v>-54438.86</v>
      </c>
      <c r="DQ18" s="254"/>
      <c r="DR18" s="530">
        <v>87395.32</v>
      </c>
      <c r="DS18" s="531">
        <v>0</v>
      </c>
      <c r="DT18" s="532">
        <f t="shared" si="78"/>
        <v>-87395.32</v>
      </c>
      <c r="DU18" s="254"/>
      <c r="DV18" s="527">
        <v>52321.71</v>
      </c>
      <c r="DW18" s="528">
        <v>0</v>
      </c>
      <c r="DX18" s="529">
        <f t="shared" si="79"/>
        <v>-52321.71</v>
      </c>
      <c r="DY18" s="254"/>
      <c r="DZ18" s="530">
        <v>81029.070000000007</v>
      </c>
      <c r="EA18" s="531">
        <v>0</v>
      </c>
      <c r="EB18" s="532">
        <f t="shared" si="80"/>
        <v>-81029.070000000007</v>
      </c>
      <c r="EC18" s="254"/>
      <c r="ED18" s="527">
        <v>99106.26</v>
      </c>
      <c r="EE18" s="528">
        <v>0</v>
      </c>
      <c r="EF18" s="529">
        <f t="shared" si="81"/>
        <v>-99106.26</v>
      </c>
      <c r="EG18" s="254"/>
      <c r="EH18" s="530">
        <v>25894.36</v>
      </c>
      <c r="EI18" s="531">
        <v>0</v>
      </c>
      <c r="EJ18" s="532">
        <f t="shared" si="82"/>
        <v>-25894.36</v>
      </c>
      <c r="EK18" s="254"/>
      <c r="EL18" s="527">
        <v>35784.26</v>
      </c>
      <c r="EM18" s="528">
        <v>0</v>
      </c>
      <c r="EN18" s="529">
        <f t="shared" si="83"/>
        <v>-35784.26</v>
      </c>
      <c r="EO18" s="254"/>
      <c r="EP18" s="530">
        <v>6203.39</v>
      </c>
      <c r="EQ18" s="531">
        <v>0</v>
      </c>
      <c r="ER18" s="532">
        <f t="shared" si="84"/>
        <v>-6203.39</v>
      </c>
      <c r="ES18" s="254"/>
      <c r="ET18" s="527">
        <v>61574.98</v>
      </c>
      <c r="EU18" s="528">
        <v>0</v>
      </c>
      <c r="EV18" s="529">
        <f t="shared" si="85"/>
        <v>-61574.98</v>
      </c>
      <c r="EW18" s="254"/>
      <c r="EX18" s="530">
        <v>63603.3</v>
      </c>
      <c r="EY18" s="531">
        <v>0</v>
      </c>
      <c r="EZ18" s="532">
        <f t="shared" si="86"/>
        <v>-63603.3</v>
      </c>
      <c r="FA18" s="254"/>
      <c r="FB18" s="527">
        <v>78201.27</v>
      </c>
      <c r="FC18" s="528">
        <v>0</v>
      </c>
      <c r="FD18" s="529">
        <f t="shared" si="87"/>
        <v>-78201.27</v>
      </c>
      <c r="FE18" s="254"/>
      <c r="FF18" s="530">
        <v>21541.62</v>
      </c>
      <c r="FG18" s="531">
        <v>0</v>
      </c>
      <c r="FH18" s="532">
        <f t="shared" si="88"/>
        <v>-21541.62</v>
      </c>
      <c r="FI18" s="254"/>
      <c r="FJ18" s="527">
        <v>10778.21</v>
      </c>
      <c r="FK18" s="528">
        <v>0</v>
      </c>
      <c r="FL18" s="529">
        <f t="shared" si="89"/>
        <v>-10778.21</v>
      </c>
      <c r="FM18" s="254"/>
      <c r="FN18" s="530">
        <v>26308.91</v>
      </c>
      <c r="FO18" s="531">
        <v>0</v>
      </c>
      <c r="FP18" s="532">
        <f t="shared" si="90"/>
        <v>-26308.91</v>
      </c>
      <c r="FQ18" s="254"/>
      <c r="FR18" s="527">
        <v>31579.57</v>
      </c>
      <c r="FS18" s="528">
        <v>0</v>
      </c>
      <c r="FT18" s="529">
        <f t="shared" si="91"/>
        <v>-31579.57</v>
      </c>
      <c r="FU18" s="254"/>
      <c r="FV18" s="530">
        <v>6647.55</v>
      </c>
      <c r="FW18" s="531">
        <v>0</v>
      </c>
      <c r="FX18" s="532">
        <f t="shared" si="92"/>
        <v>-6647.55</v>
      </c>
      <c r="FY18" s="254"/>
      <c r="FZ18" s="527">
        <v>12954.58</v>
      </c>
      <c r="GA18" s="528">
        <v>0</v>
      </c>
      <c r="GB18" s="529">
        <f t="shared" si="93"/>
        <v>-12954.58</v>
      </c>
      <c r="GC18" s="254"/>
      <c r="GD18" s="530">
        <v>76987.240000000005</v>
      </c>
      <c r="GE18" s="531">
        <v>0</v>
      </c>
      <c r="GF18" s="532">
        <f t="shared" si="94"/>
        <v>-76987.240000000005</v>
      </c>
      <c r="GG18" s="254"/>
      <c r="GH18" s="527">
        <v>23895.65</v>
      </c>
      <c r="GI18" s="528">
        <v>0</v>
      </c>
      <c r="GJ18" s="529">
        <f t="shared" si="95"/>
        <v>-23895.65</v>
      </c>
      <c r="GK18" s="254"/>
      <c r="GL18" s="530">
        <v>2916.63</v>
      </c>
      <c r="GM18" s="531">
        <v>0</v>
      </c>
      <c r="GN18" s="532">
        <f t="shared" si="96"/>
        <v>-2916.63</v>
      </c>
      <c r="GO18" s="254"/>
      <c r="GP18" s="527">
        <f t="shared" si="48"/>
        <v>1714639.0200000003</v>
      </c>
      <c r="GQ18" s="528">
        <f t="shared" si="48"/>
        <v>0</v>
      </c>
      <c r="GR18" s="529">
        <f t="shared" si="97"/>
        <v>-1714639.0200000003</v>
      </c>
      <c r="GS18" s="533"/>
    </row>
    <row r="19" spans="1:201" x14ac:dyDescent="0.2">
      <c r="A19" s="224" t="s">
        <v>620</v>
      </c>
      <c r="B19" s="526" t="s">
        <v>625</v>
      </c>
      <c r="C19" s="526"/>
      <c r="D19" s="526"/>
      <c r="E19" s="526"/>
      <c r="F19" s="536">
        <v>5654.74</v>
      </c>
      <c r="G19" s="537">
        <v>0</v>
      </c>
      <c r="H19" s="538">
        <f t="shared" si="0"/>
        <v>-5654.74</v>
      </c>
      <c r="I19" s="254"/>
      <c r="J19" s="539">
        <v>38691.480000000003</v>
      </c>
      <c r="K19" s="540">
        <v>0</v>
      </c>
      <c r="L19" s="541">
        <f t="shared" si="50"/>
        <v>-38691.480000000003</v>
      </c>
      <c r="M19" s="254"/>
      <c r="N19" s="536">
        <v>58364.54</v>
      </c>
      <c r="O19" s="537">
        <v>0</v>
      </c>
      <c r="P19" s="538">
        <f t="shared" si="51"/>
        <v>-58364.54</v>
      </c>
      <c r="Q19" s="254"/>
      <c r="R19" s="539">
        <v>6885.01</v>
      </c>
      <c r="S19" s="540">
        <v>0</v>
      </c>
      <c r="T19" s="541">
        <f t="shared" si="52"/>
        <v>-6885.01</v>
      </c>
      <c r="U19" s="254"/>
      <c r="V19" s="536">
        <v>6365.81</v>
      </c>
      <c r="W19" s="537">
        <v>0</v>
      </c>
      <c r="X19" s="538">
        <f t="shared" si="53"/>
        <v>-6365.81</v>
      </c>
      <c r="Y19" s="254"/>
      <c r="Z19" s="539">
        <v>32551.41</v>
      </c>
      <c r="AA19" s="540">
        <v>0</v>
      </c>
      <c r="AB19" s="541">
        <f t="shared" si="54"/>
        <v>-32551.41</v>
      </c>
      <c r="AC19" s="254"/>
      <c r="AD19" s="536">
        <v>34199.300000000003</v>
      </c>
      <c r="AE19" s="537">
        <v>0</v>
      </c>
      <c r="AF19" s="538">
        <f t="shared" si="55"/>
        <v>-34199.300000000003</v>
      </c>
      <c r="AG19" s="254"/>
      <c r="AH19" s="539">
        <v>31445.3</v>
      </c>
      <c r="AI19" s="540">
        <v>0</v>
      </c>
      <c r="AJ19" s="541">
        <f t="shared" si="56"/>
        <v>-31445.3</v>
      </c>
      <c r="AK19" s="254"/>
      <c r="AL19" s="536">
        <v>69843.320000000007</v>
      </c>
      <c r="AM19" s="537">
        <v>0</v>
      </c>
      <c r="AN19" s="538">
        <f t="shared" si="57"/>
        <v>-69843.320000000007</v>
      </c>
      <c r="AO19" s="254"/>
      <c r="AP19" s="539">
        <v>28138.23</v>
      </c>
      <c r="AQ19" s="540">
        <v>0</v>
      </c>
      <c r="AR19" s="541">
        <f t="shared" si="58"/>
        <v>-28138.23</v>
      </c>
      <c r="AS19" s="254"/>
      <c r="AT19" s="536">
        <v>2562.13</v>
      </c>
      <c r="AU19" s="537">
        <v>0</v>
      </c>
      <c r="AV19" s="538">
        <f t="shared" si="59"/>
        <v>-2562.13</v>
      </c>
      <c r="AW19" s="254"/>
      <c r="AX19" s="539">
        <v>57676.04</v>
      </c>
      <c r="AY19" s="540">
        <v>0</v>
      </c>
      <c r="AZ19" s="541">
        <f t="shared" si="60"/>
        <v>-57676.04</v>
      </c>
      <c r="BA19" s="254"/>
      <c r="BB19" s="536">
        <v>14537.52</v>
      </c>
      <c r="BC19" s="537">
        <v>0</v>
      </c>
      <c r="BD19" s="538">
        <f t="shared" si="61"/>
        <v>-14537.52</v>
      </c>
      <c r="BE19" s="254"/>
      <c r="BF19" s="539">
        <v>1681.75</v>
      </c>
      <c r="BG19" s="540">
        <v>0</v>
      </c>
      <c r="BH19" s="541">
        <f t="shared" si="62"/>
        <v>-1681.75</v>
      </c>
      <c r="BI19" s="254"/>
      <c r="BJ19" s="536">
        <v>11704.51</v>
      </c>
      <c r="BK19" s="537">
        <v>0</v>
      </c>
      <c r="BL19" s="538">
        <f t="shared" si="63"/>
        <v>-11704.51</v>
      </c>
      <c r="BM19" s="254"/>
      <c r="BN19" s="539">
        <v>28589.71</v>
      </c>
      <c r="BO19" s="540">
        <v>0</v>
      </c>
      <c r="BP19" s="541">
        <f t="shared" si="64"/>
        <v>-28589.71</v>
      </c>
      <c r="BQ19" s="254"/>
      <c r="BR19" s="536">
        <v>38499.61</v>
      </c>
      <c r="BS19" s="537">
        <v>0</v>
      </c>
      <c r="BT19" s="538">
        <f t="shared" si="65"/>
        <v>-38499.61</v>
      </c>
      <c r="BU19" s="254"/>
      <c r="BV19" s="539">
        <v>7043.02</v>
      </c>
      <c r="BW19" s="540">
        <v>0</v>
      </c>
      <c r="BX19" s="541">
        <f t="shared" si="66"/>
        <v>-7043.02</v>
      </c>
      <c r="BY19" s="254"/>
      <c r="BZ19" s="536">
        <v>4954.95</v>
      </c>
      <c r="CA19" s="537">
        <v>0</v>
      </c>
      <c r="CB19" s="538">
        <f t="shared" si="67"/>
        <v>-4954.95</v>
      </c>
      <c r="CC19" s="254"/>
      <c r="CD19" s="539">
        <v>18363.78</v>
      </c>
      <c r="CE19" s="540">
        <v>0</v>
      </c>
      <c r="CF19" s="541">
        <f t="shared" si="68"/>
        <v>-18363.78</v>
      </c>
      <c r="CG19" s="254"/>
      <c r="CH19" s="536">
        <v>19808.5</v>
      </c>
      <c r="CI19" s="537">
        <v>0</v>
      </c>
      <c r="CJ19" s="538">
        <f t="shared" si="69"/>
        <v>-19808.5</v>
      </c>
      <c r="CK19" s="254"/>
      <c r="CL19" s="539">
        <v>17054.5</v>
      </c>
      <c r="CM19" s="540">
        <v>0</v>
      </c>
      <c r="CN19" s="541">
        <f t="shared" si="70"/>
        <v>-17054.5</v>
      </c>
      <c r="CO19" s="254"/>
      <c r="CP19" s="536">
        <v>55080.06</v>
      </c>
      <c r="CQ19" s="537">
        <v>0</v>
      </c>
      <c r="CR19" s="538">
        <f t="shared" si="71"/>
        <v>-55080.06</v>
      </c>
      <c r="CS19" s="254"/>
      <c r="CT19" s="539">
        <v>27810.91</v>
      </c>
      <c r="CU19" s="540">
        <v>0</v>
      </c>
      <c r="CV19" s="541">
        <f t="shared" si="72"/>
        <v>-27810.91</v>
      </c>
      <c r="CW19" s="254"/>
      <c r="CX19" s="536">
        <v>26851.53</v>
      </c>
      <c r="CY19" s="537">
        <v>0</v>
      </c>
      <c r="CZ19" s="538">
        <f t="shared" si="73"/>
        <v>-26851.53</v>
      </c>
      <c r="DA19" s="254"/>
      <c r="DB19" s="539">
        <v>13826.45</v>
      </c>
      <c r="DC19" s="540">
        <v>0</v>
      </c>
      <c r="DD19" s="541">
        <f t="shared" si="74"/>
        <v>-13826.45</v>
      </c>
      <c r="DE19" s="254"/>
      <c r="DF19" s="536">
        <v>18916.84</v>
      </c>
      <c r="DG19" s="537">
        <v>0</v>
      </c>
      <c r="DH19" s="538">
        <f t="shared" si="75"/>
        <v>-18916.84</v>
      </c>
      <c r="DI19" s="254"/>
      <c r="DJ19" s="539">
        <v>30655.21</v>
      </c>
      <c r="DK19" s="540">
        <v>0</v>
      </c>
      <c r="DL19" s="541">
        <f t="shared" si="76"/>
        <v>-30655.21</v>
      </c>
      <c r="DM19" s="254"/>
      <c r="DN19" s="536">
        <v>39470.28</v>
      </c>
      <c r="DO19" s="537">
        <v>0</v>
      </c>
      <c r="DP19" s="538">
        <f t="shared" si="77"/>
        <v>-39470.28</v>
      </c>
      <c r="DQ19" s="254"/>
      <c r="DR19" s="539">
        <v>64380.46</v>
      </c>
      <c r="DS19" s="540">
        <v>0</v>
      </c>
      <c r="DT19" s="541">
        <f t="shared" si="78"/>
        <v>-64380.46</v>
      </c>
      <c r="DU19" s="254"/>
      <c r="DV19" s="536">
        <v>35723.03</v>
      </c>
      <c r="DW19" s="537">
        <v>0</v>
      </c>
      <c r="DX19" s="538">
        <f t="shared" si="79"/>
        <v>-35723.03</v>
      </c>
      <c r="DY19" s="254"/>
      <c r="DZ19" s="539">
        <v>55294.51</v>
      </c>
      <c r="EA19" s="540">
        <v>0</v>
      </c>
      <c r="EB19" s="541">
        <f t="shared" si="80"/>
        <v>-55294.51</v>
      </c>
      <c r="EC19" s="254"/>
      <c r="ED19" s="536">
        <v>71795.95</v>
      </c>
      <c r="EE19" s="537">
        <v>0</v>
      </c>
      <c r="EF19" s="538">
        <f t="shared" si="81"/>
        <v>-71795.95</v>
      </c>
      <c r="EG19" s="254"/>
      <c r="EH19" s="539">
        <v>20214.830000000002</v>
      </c>
      <c r="EI19" s="540">
        <v>0</v>
      </c>
      <c r="EJ19" s="541">
        <f t="shared" si="82"/>
        <v>-20214.830000000002</v>
      </c>
      <c r="EK19" s="254"/>
      <c r="EL19" s="536">
        <v>26084.02</v>
      </c>
      <c r="EM19" s="537">
        <v>0</v>
      </c>
      <c r="EN19" s="538">
        <f t="shared" si="83"/>
        <v>-26084.02</v>
      </c>
      <c r="EO19" s="254"/>
      <c r="EP19" s="539">
        <v>4221.3</v>
      </c>
      <c r="EQ19" s="540">
        <v>0</v>
      </c>
      <c r="ER19" s="541">
        <f t="shared" si="84"/>
        <v>-4221.3</v>
      </c>
      <c r="ES19" s="254"/>
      <c r="ET19" s="536">
        <v>44617.1</v>
      </c>
      <c r="EU19" s="537">
        <v>0</v>
      </c>
      <c r="EV19" s="538">
        <f t="shared" si="85"/>
        <v>-44617.1</v>
      </c>
      <c r="EW19" s="254"/>
      <c r="EX19" s="539">
        <v>46502.02</v>
      </c>
      <c r="EY19" s="540">
        <v>0</v>
      </c>
      <c r="EZ19" s="541">
        <f t="shared" si="86"/>
        <v>-46502.02</v>
      </c>
      <c r="FA19" s="254"/>
      <c r="FB19" s="536">
        <v>56524.78</v>
      </c>
      <c r="FC19" s="537">
        <v>0</v>
      </c>
      <c r="FD19" s="538">
        <f t="shared" si="87"/>
        <v>-56524.78</v>
      </c>
      <c r="FE19" s="254"/>
      <c r="FF19" s="539">
        <v>15485.62</v>
      </c>
      <c r="FG19" s="540">
        <v>0</v>
      </c>
      <c r="FH19" s="541">
        <f t="shared" si="88"/>
        <v>-15485.62</v>
      </c>
      <c r="FI19" s="254"/>
      <c r="FJ19" s="536">
        <v>7370.34</v>
      </c>
      <c r="FK19" s="537">
        <v>0</v>
      </c>
      <c r="FL19" s="538">
        <f t="shared" si="89"/>
        <v>-7370.34</v>
      </c>
      <c r="FM19" s="254"/>
      <c r="FN19" s="539">
        <v>18149.330000000002</v>
      </c>
      <c r="FO19" s="540">
        <v>0</v>
      </c>
      <c r="FP19" s="541">
        <f t="shared" si="90"/>
        <v>-18149.330000000002</v>
      </c>
      <c r="FQ19" s="254"/>
      <c r="FR19" s="536">
        <v>23725.06</v>
      </c>
      <c r="FS19" s="537">
        <v>0</v>
      </c>
      <c r="FT19" s="538">
        <f t="shared" si="91"/>
        <v>-23725.06</v>
      </c>
      <c r="FU19" s="254"/>
      <c r="FV19" s="539">
        <v>19718.21</v>
      </c>
      <c r="FW19" s="540">
        <v>0</v>
      </c>
      <c r="FX19" s="541">
        <f t="shared" si="92"/>
        <v>-19718.21</v>
      </c>
      <c r="FY19" s="254"/>
      <c r="FZ19" s="536">
        <v>9447.1299999999992</v>
      </c>
      <c r="GA19" s="537">
        <v>0</v>
      </c>
      <c r="GB19" s="538">
        <f t="shared" si="93"/>
        <v>-9447.1299999999992</v>
      </c>
      <c r="GC19" s="254"/>
      <c r="GD19" s="539">
        <v>53928.79</v>
      </c>
      <c r="GE19" s="540">
        <v>0</v>
      </c>
      <c r="GF19" s="541">
        <f t="shared" si="94"/>
        <v>-53928.79</v>
      </c>
      <c r="GG19" s="254"/>
      <c r="GH19" s="536">
        <v>16569.16</v>
      </c>
      <c r="GI19" s="537">
        <v>0</v>
      </c>
      <c r="GJ19" s="538">
        <f t="shared" si="95"/>
        <v>-16569.16</v>
      </c>
      <c r="GK19" s="254"/>
      <c r="GL19" s="539">
        <v>2031.64</v>
      </c>
      <c r="GM19" s="540">
        <v>0</v>
      </c>
      <c r="GN19" s="541">
        <f t="shared" si="96"/>
        <v>-2031.64</v>
      </c>
      <c r="GO19" s="254"/>
      <c r="GP19" s="536">
        <f t="shared" si="48"/>
        <v>1339009.72</v>
      </c>
      <c r="GQ19" s="537">
        <f t="shared" si="48"/>
        <v>0</v>
      </c>
      <c r="GR19" s="538">
        <f t="shared" si="97"/>
        <v>-1339009.72</v>
      </c>
      <c r="GS19" s="533"/>
    </row>
    <row r="20" spans="1:201" x14ac:dyDescent="0.2">
      <c r="B20" s="526" t="s">
        <v>8</v>
      </c>
      <c r="C20" s="526"/>
      <c r="D20" s="526"/>
      <c r="E20" s="526"/>
      <c r="F20" s="527">
        <f>SUM(F5:F19)</f>
        <v>808930.24000000011</v>
      </c>
      <c r="G20" s="528">
        <f>SUM(G5:G19)</f>
        <v>893430.98</v>
      </c>
      <c r="H20" s="529">
        <f t="shared" si="0"/>
        <v>84500.739999999874</v>
      </c>
      <c r="I20" s="254"/>
      <c r="J20" s="530">
        <f>SUM(J5:J19)</f>
        <v>5839754.7800000003</v>
      </c>
      <c r="K20" s="531">
        <f>SUM(K5:K19)</f>
        <v>6408677.7100000009</v>
      </c>
      <c r="L20" s="532">
        <f t="shared" si="50"/>
        <v>568922.93000000063</v>
      </c>
      <c r="M20" s="254"/>
      <c r="N20" s="527">
        <f>SUM(N5:N19)</f>
        <v>8897025.6099999994</v>
      </c>
      <c r="O20" s="528">
        <f>SUM(O5:O19)</f>
        <v>9878999.3300000001</v>
      </c>
      <c r="P20" s="529">
        <f t="shared" si="51"/>
        <v>981973.72000000067</v>
      </c>
      <c r="Q20" s="254"/>
      <c r="R20" s="530">
        <f>SUM(R5:R19)</f>
        <v>1280051.0799999996</v>
      </c>
      <c r="S20" s="531">
        <f>SUM(S5:S19)</f>
        <v>1151555.5499999998</v>
      </c>
      <c r="T20" s="532">
        <f t="shared" si="52"/>
        <v>-128495.5299999998</v>
      </c>
      <c r="U20" s="254"/>
      <c r="V20" s="527">
        <f>SUM(V5:V19)</f>
        <v>873963.67</v>
      </c>
      <c r="W20" s="528">
        <f>SUM(W5:W19)</f>
        <v>993415.29</v>
      </c>
      <c r="X20" s="529">
        <f t="shared" si="53"/>
        <v>119451.62</v>
      </c>
      <c r="Y20" s="254"/>
      <c r="Z20" s="530">
        <f>SUM(Z5:Z19)</f>
        <v>4455977.4999999991</v>
      </c>
      <c r="AA20" s="531">
        <f>SUM(AA5:AA19)</f>
        <v>5004866.4800000004</v>
      </c>
      <c r="AB20" s="532">
        <f t="shared" si="54"/>
        <v>548888.98000000138</v>
      </c>
      <c r="AC20" s="254"/>
      <c r="AD20" s="527">
        <f>SUM(AD5:AD19)</f>
        <v>5094755.08</v>
      </c>
      <c r="AE20" s="528">
        <f>SUM(AE5:AE19)</f>
        <v>5530790.5700000003</v>
      </c>
      <c r="AF20" s="529">
        <f t="shared" si="55"/>
        <v>436035.49000000022</v>
      </c>
      <c r="AG20" s="254"/>
      <c r="AH20" s="530">
        <f>SUM(AH5:AH19)</f>
        <v>4607913.0199999996</v>
      </c>
      <c r="AI20" s="531">
        <f>SUM(AI5:AI19)</f>
        <v>5042299.6400000006</v>
      </c>
      <c r="AJ20" s="532">
        <f t="shared" si="56"/>
        <v>434386.62000000104</v>
      </c>
      <c r="AK20" s="254"/>
      <c r="AL20" s="527">
        <f>SUM(AL5:AL19)</f>
        <v>10113443.59</v>
      </c>
      <c r="AM20" s="528">
        <f>SUM(AM5:AM19)</f>
        <v>10847329.879999999</v>
      </c>
      <c r="AN20" s="529">
        <f t="shared" si="57"/>
        <v>733886.28999999911</v>
      </c>
      <c r="AO20" s="254"/>
      <c r="AP20" s="530">
        <f>SUM(AP5:AP19)</f>
        <v>3903757.55</v>
      </c>
      <c r="AQ20" s="531">
        <f>SUM(AQ5:AQ19)</f>
        <v>4379669.91</v>
      </c>
      <c r="AR20" s="532">
        <f t="shared" si="58"/>
        <v>475912.36000000034</v>
      </c>
      <c r="AS20" s="254"/>
      <c r="AT20" s="527">
        <f>SUM(AT5:AT19)</f>
        <v>705312.15000000014</v>
      </c>
      <c r="AU20" s="528">
        <f>SUM(AU5:AU19)</f>
        <v>516025.03</v>
      </c>
      <c r="AV20" s="529">
        <f t="shared" si="59"/>
        <v>-189287.12000000011</v>
      </c>
      <c r="AW20" s="254"/>
      <c r="AX20" s="530">
        <f>SUM(AX5:AX19)</f>
        <v>8494410.1399999987</v>
      </c>
      <c r="AY20" s="531">
        <f>SUM(AY5:AY19)</f>
        <v>9299145.9899999984</v>
      </c>
      <c r="AZ20" s="532">
        <f t="shared" si="60"/>
        <v>804735.84999999963</v>
      </c>
      <c r="BA20" s="254"/>
      <c r="BB20" s="527">
        <f>SUM(BB5:BB19)</f>
        <v>2230639.6300000004</v>
      </c>
      <c r="BC20" s="528">
        <f>SUM(BC5:BC19)</f>
        <v>2437288.5699999998</v>
      </c>
      <c r="BD20" s="529">
        <f t="shared" si="61"/>
        <v>206648.93999999948</v>
      </c>
      <c r="BE20" s="254"/>
      <c r="BF20" s="530">
        <f>SUM(BF5:BF19)</f>
        <v>464561.33000000007</v>
      </c>
      <c r="BG20" s="531">
        <f>SUM(BG5:BG19)</f>
        <v>337651.27999999997</v>
      </c>
      <c r="BH20" s="532">
        <f t="shared" si="62"/>
        <v>-126910.0500000001</v>
      </c>
      <c r="BI20" s="254"/>
      <c r="BJ20" s="527">
        <f>SUM(BJ5:BJ19)</f>
        <v>1701036.83</v>
      </c>
      <c r="BK20" s="528">
        <f>SUM(BK5:BK19)</f>
        <v>1864724.6399999994</v>
      </c>
      <c r="BL20" s="529">
        <f t="shared" si="63"/>
        <v>163687.80999999936</v>
      </c>
      <c r="BM20" s="254"/>
      <c r="BN20" s="530">
        <f>SUM(BN5:BN19)</f>
        <v>4157020.2500000005</v>
      </c>
      <c r="BO20" s="531">
        <f>SUM(BO5:BO19)</f>
        <v>4539146.1500000004</v>
      </c>
      <c r="BP20" s="532">
        <f t="shared" si="64"/>
        <v>382125.89999999991</v>
      </c>
      <c r="BQ20" s="254"/>
      <c r="BR20" s="527">
        <f>SUM(BR5:BR19)</f>
        <v>5656187.0600000015</v>
      </c>
      <c r="BS20" s="528">
        <f>SUM(BS5:BS19)</f>
        <v>6240611.2199999997</v>
      </c>
      <c r="BT20" s="529">
        <f t="shared" si="65"/>
        <v>584424.15999999829</v>
      </c>
      <c r="BU20" s="254"/>
      <c r="BV20" s="530">
        <f>SUM(BV5:BV19)</f>
        <v>1078145.3500000001</v>
      </c>
      <c r="BW20" s="531">
        <f>SUM(BW5:BW19)</f>
        <v>1186945.18</v>
      </c>
      <c r="BX20" s="532">
        <f t="shared" si="66"/>
        <v>108799.82999999984</v>
      </c>
      <c r="BY20" s="254"/>
      <c r="BZ20" s="527">
        <f>SUM(BZ5:BZ19)</f>
        <v>1195162.97</v>
      </c>
      <c r="CA20" s="528">
        <f>SUM(CA5:CA19)</f>
        <v>977454.22</v>
      </c>
      <c r="CB20" s="529">
        <f t="shared" si="67"/>
        <v>-217708.75</v>
      </c>
      <c r="CC20" s="254"/>
      <c r="CD20" s="530">
        <f>SUM(CD5:CD19)</f>
        <v>2708187.61</v>
      </c>
      <c r="CE20" s="531">
        <f>SUM(CE5:CE19)</f>
        <v>2955434.4199999995</v>
      </c>
      <c r="CF20" s="532">
        <f t="shared" si="68"/>
        <v>247246.80999999959</v>
      </c>
      <c r="CG20" s="254"/>
      <c r="CH20" s="527">
        <f>SUM(CH5:CH19)</f>
        <v>2893387.4599999995</v>
      </c>
      <c r="CI20" s="528">
        <f>SUM(CI5:CI19)</f>
        <v>3170299.1900000004</v>
      </c>
      <c r="CJ20" s="529">
        <f t="shared" si="69"/>
        <v>276911.73000000091</v>
      </c>
      <c r="CK20" s="254"/>
      <c r="CL20" s="530">
        <f>SUM(CL5:CL19)</f>
        <v>2492529.0099999998</v>
      </c>
      <c r="CM20" s="531">
        <f>SUM(CM5:CM19)</f>
        <v>2707774.2199999997</v>
      </c>
      <c r="CN20" s="532">
        <f t="shared" si="70"/>
        <v>215245.20999999996</v>
      </c>
      <c r="CO20" s="254"/>
      <c r="CP20" s="527">
        <f>SUM(CP5:CP19)</f>
        <v>8013582.3099999996</v>
      </c>
      <c r="CQ20" s="528">
        <f>SUM(CQ5:CQ19)</f>
        <v>8712567.3600000013</v>
      </c>
      <c r="CR20" s="529">
        <f t="shared" si="71"/>
        <v>698985.05000000168</v>
      </c>
      <c r="CS20" s="254"/>
      <c r="CT20" s="530">
        <f>SUM(CT5:CT19)</f>
        <v>4246990.8</v>
      </c>
      <c r="CU20" s="531">
        <f>SUM(CU5:CU19)</f>
        <v>4645850.97</v>
      </c>
      <c r="CV20" s="532">
        <f t="shared" si="72"/>
        <v>398860.16999999993</v>
      </c>
      <c r="CW20" s="254"/>
      <c r="CX20" s="527">
        <f>SUM(CX5:CX19)</f>
        <v>4075924.41</v>
      </c>
      <c r="CY20" s="528">
        <f>SUM(CY5:CY19)</f>
        <v>4441173.99</v>
      </c>
      <c r="CZ20" s="529">
        <f t="shared" si="73"/>
        <v>365249.58000000007</v>
      </c>
      <c r="DA20" s="254"/>
      <c r="DB20" s="530">
        <f>SUM(DB5:DB19)</f>
        <v>2056965.0300000005</v>
      </c>
      <c r="DC20" s="531">
        <f>SUM(DC5:DC19)</f>
        <v>2236905.6800000002</v>
      </c>
      <c r="DD20" s="532">
        <f t="shared" si="74"/>
        <v>179940.64999999967</v>
      </c>
      <c r="DE20" s="254"/>
      <c r="DF20" s="527">
        <f>SUM(DF5:DF19)</f>
        <v>2739059.5799999996</v>
      </c>
      <c r="DG20" s="528">
        <f>SUM(DG5:DG19)</f>
        <v>2987857.5599999991</v>
      </c>
      <c r="DH20" s="529">
        <f t="shared" si="75"/>
        <v>248797.97999999952</v>
      </c>
      <c r="DI20" s="254"/>
      <c r="DJ20" s="530">
        <f>SUM(DJ5:DJ19)</f>
        <v>4480368.29</v>
      </c>
      <c r="DK20" s="531">
        <f>SUM(DK5:DK19)</f>
        <v>4945923.3000000007</v>
      </c>
      <c r="DL20" s="532">
        <f t="shared" si="76"/>
        <v>465555.01000000071</v>
      </c>
      <c r="DM20" s="254"/>
      <c r="DN20" s="527">
        <f>SUM(DN5:DN19)</f>
        <v>5760555.6000000006</v>
      </c>
      <c r="DO20" s="528">
        <f>SUM(DO5:DO19)</f>
        <v>6235459.9300000006</v>
      </c>
      <c r="DP20" s="529">
        <f t="shared" si="77"/>
        <v>474904.33000000007</v>
      </c>
      <c r="DQ20" s="254"/>
      <c r="DR20" s="530">
        <f>SUM(DR5:DR19)</f>
        <v>9330200.8500000015</v>
      </c>
      <c r="DS20" s="531">
        <f>SUM(DS5:DS19)</f>
        <v>10130677.510000002</v>
      </c>
      <c r="DT20" s="532">
        <f t="shared" si="78"/>
        <v>800476.66000000015</v>
      </c>
      <c r="DU20" s="254"/>
      <c r="DV20" s="527">
        <f>SUM(DV5:DV19)</f>
        <v>5250916.41</v>
      </c>
      <c r="DW20" s="528">
        <f>SUM(DW5:DW19)</f>
        <v>5759985.7699999996</v>
      </c>
      <c r="DX20" s="529">
        <f t="shared" si="79"/>
        <v>509069.3599999994</v>
      </c>
      <c r="DY20" s="254"/>
      <c r="DZ20" s="530">
        <f>SUM(DZ5:DZ19)</f>
        <v>7951383.4100000001</v>
      </c>
      <c r="EA20" s="531">
        <f>SUM(EA5:EA19)</f>
        <v>8642581.2200000007</v>
      </c>
      <c r="EB20" s="532">
        <f t="shared" si="80"/>
        <v>691197.81000000052</v>
      </c>
      <c r="EC20" s="254"/>
      <c r="ED20" s="527">
        <f>SUM(ED5:ED19)</f>
        <v>10509791.009999998</v>
      </c>
      <c r="EE20" s="528">
        <f>SUM(EE5:EE19)</f>
        <v>11409995.960000001</v>
      </c>
      <c r="EF20" s="529">
        <f t="shared" si="81"/>
        <v>900204.95000000298</v>
      </c>
      <c r="EG20" s="254"/>
      <c r="EH20" s="530">
        <f>SUM(EH5:EH19)</f>
        <v>2882288.34</v>
      </c>
      <c r="EI20" s="531">
        <f>SUM(EI5:EI19)</f>
        <v>3134026.3700000006</v>
      </c>
      <c r="EJ20" s="532">
        <f t="shared" si="82"/>
        <v>251738.03000000073</v>
      </c>
      <c r="EK20" s="254"/>
      <c r="EL20" s="527">
        <f>SUM(EL5:EL19)</f>
        <v>3754960.5399999996</v>
      </c>
      <c r="EM20" s="528">
        <f>SUM(EM5:EM19)</f>
        <v>4115648.0200000005</v>
      </c>
      <c r="EN20" s="529">
        <f t="shared" si="83"/>
        <v>360687.48000000091</v>
      </c>
      <c r="EO20" s="254"/>
      <c r="EP20" s="530">
        <f>SUM(EP5:EP19)</f>
        <v>624561.44000000006</v>
      </c>
      <c r="EQ20" s="531">
        <f>SUM(EQ5:EQ19)</f>
        <v>678695.68</v>
      </c>
      <c r="ER20" s="532">
        <f t="shared" si="84"/>
        <v>54134.239999999991</v>
      </c>
      <c r="ES20" s="254"/>
      <c r="ET20" s="527">
        <f>SUM(ET5:ET19)</f>
        <v>6425257.0500000007</v>
      </c>
      <c r="EU20" s="528">
        <f>SUM(EU5:EU19)</f>
        <v>6996901.4299999997</v>
      </c>
      <c r="EV20" s="529">
        <f t="shared" si="85"/>
        <v>571644.37999999896</v>
      </c>
      <c r="EW20" s="254"/>
      <c r="EX20" s="530">
        <f>SUM(EX5:EX19)</f>
        <v>6716252.6500000013</v>
      </c>
      <c r="EY20" s="531">
        <f>SUM(EY5:EY19)</f>
        <v>7344482.54</v>
      </c>
      <c r="EZ20" s="532">
        <f t="shared" si="86"/>
        <v>628229.88999999873</v>
      </c>
      <c r="FA20" s="254"/>
      <c r="FB20" s="527">
        <f>SUM(FB5:FB19)</f>
        <v>8342050.169999999</v>
      </c>
      <c r="FC20" s="528">
        <f>SUM(FC5:FC19)</f>
        <v>8998312.8599999994</v>
      </c>
      <c r="FD20" s="529">
        <f t="shared" si="87"/>
        <v>656262.69000000041</v>
      </c>
      <c r="FE20" s="254"/>
      <c r="FF20" s="530">
        <f>SUM(FF5:FF19)</f>
        <v>2281238.17</v>
      </c>
      <c r="FG20" s="531">
        <f>SUM(FG5:FG19)</f>
        <v>2468024.2599999998</v>
      </c>
      <c r="FH20" s="532">
        <f t="shared" si="88"/>
        <v>186786.08999999985</v>
      </c>
      <c r="FI20" s="254"/>
      <c r="FJ20" s="527">
        <f>SUM(FJ5:FJ19)</f>
        <v>1098615.0499999998</v>
      </c>
      <c r="FK20" s="528">
        <f>SUM(FK5:FK19)</f>
        <v>1203288.51</v>
      </c>
      <c r="FL20" s="529">
        <f t="shared" si="89"/>
        <v>104673.4600000002</v>
      </c>
      <c r="FM20" s="254"/>
      <c r="FN20" s="530">
        <f>SUM(FN5:FN19)</f>
        <v>2649788.6</v>
      </c>
      <c r="FO20" s="531">
        <f>SUM(FO5:FO19)</f>
        <v>2892882.02</v>
      </c>
      <c r="FP20" s="532">
        <f t="shared" si="90"/>
        <v>243093.41999999993</v>
      </c>
      <c r="FQ20" s="254"/>
      <c r="FR20" s="527">
        <f>SUM(FR5:FR19)</f>
        <v>3419278.3199999994</v>
      </c>
      <c r="FS20" s="528">
        <f>SUM(FS5:FS19)</f>
        <v>3719562.7200000007</v>
      </c>
      <c r="FT20" s="529">
        <f t="shared" si="91"/>
        <v>300284.4000000013</v>
      </c>
      <c r="FU20" s="254"/>
      <c r="FV20" s="530">
        <f>SUM(FV5:FV19)</f>
        <v>2706304.9699999997</v>
      </c>
      <c r="FW20" s="531">
        <f>SUM(FW5:FW19)</f>
        <v>3054478.8499999996</v>
      </c>
      <c r="FX20" s="532">
        <f t="shared" si="92"/>
        <v>348173.87999999989</v>
      </c>
      <c r="FY20" s="254"/>
      <c r="FZ20" s="527">
        <f>SUM(FZ5:FZ19)</f>
        <v>1407163.4700000002</v>
      </c>
      <c r="GA20" s="528">
        <f>SUM(GA5:GA19)</f>
        <v>1497998.54</v>
      </c>
      <c r="GB20" s="529">
        <f t="shared" si="93"/>
        <v>90835.069999999832</v>
      </c>
      <c r="GC20" s="254"/>
      <c r="GD20" s="530">
        <f>SUM(GD5:GD19)</f>
        <v>7752657</v>
      </c>
      <c r="GE20" s="531">
        <f>SUM(GE5:GE19)</f>
        <v>8499293.5299999993</v>
      </c>
      <c r="GF20" s="532">
        <f t="shared" si="94"/>
        <v>746636.52999999933</v>
      </c>
      <c r="GG20" s="254"/>
      <c r="GH20" s="527">
        <f>SUM(GH5:GH19)</f>
        <v>2398720.4099999997</v>
      </c>
      <c r="GI20" s="528">
        <f>SUM(GI5:GI19)</f>
        <v>2663160.08</v>
      </c>
      <c r="GJ20" s="529">
        <f t="shared" si="95"/>
        <v>264439.67000000039</v>
      </c>
      <c r="GK20" s="254"/>
      <c r="GL20" s="530">
        <f>SUM(GL5:GL19)</f>
        <v>296519.65000000002</v>
      </c>
      <c r="GM20" s="531">
        <f>SUM(GM5:GM19)</f>
        <v>319680.61000000004</v>
      </c>
      <c r="GN20" s="532">
        <f t="shared" si="96"/>
        <v>23160.960000000021</v>
      </c>
      <c r="GO20" s="254"/>
      <c r="GP20" s="527">
        <f>SUM(GP5:GP19)</f>
        <v>196823545.44</v>
      </c>
      <c r="GQ20" s="528">
        <f>SUM(GQ5:GQ19)</f>
        <v>214098950.72</v>
      </c>
      <c r="GR20" s="529">
        <f t="shared" si="97"/>
        <v>17275405.280000001</v>
      </c>
      <c r="GS20" s="533"/>
    </row>
    <row r="21" spans="1:201" x14ac:dyDescent="0.2">
      <c r="A21" s="224" t="s">
        <v>626</v>
      </c>
      <c r="B21" s="224" t="s">
        <v>627</v>
      </c>
      <c r="C21" s="224"/>
      <c r="D21" s="224"/>
      <c r="E21" s="224"/>
      <c r="F21" s="527">
        <f>F20-F6</f>
        <v>791738.89000000013</v>
      </c>
      <c r="G21" s="528">
        <f>G20-G6</f>
        <v>858822.12</v>
      </c>
      <c r="H21" s="529">
        <f t="shared" si="0"/>
        <v>67083.229999999865</v>
      </c>
      <c r="I21" s="254"/>
      <c r="J21" s="530">
        <f>J20-J6</f>
        <v>5642325.6699999999</v>
      </c>
      <c r="K21" s="531">
        <f>K20-K6</f>
        <v>6170336.620000001</v>
      </c>
      <c r="L21" s="532">
        <f t="shared" si="50"/>
        <v>528010.95000000112</v>
      </c>
      <c r="M21" s="254"/>
      <c r="N21" s="527">
        <f>N20-N6</f>
        <v>8608931.4699999988</v>
      </c>
      <c r="O21" s="528">
        <f>O20-O6</f>
        <v>9518673.9100000001</v>
      </c>
      <c r="P21" s="529">
        <f t="shared" si="51"/>
        <v>909742.44000000134</v>
      </c>
      <c r="Q21" s="254"/>
      <c r="R21" s="530">
        <f>R20-R6</f>
        <v>1239168.0199999996</v>
      </c>
      <c r="S21" s="531">
        <f>S20-S6</f>
        <v>1109278.8199999998</v>
      </c>
      <c r="T21" s="532">
        <f t="shared" si="52"/>
        <v>-129889.19999999972</v>
      </c>
      <c r="U21" s="254"/>
      <c r="V21" s="527">
        <f>V20-V6</f>
        <v>849582.70000000007</v>
      </c>
      <c r="W21" s="528">
        <f>W20-W6</f>
        <v>952821.83000000007</v>
      </c>
      <c r="X21" s="529">
        <f t="shared" si="53"/>
        <v>103239.13</v>
      </c>
      <c r="Y21" s="254"/>
      <c r="Z21" s="530">
        <f>Z20-Z6</f>
        <v>4297620.5999999987</v>
      </c>
      <c r="AA21" s="531">
        <f>AA20-AA6</f>
        <v>4799620.2600000007</v>
      </c>
      <c r="AB21" s="532">
        <f t="shared" si="54"/>
        <v>501999.66000000201</v>
      </c>
      <c r="AC21" s="254"/>
      <c r="AD21" s="527">
        <f>AD20-AD6</f>
        <v>4925609.45</v>
      </c>
      <c r="AE21" s="528">
        <f>AE20-AE6</f>
        <v>5321669.7200000007</v>
      </c>
      <c r="AF21" s="529">
        <f t="shared" si="55"/>
        <v>396060.27000000048</v>
      </c>
      <c r="AG21" s="254"/>
      <c r="AH21" s="530">
        <f>AH20-AH6</f>
        <v>4472478.34</v>
      </c>
      <c r="AI21" s="531">
        <f>AI20-AI6</f>
        <v>4849965.0000000009</v>
      </c>
      <c r="AJ21" s="532">
        <f t="shared" si="56"/>
        <v>377486.66000000108</v>
      </c>
      <c r="AK21" s="254"/>
      <c r="AL21" s="527">
        <f>AL20-AL6</f>
        <v>9778297.7599999998</v>
      </c>
      <c r="AM21" s="528">
        <f>AM20-AM6</f>
        <v>10409789.649999999</v>
      </c>
      <c r="AN21" s="529">
        <f t="shared" si="57"/>
        <v>631491.88999999873</v>
      </c>
      <c r="AO21" s="254"/>
      <c r="AP21" s="530">
        <f>AP20-AP6</f>
        <v>3774402.3499999996</v>
      </c>
      <c r="AQ21" s="531">
        <f>AQ20-AQ6</f>
        <v>4200468.33</v>
      </c>
      <c r="AR21" s="532">
        <f t="shared" si="58"/>
        <v>426065.98000000045</v>
      </c>
      <c r="AS21" s="254"/>
      <c r="AT21" s="527">
        <f>AT20-AT6</f>
        <v>690973.02000000014</v>
      </c>
      <c r="AU21" s="528">
        <f>AU20-AU6</f>
        <v>500479.2</v>
      </c>
      <c r="AV21" s="529">
        <f t="shared" si="59"/>
        <v>-190493.82000000012</v>
      </c>
      <c r="AW21" s="254"/>
      <c r="AX21" s="530">
        <f>AX20-AX6</f>
        <v>8211371.6199999992</v>
      </c>
      <c r="AY21" s="531">
        <f>AY20-AY6</f>
        <v>8946448.8899999987</v>
      </c>
      <c r="AZ21" s="532">
        <f t="shared" si="60"/>
        <v>735077.26999999955</v>
      </c>
      <c r="BA21" s="254"/>
      <c r="BB21" s="527">
        <f>BB20-BB6</f>
        <v>2162221.89</v>
      </c>
      <c r="BC21" s="528">
        <f>BC20-BC6</f>
        <v>2348398.42</v>
      </c>
      <c r="BD21" s="529">
        <f t="shared" si="61"/>
        <v>186176.5299999998</v>
      </c>
      <c r="BE21" s="254"/>
      <c r="BF21" s="530">
        <f>BF20-BF6</f>
        <v>457501.2900000001</v>
      </c>
      <c r="BG21" s="531">
        <f>BG20-BG6</f>
        <v>327435.06</v>
      </c>
      <c r="BH21" s="532">
        <f t="shared" si="62"/>
        <v>-130066.2300000001</v>
      </c>
      <c r="BI21" s="254"/>
      <c r="BJ21" s="527">
        <f>BJ20-BJ6</f>
        <v>1651855.9300000002</v>
      </c>
      <c r="BK21" s="528">
        <f>BK20-BK6</f>
        <v>1793103.4499999995</v>
      </c>
      <c r="BL21" s="529">
        <f t="shared" si="63"/>
        <v>141247.51999999932</v>
      </c>
      <c r="BM21" s="254"/>
      <c r="BN21" s="530">
        <f>BN20-BN6</f>
        <v>4018654.0700000003</v>
      </c>
      <c r="BO21" s="531">
        <f>BO20-BO6</f>
        <v>4364181.5500000007</v>
      </c>
      <c r="BP21" s="532">
        <f t="shared" si="64"/>
        <v>345527.48000000045</v>
      </c>
      <c r="BQ21" s="254"/>
      <c r="BR21" s="527">
        <f>BR20-BR6</f>
        <v>5527985.6100000013</v>
      </c>
      <c r="BS21" s="528">
        <f>BS20-BS6</f>
        <v>6005636.9399999995</v>
      </c>
      <c r="BT21" s="529">
        <f t="shared" si="65"/>
        <v>477651.32999999821</v>
      </c>
      <c r="BU21" s="254"/>
      <c r="BV21" s="530">
        <f>BV20-BV6</f>
        <v>1046156.1100000001</v>
      </c>
      <c r="BW21" s="531">
        <f>BW20-BW6</f>
        <v>1144262.74</v>
      </c>
      <c r="BX21" s="532">
        <f t="shared" si="66"/>
        <v>98106.629999999888</v>
      </c>
      <c r="BY21" s="254"/>
      <c r="BZ21" s="527">
        <f>BZ20-BZ6</f>
        <v>1171810.32</v>
      </c>
      <c r="CA21" s="528">
        <f>CA20-CA6</f>
        <v>947466.21</v>
      </c>
      <c r="CB21" s="529">
        <f t="shared" si="67"/>
        <v>-224344.1100000001</v>
      </c>
      <c r="CC21" s="254"/>
      <c r="CD21" s="530">
        <f>CD20-CD6</f>
        <v>2623854.1999999997</v>
      </c>
      <c r="CE21" s="531">
        <f>CE20-CE6</f>
        <v>2844019.8999999994</v>
      </c>
      <c r="CF21" s="532">
        <f t="shared" si="68"/>
        <v>220165.69999999972</v>
      </c>
      <c r="CG21" s="254"/>
      <c r="CH21" s="527">
        <f>CH20-CH6</f>
        <v>2799719.6199999996</v>
      </c>
      <c r="CI21" s="528">
        <f>CI20-CI6</f>
        <v>3049297.49</v>
      </c>
      <c r="CJ21" s="529">
        <f t="shared" si="69"/>
        <v>249577.87000000058</v>
      </c>
      <c r="CK21" s="254"/>
      <c r="CL21" s="530">
        <f>CL20-CL6</f>
        <v>2408002.0399999996</v>
      </c>
      <c r="CM21" s="531">
        <f>CM20-CM6</f>
        <v>2604295.6799999997</v>
      </c>
      <c r="CN21" s="532">
        <f t="shared" si="70"/>
        <v>196293.64000000013</v>
      </c>
      <c r="CO21" s="254"/>
      <c r="CP21" s="527">
        <f>CP20-CP6</f>
        <v>7750633.8499999996</v>
      </c>
      <c r="CQ21" s="528">
        <f>CQ20-CQ6</f>
        <v>8375750.1300000008</v>
      </c>
      <c r="CR21" s="529">
        <f t="shared" si="71"/>
        <v>625116.28000000119</v>
      </c>
      <c r="CS21" s="254"/>
      <c r="CT21" s="530">
        <f>CT20-CT6</f>
        <v>4112330.38</v>
      </c>
      <c r="CU21" s="531">
        <f>CU20-CU6</f>
        <v>4475482.2399999993</v>
      </c>
      <c r="CV21" s="532">
        <f t="shared" si="72"/>
        <v>363151.8599999994</v>
      </c>
      <c r="CW21" s="254"/>
      <c r="CX21" s="527">
        <f>CX20-CX6</f>
        <v>3940357.29</v>
      </c>
      <c r="CY21" s="528">
        <f>CY20-CY6</f>
        <v>4277167.6800000006</v>
      </c>
      <c r="CZ21" s="529">
        <f t="shared" si="73"/>
        <v>336810.3900000006</v>
      </c>
      <c r="DA21" s="254"/>
      <c r="DB21" s="530">
        <f>DB20-DB6</f>
        <v>1985422.2200000004</v>
      </c>
      <c r="DC21" s="531">
        <f>DC20-DC6</f>
        <v>2152384.21</v>
      </c>
      <c r="DD21" s="532">
        <f t="shared" si="74"/>
        <v>166961.98999999953</v>
      </c>
      <c r="DE21" s="254"/>
      <c r="DF21" s="527">
        <f>DF20-DF6</f>
        <v>2653893.3399999994</v>
      </c>
      <c r="DG21" s="528">
        <f>DG20-DG6</f>
        <v>2872110.8299999991</v>
      </c>
      <c r="DH21" s="529">
        <f t="shared" si="75"/>
        <v>218217.48999999976</v>
      </c>
      <c r="DI21" s="254"/>
      <c r="DJ21" s="530">
        <f>DJ20-DJ6</f>
        <v>4358228.5</v>
      </c>
      <c r="DK21" s="531">
        <f>DK20-DK6</f>
        <v>4760079.8000000007</v>
      </c>
      <c r="DL21" s="532">
        <f t="shared" si="76"/>
        <v>401851.30000000075</v>
      </c>
      <c r="DM21" s="254"/>
      <c r="DN21" s="527">
        <f>DN20-DN6</f>
        <v>5535395.6900000004</v>
      </c>
      <c r="DO21" s="528">
        <f>DO20-DO6</f>
        <v>5993948.5500000007</v>
      </c>
      <c r="DP21" s="529">
        <f t="shared" si="77"/>
        <v>458552.86000000034</v>
      </c>
      <c r="DQ21" s="254"/>
      <c r="DR21" s="530">
        <f>DR20-DR6</f>
        <v>9018249.7700000014</v>
      </c>
      <c r="DS21" s="531">
        <f>DS20-DS6</f>
        <v>9736738.3100000024</v>
      </c>
      <c r="DT21" s="532">
        <f t="shared" si="78"/>
        <v>718488.54000000097</v>
      </c>
      <c r="DU21" s="254"/>
      <c r="DV21" s="527">
        <f>DV20-DV6</f>
        <v>5075558.8600000003</v>
      </c>
      <c r="DW21" s="528">
        <f>DW20-DW6</f>
        <v>5541178.2799999993</v>
      </c>
      <c r="DX21" s="529">
        <f t="shared" si="79"/>
        <v>465619.41999999899</v>
      </c>
      <c r="DY21" s="254"/>
      <c r="DZ21" s="530">
        <f>DZ20-DZ6</f>
        <v>7684135.7599999998</v>
      </c>
      <c r="EA21" s="531">
        <f>EA20-EA6</f>
        <v>8306018.4400000004</v>
      </c>
      <c r="EB21" s="532">
        <f t="shared" si="80"/>
        <v>621882.68000000063</v>
      </c>
      <c r="EC21" s="254"/>
      <c r="ED21" s="527">
        <f>ED20-ED6</f>
        <v>10154983.009999998</v>
      </c>
      <c r="EE21" s="528">
        <f>EE20-EE6</f>
        <v>10970903.680000002</v>
      </c>
      <c r="EF21" s="529">
        <f t="shared" si="81"/>
        <v>815920.67000000365</v>
      </c>
      <c r="EG21" s="254"/>
      <c r="EH21" s="530">
        <f>EH20-EH6</f>
        <v>2788852.27</v>
      </c>
      <c r="EI21" s="531">
        <f>EI20-EI6</f>
        <v>3010197.5300000007</v>
      </c>
      <c r="EJ21" s="532">
        <f t="shared" si="82"/>
        <v>221345.26000000071</v>
      </c>
      <c r="EK21" s="254"/>
      <c r="EL21" s="527">
        <f>EL20-EL6</f>
        <v>3663312.3999999994</v>
      </c>
      <c r="EM21" s="528">
        <f>EM20-EM6</f>
        <v>3956054.7600000007</v>
      </c>
      <c r="EN21" s="529">
        <f t="shared" si="83"/>
        <v>292742.36000000127</v>
      </c>
      <c r="EO21" s="254"/>
      <c r="EP21" s="530">
        <f>EP20-EP6</f>
        <v>602120.58000000007</v>
      </c>
      <c r="EQ21" s="531">
        <f>EQ20-EQ6</f>
        <v>652869.09000000008</v>
      </c>
      <c r="ER21" s="532">
        <f t="shared" si="84"/>
        <v>50748.510000000009</v>
      </c>
      <c r="ES21" s="254"/>
      <c r="ET21" s="527">
        <f>ET20-ET6</f>
        <v>6222545.6500000004</v>
      </c>
      <c r="EU21" s="528">
        <f>EU20-EU6</f>
        <v>6723996.3899999997</v>
      </c>
      <c r="EV21" s="529">
        <f t="shared" si="85"/>
        <v>501450.73999999929</v>
      </c>
      <c r="EW21" s="254"/>
      <c r="EX21" s="530">
        <f>EX20-EX6</f>
        <v>6509318.4600000009</v>
      </c>
      <c r="EY21" s="531">
        <f>EY20-EY6</f>
        <v>7060034.0199999996</v>
      </c>
      <c r="EZ21" s="532">
        <f t="shared" si="86"/>
        <v>550715.55999999866</v>
      </c>
      <c r="FA21" s="254"/>
      <c r="FB21" s="527">
        <f>FB20-FB6</f>
        <v>8051610.3199999994</v>
      </c>
      <c r="FC21" s="528">
        <f>FC20-FC6</f>
        <v>8652699.0599999987</v>
      </c>
      <c r="FD21" s="529">
        <f t="shared" si="87"/>
        <v>601088.73999999929</v>
      </c>
      <c r="FE21" s="254"/>
      <c r="FF21" s="530">
        <f>FF20-FF6</f>
        <v>2195486.13</v>
      </c>
      <c r="FG21" s="531">
        <f>FG20-FG6</f>
        <v>2373303.2399999998</v>
      </c>
      <c r="FH21" s="532">
        <f t="shared" si="88"/>
        <v>177817.10999999987</v>
      </c>
      <c r="FI21" s="254"/>
      <c r="FJ21" s="527">
        <f>FJ20-FJ6</f>
        <v>1062779.9799999997</v>
      </c>
      <c r="FK21" s="528">
        <f>FK20-FK6</f>
        <v>1158620.81</v>
      </c>
      <c r="FL21" s="529">
        <f t="shared" si="89"/>
        <v>95840.830000000307</v>
      </c>
      <c r="FM21" s="254"/>
      <c r="FN21" s="530">
        <f>FN20-FN6</f>
        <v>2557664.1800000002</v>
      </c>
      <c r="FO21" s="531">
        <f>FO20-FO6</f>
        <v>2781700.12</v>
      </c>
      <c r="FP21" s="532">
        <f t="shared" si="90"/>
        <v>224035.93999999994</v>
      </c>
      <c r="FQ21" s="254"/>
      <c r="FR21" s="527">
        <f>FR20-FR6</f>
        <v>3304061.0399999996</v>
      </c>
      <c r="FS21" s="528">
        <f>FS20-FS6</f>
        <v>3574491.2900000005</v>
      </c>
      <c r="FT21" s="529">
        <f t="shared" si="91"/>
        <v>270430.25000000093</v>
      </c>
      <c r="FU21" s="254"/>
      <c r="FV21" s="530">
        <f>FV20-FV6</f>
        <v>2622419.8199999998</v>
      </c>
      <c r="FW21" s="531">
        <f>FW20-FW6</f>
        <v>2929500.55</v>
      </c>
      <c r="FX21" s="532">
        <f t="shared" si="92"/>
        <v>307080.73</v>
      </c>
      <c r="FY21" s="254"/>
      <c r="FZ21" s="527">
        <f>FZ20-FZ6</f>
        <v>1337999.4800000002</v>
      </c>
      <c r="GA21" s="528">
        <f>GA20-GA6</f>
        <v>1440204.31</v>
      </c>
      <c r="GB21" s="529">
        <f t="shared" si="93"/>
        <v>102204.82999999984</v>
      </c>
      <c r="GC21" s="254"/>
      <c r="GD21" s="530">
        <f>GD20-GD6</f>
        <v>7538163.5700000003</v>
      </c>
      <c r="GE21" s="531">
        <f>GE20-GE6</f>
        <v>8169269.129999999</v>
      </c>
      <c r="GF21" s="532">
        <f t="shared" si="94"/>
        <v>631105.55999999866</v>
      </c>
      <c r="GG21" s="254"/>
      <c r="GH21" s="527">
        <f>GH20-GH6</f>
        <v>2327037.5299999998</v>
      </c>
      <c r="GI21" s="528">
        <f>GI20-GI6</f>
        <v>2561199.0300000003</v>
      </c>
      <c r="GJ21" s="529">
        <f t="shared" si="95"/>
        <v>234161.50000000047</v>
      </c>
      <c r="GK21" s="254"/>
      <c r="GL21" s="530">
        <f>GL20-GL6</f>
        <v>287613.09000000003</v>
      </c>
      <c r="GM21" s="531">
        <f>GM20-GM6</f>
        <v>307325.89000000007</v>
      </c>
      <c r="GN21" s="532">
        <f t="shared" si="96"/>
        <v>19712.800000000047</v>
      </c>
      <c r="GO21" s="254"/>
      <c r="GP21" s="527">
        <f t="shared" ref="GP21:GQ23" si="98">SUM(F21,J21,N21,R21,V21,Z21,AD21,AH21,AL21,AP21,AT21,AX21,BB21,BF21,BJ21,BN21,BR21,BV21,BZ21,CD21,CH21,CL21,CP21,CT21,CX21,DB21,DF21,DJ21,DN21,DR21,DV21,DZ21,ED21,EH21,EL21,EP21,ET21,EX21,FB21,FF21,FJ21,FN21,FR21,FV21,FZ21,GD21,GH21,GL21)</f>
        <v>190490434.14000002</v>
      </c>
      <c r="GQ21" s="528">
        <f t="shared" si="98"/>
        <v>205879699.16</v>
      </c>
      <c r="GR21" s="529">
        <f t="shared" si="97"/>
        <v>15389265.019999981</v>
      </c>
      <c r="GS21" s="533"/>
    </row>
    <row r="22" spans="1:201" x14ac:dyDescent="0.2">
      <c r="A22" s="224" t="s">
        <v>628</v>
      </c>
      <c r="B22" s="224" t="s">
        <v>629</v>
      </c>
      <c r="C22" s="224"/>
      <c r="D22" s="224"/>
      <c r="E22" s="224"/>
      <c r="F22" s="527">
        <v>0</v>
      </c>
      <c r="G22" s="528">
        <v>0</v>
      </c>
      <c r="H22" s="529">
        <f t="shared" si="0"/>
        <v>0</v>
      </c>
      <c r="I22" s="254"/>
      <c r="J22" s="530">
        <v>0</v>
      </c>
      <c r="K22" s="531">
        <v>0</v>
      </c>
      <c r="L22" s="532">
        <f t="shared" si="50"/>
        <v>0</v>
      </c>
      <c r="M22" s="254"/>
      <c r="N22" s="527">
        <v>0</v>
      </c>
      <c r="O22" s="528">
        <v>0</v>
      </c>
      <c r="P22" s="529">
        <f t="shared" si="51"/>
        <v>0</v>
      </c>
      <c r="Q22" s="254"/>
      <c r="R22" s="530">
        <v>514286</v>
      </c>
      <c r="S22" s="531">
        <v>641654.89</v>
      </c>
      <c r="T22" s="532">
        <f t="shared" si="52"/>
        <v>127368.89000000001</v>
      </c>
      <c r="U22" s="254"/>
      <c r="V22" s="527">
        <v>196557</v>
      </c>
      <c r="W22" s="528">
        <v>213381.81</v>
      </c>
      <c r="X22" s="529">
        <f t="shared" si="53"/>
        <v>16824.809999999998</v>
      </c>
      <c r="Y22" s="254"/>
      <c r="Z22" s="530">
        <v>1054824</v>
      </c>
      <c r="AA22" s="531">
        <v>1135151.53</v>
      </c>
      <c r="AB22" s="532">
        <f t="shared" si="54"/>
        <v>80327.530000000028</v>
      </c>
      <c r="AC22" s="254"/>
      <c r="AD22" s="527">
        <v>0</v>
      </c>
      <c r="AE22" s="528">
        <v>0</v>
      </c>
      <c r="AF22" s="529">
        <f t="shared" si="55"/>
        <v>0</v>
      </c>
      <c r="AG22" s="254"/>
      <c r="AH22" s="530">
        <v>0</v>
      </c>
      <c r="AI22" s="531">
        <v>0</v>
      </c>
      <c r="AJ22" s="532">
        <f t="shared" si="56"/>
        <v>0</v>
      </c>
      <c r="AK22" s="254"/>
      <c r="AL22" s="527">
        <v>2771416</v>
      </c>
      <c r="AM22" s="528">
        <v>3136958.52</v>
      </c>
      <c r="AN22" s="529">
        <f t="shared" si="57"/>
        <v>365542.52</v>
      </c>
      <c r="AO22" s="254"/>
      <c r="AP22" s="530">
        <v>887534</v>
      </c>
      <c r="AQ22" s="531">
        <v>975839.35</v>
      </c>
      <c r="AR22" s="532">
        <f t="shared" si="58"/>
        <v>88305.349999999977</v>
      </c>
      <c r="AS22" s="254"/>
      <c r="AT22" s="527">
        <v>380311</v>
      </c>
      <c r="AU22" s="528">
        <v>504693.84</v>
      </c>
      <c r="AV22" s="529">
        <f t="shared" si="59"/>
        <v>124382.84000000003</v>
      </c>
      <c r="AW22" s="254"/>
      <c r="AX22" s="530">
        <v>0</v>
      </c>
      <c r="AY22" s="531">
        <v>0</v>
      </c>
      <c r="AZ22" s="532">
        <f t="shared" si="60"/>
        <v>0</v>
      </c>
      <c r="BA22" s="254"/>
      <c r="BB22" s="527">
        <v>0</v>
      </c>
      <c r="BC22" s="528">
        <v>0</v>
      </c>
      <c r="BD22" s="529">
        <f t="shared" si="61"/>
        <v>0</v>
      </c>
      <c r="BE22" s="254"/>
      <c r="BF22" s="530">
        <v>248310</v>
      </c>
      <c r="BG22" s="531">
        <v>330174.78000000003</v>
      </c>
      <c r="BH22" s="532">
        <f t="shared" si="62"/>
        <v>81864.780000000028</v>
      </c>
      <c r="BI22" s="254"/>
      <c r="BJ22" s="527">
        <v>0</v>
      </c>
      <c r="BK22" s="528">
        <v>0</v>
      </c>
      <c r="BL22" s="529">
        <f t="shared" si="63"/>
        <v>0</v>
      </c>
      <c r="BM22" s="254"/>
      <c r="BN22" s="530">
        <v>0</v>
      </c>
      <c r="BO22" s="531">
        <v>0</v>
      </c>
      <c r="BP22" s="532">
        <f t="shared" si="64"/>
        <v>0</v>
      </c>
      <c r="BQ22" s="254"/>
      <c r="BR22" s="527">
        <v>0</v>
      </c>
      <c r="BS22" s="528">
        <v>0</v>
      </c>
      <c r="BT22" s="529">
        <f t="shared" si="65"/>
        <v>0</v>
      </c>
      <c r="BU22" s="254"/>
      <c r="BV22" s="530">
        <v>0</v>
      </c>
      <c r="BW22" s="531">
        <v>0</v>
      </c>
      <c r="BX22" s="532">
        <f t="shared" si="66"/>
        <v>0</v>
      </c>
      <c r="BY22" s="254"/>
      <c r="BZ22" s="527">
        <v>716287</v>
      </c>
      <c r="CA22" s="528">
        <v>955863.83</v>
      </c>
      <c r="CB22" s="529">
        <f t="shared" si="67"/>
        <v>239576.82999999996</v>
      </c>
      <c r="CC22" s="254"/>
      <c r="CD22" s="530">
        <v>0</v>
      </c>
      <c r="CE22" s="531">
        <v>0</v>
      </c>
      <c r="CF22" s="532">
        <f t="shared" si="68"/>
        <v>0</v>
      </c>
      <c r="CG22" s="254"/>
      <c r="CH22" s="527">
        <v>0</v>
      </c>
      <c r="CI22" s="528">
        <v>0</v>
      </c>
      <c r="CJ22" s="529">
        <f t="shared" si="69"/>
        <v>0</v>
      </c>
      <c r="CK22" s="254"/>
      <c r="CL22" s="530">
        <v>0</v>
      </c>
      <c r="CM22" s="531">
        <v>0</v>
      </c>
      <c r="CN22" s="532">
        <f t="shared" si="70"/>
        <v>0</v>
      </c>
      <c r="CO22" s="254"/>
      <c r="CP22" s="527">
        <v>0</v>
      </c>
      <c r="CQ22" s="528">
        <v>0</v>
      </c>
      <c r="CR22" s="529">
        <f t="shared" si="71"/>
        <v>0</v>
      </c>
      <c r="CS22" s="254"/>
      <c r="CT22" s="530">
        <v>0</v>
      </c>
      <c r="CU22" s="531">
        <v>0</v>
      </c>
      <c r="CV22" s="532">
        <f t="shared" si="72"/>
        <v>0</v>
      </c>
      <c r="CW22" s="254"/>
      <c r="CX22" s="527">
        <v>0</v>
      </c>
      <c r="CY22" s="528">
        <v>0</v>
      </c>
      <c r="CZ22" s="529">
        <f t="shared" si="73"/>
        <v>0</v>
      </c>
      <c r="DA22" s="254"/>
      <c r="DB22" s="530">
        <v>0</v>
      </c>
      <c r="DC22" s="531">
        <v>0</v>
      </c>
      <c r="DD22" s="532">
        <f t="shared" si="74"/>
        <v>0</v>
      </c>
      <c r="DE22" s="254"/>
      <c r="DF22" s="527">
        <v>0</v>
      </c>
      <c r="DG22" s="528">
        <v>0</v>
      </c>
      <c r="DH22" s="529">
        <f t="shared" si="75"/>
        <v>0</v>
      </c>
      <c r="DI22" s="254"/>
      <c r="DJ22" s="530">
        <v>0</v>
      </c>
      <c r="DK22" s="531">
        <v>0</v>
      </c>
      <c r="DL22" s="532">
        <f t="shared" si="76"/>
        <v>0</v>
      </c>
      <c r="DM22" s="254"/>
      <c r="DN22" s="527">
        <v>0</v>
      </c>
      <c r="DO22" s="528">
        <v>0</v>
      </c>
      <c r="DP22" s="529">
        <f t="shared" si="77"/>
        <v>0</v>
      </c>
      <c r="DQ22" s="254"/>
      <c r="DR22" s="530">
        <v>0</v>
      </c>
      <c r="DS22" s="531">
        <v>0</v>
      </c>
      <c r="DT22" s="532">
        <f t="shared" si="78"/>
        <v>0</v>
      </c>
      <c r="DU22" s="254"/>
      <c r="DV22" s="527">
        <v>0</v>
      </c>
      <c r="DW22" s="528">
        <v>0</v>
      </c>
      <c r="DX22" s="529">
        <f t="shared" si="79"/>
        <v>0</v>
      </c>
      <c r="DY22" s="254"/>
      <c r="DZ22" s="530">
        <v>0</v>
      </c>
      <c r="EA22" s="531">
        <v>0</v>
      </c>
      <c r="EB22" s="532">
        <f t="shared" si="80"/>
        <v>0</v>
      </c>
      <c r="EC22" s="254"/>
      <c r="ED22" s="527">
        <v>0</v>
      </c>
      <c r="EE22" s="528">
        <v>0</v>
      </c>
      <c r="EF22" s="529">
        <f t="shared" si="81"/>
        <v>0</v>
      </c>
      <c r="EG22" s="254"/>
      <c r="EH22" s="530">
        <v>0</v>
      </c>
      <c r="EI22" s="531">
        <v>0</v>
      </c>
      <c r="EJ22" s="532">
        <f t="shared" si="82"/>
        <v>0</v>
      </c>
      <c r="EK22" s="254"/>
      <c r="EL22" s="527">
        <v>0</v>
      </c>
      <c r="EM22" s="528">
        <v>0</v>
      </c>
      <c r="EN22" s="529">
        <f t="shared" si="83"/>
        <v>0</v>
      </c>
      <c r="EO22" s="254"/>
      <c r="EP22" s="530">
        <v>0</v>
      </c>
      <c r="EQ22" s="531">
        <v>0</v>
      </c>
      <c r="ER22" s="532">
        <f t="shared" si="84"/>
        <v>0</v>
      </c>
      <c r="ES22" s="254"/>
      <c r="ET22" s="527">
        <v>0</v>
      </c>
      <c r="EU22" s="528">
        <v>0</v>
      </c>
      <c r="EV22" s="529">
        <f t="shared" si="85"/>
        <v>0</v>
      </c>
      <c r="EW22" s="254"/>
      <c r="EX22" s="530">
        <v>0</v>
      </c>
      <c r="EY22" s="531">
        <v>0</v>
      </c>
      <c r="EZ22" s="532">
        <f t="shared" si="86"/>
        <v>0</v>
      </c>
      <c r="FA22" s="254"/>
      <c r="FB22" s="527">
        <v>0</v>
      </c>
      <c r="FC22" s="528">
        <v>0</v>
      </c>
      <c r="FD22" s="529">
        <f t="shared" si="87"/>
        <v>0</v>
      </c>
      <c r="FE22" s="254"/>
      <c r="FF22" s="530">
        <v>0</v>
      </c>
      <c r="FG22" s="531">
        <v>0</v>
      </c>
      <c r="FH22" s="532">
        <f t="shared" si="88"/>
        <v>0</v>
      </c>
      <c r="FI22" s="254"/>
      <c r="FJ22" s="527">
        <v>0</v>
      </c>
      <c r="FK22" s="528">
        <v>0</v>
      </c>
      <c r="FL22" s="529">
        <f t="shared" si="89"/>
        <v>0</v>
      </c>
      <c r="FM22" s="254"/>
      <c r="FN22" s="530">
        <v>0</v>
      </c>
      <c r="FO22" s="531">
        <v>0</v>
      </c>
      <c r="FP22" s="532">
        <f t="shared" si="90"/>
        <v>0</v>
      </c>
      <c r="FQ22" s="254"/>
      <c r="FR22" s="527">
        <v>0</v>
      </c>
      <c r="FS22" s="528">
        <v>0</v>
      </c>
      <c r="FT22" s="529">
        <f t="shared" si="91"/>
        <v>0</v>
      </c>
      <c r="FU22" s="254"/>
      <c r="FV22" s="530">
        <v>624754</v>
      </c>
      <c r="FW22" s="531">
        <v>676993.83</v>
      </c>
      <c r="FX22" s="532">
        <f t="shared" si="92"/>
        <v>52239.829999999958</v>
      </c>
      <c r="FY22" s="254"/>
      <c r="FZ22" s="527">
        <v>0</v>
      </c>
      <c r="GA22" s="528">
        <v>0</v>
      </c>
      <c r="GB22" s="529">
        <f t="shared" si="93"/>
        <v>0</v>
      </c>
      <c r="GC22" s="254"/>
      <c r="GD22" s="530">
        <v>0</v>
      </c>
      <c r="GE22" s="531">
        <v>0</v>
      </c>
      <c r="GF22" s="532">
        <f t="shared" si="94"/>
        <v>0</v>
      </c>
      <c r="GG22" s="254"/>
      <c r="GH22" s="527">
        <v>0</v>
      </c>
      <c r="GI22" s="528">
        <v>0</v>
      </c>
      <c r="GJ22" s="529">
        <f t="shared" si="95"/>
        <v>0</v>
      </c>
      <c r="GK22" s="254"/>
      <c r="GL22" s="530">
        <v>0</v>
      </c>
      <c r="GM22" s="531">
        <v>0</v>
      </c>
      <c r="GN22" s="532">
        <f t="shared" si="96"/>
        <v>0</v>
      </c>
      <c r="GO22" s="254"/>
      <c r="GP22" s="527">
        <f t="shared" si="98"/>
        <v>7394279</v>
      </c>
      <c r="GQ22" s="528">
        <f t="shared" si="98"/>
        <v>8570712.379999999</v>
      </c>
      <c r="GR22" s="529">
        <f t="shared" si="97"/>
        <v>1176433.379999999</v>
      </c>
      <c r="GS22" s="533"/>
    </row>
    <row r="23" spans="1:201" x14ac:dyDescent="0.2">
      <c r="B23" s="526" t="s">
        <v>79</v>
      </c>
      <c r="C23" s="526"/>
      <c r="D23" s="526"/>
      <c r="E23" s="526"/>
      <c r="F23" s="527">
        <v>-39586.94</v>
      </c>
      <c r="G23" s="528">
        <v>-42941.11</v>
      </c>
      <c r="H23" s="529">
        <f t="shared" si="0"/>
        <v>-3354.1699999999983</v>
      </c>
      <c r="I23" s="254"/>
      <c r="J23" s="530">
        <v>-38014.400000000001</v>
      </c>
      <c r="K23" s="531">
        <v>-41571.800000000003</v>
      </c>
      <c r="L23" s="532">
        <f t="shared" si="50"/>
        <v>-3557.4000000000015</v>
      </c>
      <c r="M23" s="254"/>
      <c r="N23" s="527">
        <v>-38336.199999999997</v>
      </c>
      <c r="O23" s="528">
        <v>-42387.35</v>
      </c>
      <c r="P23" s="529">
        <f t="shared" si="51"/>
        <v>-4051.1500000000015</v>
      </c>
      <c r="Q23" s="254"/>
      <c r="R23" s="530">
        <v>-25714.3</v>
      </c>
      <c r="S23" s="531">
        <v>-32082.74</v>
      </c>
      <c r="T23" s="532">
        <f t="shared" si="52"/>
        <v>-6368.4400000000023</v>
      </c>
      <c r="U23" s="254"/>
      <c r="V23" s="527">
        <v>-9827.85</v>
      </c>
      <c r="W23" s="528">
        <v>-10669.09</v>
      </c>
      <c r="X23" s="529">
        <f t="shared" si="53"/>
        <v>-841.23999999999978</v>
      </c>
      <c r="Y23" s="254"/>
      <c r="Z23" s="530">
        <v>-52741.2</v>
      </c>
      <c r="AA23" s="531">
        <v>-56757.58</v>
      </c>
      <c r="AB23" s="532">
        <f t="shared" si="54"/>
        <v>-4016.3800000000047</v>
      </c>
      <c r="AC23" s="254"/>
      <c r="AD23" s="527">
        <v>-104003.58</v>
      </c>
      <c r="AE23" s="528">
        <v>-112366.34</v>
      </c>
      <c r="AF23" s="529">
        <f t="shared" si="55"/>
        <v>-8362.7599999999948</v>
      </c>
      <c r="AG23" s="254"/>
      <c r="AH23" s="530">
        <v>-38864.080000000002</v>
      </c>
      <c r="AI23" s="531">
        <v>-42144.29</v>
      </c>
      <c r="AJ23" s="532">
        <f t="shared" si="56"/>
        <v>-3280.2099999999991</v>
      </c>
      <c r="AK23" s="254"/>
      <c r="AL23" s="527">
        <v>-89641.1</v>
      </c>
      <c r="AM23" s="528">
        <v>-101464.53</v>
      </c>
      <c r="AN23" s="529">
        <f t="shared" si="57"/>
        <v>-11823.429999999993</v>
      </c>
      <c r="AO23" s="254"/>
      <c r="AP23" s="530">
        <v>-44376.7</v>
      </c>
      <c r="AQ23" s="531">
        <v>-48791.97</v>
      </c>
      <c r="AR23" s="532">
        <f t="shared" si="58"/>
        <v>-4415.2700000000041</v>
      </c>
      <c r="AS23" s="254"/>
      <c r="AT23" s="527">
        <v>-19015.55</v>
      </c>
      <c r="AU23" s="528">
        <v>-25234.69</v>
      </c>
      <c r="AV23" s="529">
        <f t="shared" si="59"/>
        <v>-6219.1399999999994</v>
      </c>
      <c r="AW23" s="254"/>
      <c r="AX23" s="530">
        <v>-39231.79</v>
      </c>
      <c r="AY23" s="531">
        <v>-42743.8</v>
      </c>
      <c r="AZ23" s="532">
        <f t="shared" si="60"/>
        <v>-3512.010000000002</v>
      </c>
      <c r="BA23" s="254"/>
      <c r="BB23" s="527">
        <v>-102308.17</v>
      </c>
      <c r="BC23" s="528">
        <v>-111117.35</v>
      </c>
      <c r="BD23" s="529">
        <f t="shared" si="61"/>
        <v>-8809.1800000000076</v>
      </c>
      <c r="BE23" s="254"/>
      <c r="BF23" s="530">
        <v>-12415.5</v>
      </c>
      <c r="BG23" s="531">
        <v>-16508.740000000002</v>
      </c>
      <c r="BH23" s="532">
        <f t="shared" si="62"/>
        <v>-4093.2400000000016</v>
      </c>
      <c r="BI23" s="254"/>
      <c r="BJ23" s="527">
        <v>-82592.800000000003</v>
      </c>
      <c r="BK23" s="528">
        <v>-89655.17</v>
      </c>
      <c r="BL23" s="529">
        <f t="shared" si="63"/>
        <v>-7062.3699999999953</v>
      </c>
      <c r="BM23" s="254"/>
      <c r="BN23" s="530">
        <v>-98475.18</v>
      </c>
      <c r="BO23" s="531">
        <v>-106942.17</v>
      </c>
      <c r="BP23" s="532">
        <f t="shared" si="64"/>
        <v>-8466.9900000000052</v>
      </c>
      <c r="BQ23" s="254"/>
      <c r="BR23" s="527">
        <v>-93491.839999999997</v>
      </c>
      <c r="BS23" s="528">
        <v>-101570.1</v>
      </c>
      <c r="BT23" s="529">
        <f t="shared" si="65"/>
        <v>-8078.2600000000093</v>
      </c>
      <c r="BU23" s="254"/>
      <c r="BV23" s="530">
        <v>-52307.81</v>
      </c>
      <c r="BW23" s="531">
        <v>-57213.14</v>
      </c>
      <c r="BX23" s="532">
        <f t="shared" si="66"/>
        <v>-4905.3300000000017</v>
      </c>
      <c r="BY23" s="254"/>
      <c r="BZ23" s="527">
        <v>-35814.35</v>
      </c>
      <c r="CA23" s="528">
        <v>-47793.19</v>
      </c>
      <c r="CB23" s="529">
        <f t="shared" si="67"/>
        <v>-11978.840000000004</v>
      </c>
      <c r="CC23" s="254"/>
      <c r="CD23" s="530">
        <v>-93644.86</v>
      </c>
      <c r="CE23" s="531">
        <v>-101502.54</v>
      </c>
      <c r="CF23" s="532">
        <f t="shared" si="68"/>
        <v>-7857.679999999993</v>
      </c>
      <c r="CG23" s="254"/>
      <c r="CH23" s="527">
        <v>-40053.21</v>
      </c>
      <c r="CI23" s="528">
        <v>-43623.71</v>
      </c>
      <c r="CJ23" s="529">
        <f t="shared" si="69"/>
        <v>-3570.5</v>
      </c>
      <c r="CK23" s="254"/>
      <c r="CL23" s="530">
        <v>-92504.46</v>
      </c>
      <c r="CM23" s="531">
        <v>-100045.16</v>
      </c>
      <c r="CN23" s="532">
        <f t="shared" si="70"/>
        <v>-7540.6999999999971</v>
      </c>
      <c r="CO23" s="254"/>
      <c r="CP23" s="527">
        <v>-38846.01</v>
      </c>
      <c r="CQ23" s="528">
        <v>-41979.08</v>
      </c>
      <c r="CR23" s="529">
        <f t="shared" si="71"/>
        <v>-3133.0699999999997</v>
      </c>
      <c r="CS23" s="254"/>
      <c r="CT23" s="530">
        <v>-96246.19</v>
      </c>
      <c r="CU23" s="531">
        <v>-104745.51</v>
      </c>
      <c r="CV23" s="532">
        <f t="shared" si="72"/>
        <v>-8499.3199999999924</v>
      </c>
      <c r="CW23" s="254"/>
      <c r="CX23" s="527">
        <v>-97022.55</v>
      </c>
      <c r="CY23" s="528">
        <v>-105315.75</v>
      </c>
      <c r="CZ23" s="529">
        <f t="shared" si="73"/>
        <v>-8293.1999999999971</v>
      </c>
      <c r="DA23" s="254"/>
      <c r="DB23" s="530">
        <v>-39708.44</v>
      </c>
      <c r="DC23" s="531">
        <v>-43047.68</v>
      </c>
      <c r="DD23" s="532">
        <f t="shared" si="74"/>
        <v>-3339.239999999998</v>
      </c>
      <c r="DE23" s="254"/>
      <c r="DF23" s="527">
        <v>-38526.99</v>
      </c>
      <c r="DG23" s="528">
        <v>-41694.89</v>
      </c>
      <c r="DH23" s="529">
        <f t="shared" si="75"/>
        <v>-3167.9000000000015</v>
      </c>
      <c r="DI23" s="254"/>
      <c r="DJ23" s="530">
        <v>-93448.82</v>
      </c>
      <c r="DK23" s="531">
        <v>-102065.28</v>
      </c>
      <c r="DL23" s="532">
        <f t="shared" si="76"/>
        <v>-8616.4599999999919</v>
      </c>
      <c r="DM23" s="254"/>
      <c r="DN23" s="527">
        <v>-97146.29</v>
      </c>
      <c r="DO23" s="528">
        <v>-105193.9</v>
      </c>
      <c r="DP23" s="529">
        <f t="shared" si="77"/>
        <v>-8047.6100000000006</v>
      </c>
      <c r="DQ23" s="254"/>
      <c r="DR23" s="530">
        <v>-98577.34</v>
      </c>
      <c r="DS23" s="531">
        <v>-106431.05</v>
      </c>
      <c r="DT23" s="532">
        <f t="shared" si="78"/>
        <v>-7853.7100000000064</v>
      </c>
      <c r="DU23" s="254"/>
      <c r="DV23" s="527">
        <v>-37065.19</v>
      </c>
      <c r="DW23" s="528">
        <v>-40465.46</v>
      </c>
      <c r="DX23" s="529">
        <f t="shared" si="79"/>
        <v>-3400.2699999999968</v>
      </c>
      <c r="DY23" s="254"/>
      <c r="DZ23" s="530">
        <v>-36234.300000000003</v>
      </c>
      <c r="EA23" s="531">
        <v>-39166.769999999997</v>
      </c>
      <c r="EB23" s="532">
        <f t="shared" si="80"/>
        <v>-2932.4699999999939</v>
      </c>
      <c r="EC23" s="254"/>
      <c r="ED23" s="527">
        <v>-97889.54</v>
      </c>
      <c r="EE23" s="528">
        <v>-105754.66</v>
      </c>
      <c r="EF23" s="529">
        <f t="shared" si="81"/>
        <v>-7865.1200000000099</v>
      </c>
      <c r="EG23" s="254"/>
      <c r="EH23" s="530">
        <v>-102864.13</v>
      </c>
      <c r="EI23" s="531">
        <v>-111028.24</v>
      </c>
      <c r="EJ23" s="532">
        <f t="shared" si="82"/>
        <v>-8164.1100000000006</v>
      </c>
      <c r="EK23" s="254"/>
      <c r="EL23" s="527">
        <v>-97803.09</v>
      </c>
      <c r="EM23" s="528">
        <v>-105618.72</v>
      </c>
      <c r="EN23" s="529">
        <f t="shared" si="83"/>
        <v>-7815.6300000000047</v>
      </c>
      <c r="EO23" s="254"/>
      <c r="EP23" s="530">
        <v>-12042.41</v>
      </c>
      <c r="EQ23" s="531">
        <v>-13057.38</v>
      </c>
      <c r="ER23" s="532">
        <f t="shared" si="84"/>
        <v>-1014.9699999999993</v>
      </c>
      <c r="ES23" s="254"/>
      <c r="ET23" s="527">
        <v>-96538.23</v>
      </c>
      <c r="EU23" s="528">
        <v>-104317.87</v>
      </c>
      <c r="EV23" s="529">
        <f t="shared" si="85"/>
        <v>-7779.6399999999994</v>
      </c>
      <c r="EW23" s="254"/>
      <c r="EX23" s="530">
        <v>-97765.7</v>
      </c>
      <c r="EY23" s="531">
        <v>-106037.09</v>
      </c>
      <c r="EZ23" s="532">
        <f t="shared" si="86"/>
        <v>-8271.39</v>
      </c>
      <c r="FA23" s="254"/>
      <c r="FB23" s="527">
        <v>-39344.47</v>
      </c>
      <c r="FC23" s="528">
        <v>-42281.71</v>
      </c>
      <c r="FD23" s="529">
        <f t="shared" si="87"/>
        <v>-2937.239999999998</v>
      </c>
      <c r="FE23" s="254"/>
      <c r="FF23" s="530">
        <v>-97331.45</v>
      </c>
      <c r="FG23" s="531">
        <v>-105214.54</v>
      </c>
      <c r="FH23" s="532">
        <f t="shared" si="88"/>
        <v>-7883.0899999999965</v>
      </c>
      <c r="FI23" s="254"/>
      <c r="FJ23" s="527">
        <v>-53139</v>
      </c>
      <c r="FK23" s="528">
        <v>-57931.040000000001</v>
      </c>
      <c r="FL23" s="529">
        <f t="shared" si="89"/>
        <v>-4792.0400000000009</v>
      </c>
      <c r="FM23" s="254"/>
      <c r="FN23" s="530">
        <v>-92854.7</v>
      </c>
      <c r="FO23" s="531">
        <v>-100988.21</v>
      </c>
      <c r="FP23" s="532">
        <f t="shared" si="90"/>
        <v>-8133.5100000000093</v>
      </c>
      <c r="FQ23" s="254"/>
      <c r="FR23" s="527">
        <v>-99960.7</v>
      </c>
      <c r="FS23" s="528">
        <v>-108142.27</v>
      </c>
      <c r="FT23" s="529">
        <f t="shared" si="91"/>
        <v>-8181.570000000007</v>
      </c>
      <c r="FU23" s="254"/>
      <c r="FV23" s="530">
        <v>-31237.7</v>
      </c>
      <c r="FW23" s="531">
        <v>-33849.69</v>
      </c>
      <c r="FX23" s="532">
        <f t="shared" si="92"/>
        <v>-2611.9900000000016</v>
      </c>
      <c r="FY23" s="254"/>
      <c r="FZ23" s="527">
        <v>-66899.97</v>
      </c>
      <c r="GA23" s="528">
        <v>-72010.22</v>
      </c>
      <c r="GB23" s="529">
        <f t="shared" si="93"/>
        <v>-5110.25</v>
      </c>
      <c r="GC23" s="254"/>
      <c r="GD23" s="530">
        <v>-93539.53</v>
      </c>
      <c r="GE23" s="531">
        <v>-101370.79</v>
      </c>
      <c r="GF23" s="532">
        <f t="shared" si="94"/>
        <v>-7831.2599999999948</v>
      </c>
      <c r="GG23" s="254"/>
      <c r="GH23" s="527">
        <v>-93010.07</v>
      </c>
      <c r="GI23" s="528">
        <v>-102369.34</v>
      </c>
      <c r="GJ23" s="529">
        <f t="shared" si="95"/>
        <v>-9359.2699999999895</v>
      </c>
      <c r="GK23" s="254"/>
      <c r="GL23" s="530">
        <v>-14380.65</v>
      </c>
      <c r="GM23" s="531">
        <v>-15366.29</v>
      </c>
      <c r="GN23" s="532">
        <f t="shared" si="96"/>
        <v>-985.64000000000124</v>
      </c>
      <c r="GO23" s="254"/>
      <c r="GP23" s="527">
        <f t="shared" si="98"/>
        <v>-3102385.330000001</v>
      </c>
      <c r="GQ23" s="528">
        <f t="shared" si="98"/>
        <v>-3390569.99</v>
      </c>
      <c r="GR23" s="529">
        <f t="shared" si="97"/>
        <v>-288184.65999999922</v>
      </c>
      <c r="GS23" s="533"/>
    </row>
    <row r="24" spans="1:201" x14ac:dyDescent="0.2">
      <c r="B24" s="224" t="s">
        <v>630</v>
      </c>
      <c r="C24" s="224"/>
      <c r="D24" s="224"/>
      <c r="E24" s="224"/>
      <c r="F24" s="542">
        <f>F20+F23</f>
        <v>769343.3</v>
      </c>
      <c r="G24" s="543">
        <f>G20+G23</f>
        <v>850489.87</v>
      </c>
      <c r="H24" s="544">
        <f t="shared" si="0"/>
        <v>81146.569999999949</v>
      </c>
      <c r="I24" s="254"/>
      <c r="J24" s="545">
        <f>J20+J23</f>
        <v>5801740.3799999999</v>
      </c>
      <c r="K24" s="546">
        <f>K20+K23</f>
        <v>6367105.9100000011</v>
      </c>
      <c r="L24" s="547">
        <f t="shared" si="50"/>
        <v>565365.53000000119</v>
      </c>
      <c r="M24" s="254"/>
      <c r="N24" s="542">
        <f>N20+N23</f>
        <v>8858689.4100000001</v>
      </c>
      <c r="O24" s="543">
        <f>O20+O23</f>
        <v>9836611.9800000004</v>
      </c>
      <c r="P24" s="544">
        <f t="shared" si="51"/>
        <v>977922.5700000003</v>
      </c>
      <c r="Q24" s="254"/>
      <c r="R24" s="545">
        <f>R20+R23</f>
        <v>1254336.7799999996</v>
      </c>
      <c r="S24" s="546">
        <f>S20+S23</f>
        <v>1119472.8099999998</v>
      </c>
      <c r="T24" s="547">
        <f t="shared" si="52"/>
        <v>-134863.96999999974</v>
      </c>
      <c r="U24" s="254"/>
      <c r="V24" s="542">
        <f>V20+V23</f>
        <v>864135.82000000007</v>
      </c>
      <c r="W24" s="543">
        <f>W20+W23</f>
        <v>982746.20000000007</v>
      </c>
      <c r="X24" s="544">
        <f t="shared" si="53"/>
        <v>118610.38</v>
      </c>
      <c r="Y24" s="254"/>
      <c r="Z24" s="545">
        <f>Z20+Z23</f>
        <v>4403236.2999999989</v>
      </c>
      <c r="AA24" s="546">
        <f>AA20+AA23</f>
        <v>4948108.9000000004</v>
      </c>
      <c r="AB24" s="547">
        <f t="shared" si="54"/>
        <v>544872.60000000149</v>
      </c>
      <c r="AC24" s="254"/>
      <c r="AD24" s="542">
        <f>AD20+AD23</f>
        <v>4990751.5</v>
      </c>
      <c r="AE24" s="543">
        <f>AE20+AE23</f>
        <v>5418424.2300000004</v>
      </c>
      <c r="AF24" s="544">
        <f t="shared" si="55"/>
        <v>427672.73000000045</v>
      </c>
      <c r="AG24" s="254"/>
      <c r="AH24" s="545">
        <f>AH20+AH23</f>
        <v>4569048.9399999995</v>
      </c>
      <c r="AI24" s="546">
        <f>AI20+AI23</f>
        <v>5000155.3500000006</v>
      </c>
      <c r="AJ24" s="547">
        <f t="shared" si="56"/>
        <v>431106.41000000108</v>
      </c>
      <c r="AK24" s="254"/>
      <c r="AL24" s="542">
        <f>AL20+AL23</f>
        <v>10023802.49</v>
      </c>
      <c r="AM24" s="543">
        <f>AM20+AM23</f>
        <v>10745865.35</v>
      </c>
      <c r="AN24" s="544">
        <f t="shared" si="57"/>
        <v>722062.8599999994</v>
      </c>
      <c r="AO24" s="254"/>
      <c r="AP24" s="545">
        <f>AP20+AP23</f>
        <v>3859380.8499999996</v>
      </c>
      <c r="AQ24" s="546">
        <f>AQ20+AQ23</f>
        <v>4330877.9400000004</v>
      </c>
      <c r="AR24" s="547">
        <f t="shared" si="58"/>
        <v>471497.09000000078</v>
      </c>
      <c r="AS24" s="254"/>
      <c r="AT24" s="542">
        <f>AT20+AT23</f>
        <v>686296.60000000009</v>
      </c>
      <c r="AU24" s="543">
        <f>AU20+AU23</f>
        <v>490790.34</v>
      </c>
      <c r="AV24" s="544">
        <f t="shared" si="59"/>
        <v>-195506.26000000007</v>
      </c>
      <c r="AW24" s="254"/>
      <c r="AX24" s="545">
        <f>AX20+AX23</f>
        <v>8455178.3499999996</v>
      </c>
      <c r="AY24" s="546">
        <f>AY20+AY23</f>
        <v>9256402.1899999976</v>
      </c>
      <c r="AZ24" s="547">
        <f t="shared" si="60"/>
        <v>801223.83999999799</v>
      </c>
      <c r="BA24" s="254"/>
      <c r="BB24" s="542">
        <f>BB20+BB23</f>
        <v>2128331.4600000004</v>
      </c>
      <c r="BC24" s="543">
        <f>BC20+BC23</f>
        <v>2326171.2199999997</v>
      </c>
      <c r="BD24" s="544">
        <f t="shared" si="61"/>
        <v>197839.75999999931</v>
      </c>
      <c r="BE24" s="254"/>
      <c r="BF24" s="545">
        <f>BF20+BF23</f>
        <v>452145.83000000007</v>
      </c>
      <c r="BG24" s="546">
        <f>BG20+BG23</f>
        <v>321142.53999999998</v>
      </c>
      <c r="BH24" s="547">
        <f t="shared" si="62"/>
        <v>-131003.2900000001</v>
      </c>
      <c r="BI24" s="254"/>
      <c r="BJ24" s="542">
        <f>BJ20+BJ23</f>
        <v>1618444.03</v>
      </c>
      <c r="BK24" s="543">
        <f>BK20+BK23</f>
        <v>1775069.4699999995</v>
      </c>
      <c r="BL24" s="544">
        <f t="shared" si="63"/>
        <v>156625.43999999948</v>
      </c>
      <c r="BM24" s="254"/>
      <c r="BN24" s="545">
        <f>BN20+BN23</f>
        <v>4058545.0700000003</v>
      </c>
      <c r="BO24" s="546">
        <f>BO20+BO23</f>
        <v>4432203.9800000004</v>
      </c>
      <c r="BP24" s="547">
        <f t="shared" si="64"/>
        <v>373658.91000000015</v>
      </c>
      <c r="BQ24" s="254"/>
      <c r="BR24" s="542">
        <f>BR20+BR23</f>
        <v>5562695.2200000016</v>
      </c>
      <c r="BS24" s="543">
        <f>BS20+BS23</f>
        <v>6139041.1200000001</v>
      </c>
      <c r="BT24" s="544">
        <f t="shared" si="65"/>
        <v>576345.89999999851</v>
      </c>
      <c r="BU24" s="254"/>
      <c r="BV24" s="545">
        <f>BV20+BV23</f>
        <v>1025837.54</v>
      </c>
      <c r="BW24" s="546">
        <f>BW20+BW23</f>
        <v>1129732.04</v>
      </c>
      <c r="BX24" s="547">
        <f t="shared" si="66"/>
        <v>103894.5</v>
      </c>
      <c r="BY24" s="254"/>
      <c r="BZ24" s="542">
        <f>BZ20+BZ23</f>
        <v>1159348.6199999999</v>
      </c>
      <c r="CA24" s="543">
        <f>CA20+CA23</f>
        <v>929661.03</v>
      </c>
      <c r="CB24" s="544">
        <f t="shared" si="67"/>
        <v>-229687.58999999985</v>
      </c>
      <c r="CC24" s="254"/>
      <c r="CD24" s="545">
        <f>CD20+CD23</f>
        <v>2614542.75</v>
      </c>
      <c r="CE24" s="546">
        <f>CE20+CE23</f>
        <v>2853931.8799999994</v>
      </c>
      <c r="CF24" s="547">
        <f t="shared" si="68"/>
        <v>239389.12999999942</v>
      </c>
      <c r="CG24" s="254"/>
      <c r="CH24" s="542">
        <f>CH20+CH23</f>
        <v>2853334.2499999995</v>
      </c>
      <c r="CI24" s="543">
        <f>CI20+CI23</f>
        <v>3126675.4800000004</v>
      </c>
      <c r="CJ24" s="544">
        <f t="shared" si="69"/>
        <v>273341.23000000091</v>
      </c>
      <c r="CK24" s="254"/>
      <c r="CL24" s="545">
        <f>CL20+CL23</f>
        <v>2400024.5499999998</v>
      </c>
      <c r="CM24" s="546">
        <f>CM20+CM23</f>
        <v>2607729.0599999996</v>
      </c>
      <c r="CN24" s="547">
        <f t="shared" si="70"/>
        <v>207704.50999999978</v>
      </c>
      <c r="CO24" s="254"/>
      <c r="CP24" s="542">
        <f>CP20+CP23</f>
        <v>7974736.2999999998</v>
      </c>
      <c r="CQ24" s="543">
        <f>CQ20+CQ23</f>
        <v>8670588.2800000012</v>
      </c>
      <c r="CR24" s="544">
        <f t="shared" si="71"/>
        <v>695851.98000000138</v>
      </c>
      <c r="CS24" s="254"/>
      <c r="CT24" s="545">
        <f>CT20+CT23</f>
        <v>4150744.61</v>
      </c>
      <c r="CU24" s="546">
        <f>CU20+CU23</f>
        <v>4541105.46</v>
      </c>
      <c r="CV24" s="547">
        <f t="shared" si="72"/>
        <v>390360.85000000009</v>
      </c>
      <c r="CW24" s="254"/>
      <c r="CX24" s="542">
        <f>CX20+CX23</f>
        <v>3978901.8600000003</v>
      </c>
      <c r="CY24" s="543">
        <f>CY20+CY23</f>
        <v>4335858.24</v>
      </c>
      <c r="CZ24" s="544">
        <f t="shared" si="73"/>
        <v>356956.37999999989</v>
      </c>
      <c r="DA24" s="254"/>
      <c r="DB24" s="545">
        <f>DB20+DB23</f>
        <v>2017256.5900000005</v>
      </c>
      <c r="DC24" s="546">
        <f>DC20+DC23</f>
        <v>2193858</v>
      </c>
      <c r="DD24" s="547">
        <f t="shared" si="74"/>
        <v>176601.40999999945</v>
      </c>
      <c r="DE24" s="254"/>
      <c r="DF24" s="542">
        <f>DF20+DF23</f>
        <v>2700532.5899999994</v>
      </c>
      <c r="DG24" s="543">
        <f>DG20+DG23</f>
        <v>2946162.669999999</v>
      </c>
      <c r="DH24" s="544">
        <f t="shared" si="75"/>
        <v>245630.07999999961</v>
      </c>
      <c r="DI24" s="254"/>
      <c r="DJ24" s="545">
        <f>DJ20+DJ23</f>
        <v>4386919.47</v>
      </c>
      <c r="DK24" s="546">
        <f>DK20+DK23</f>
        <v>4843858.0200000005</v>
      </c>
      <c r="DL24" s="547">
        <f t="shared" si="76"/>
        <v>456938.55000000075</v>
      </c>
      <c r="DM24" s="254"/>
      <c r="DN24" s="542">
        <f>DN20+DN23</f>
        <v>5663409.3100000005</v>
      </c>
      <c r="DO24" s="543">
        <f>DO20+DO23</f>
        <v>6130266.0300000003</v>
      </c>
      <c r="DP24" s="544">
        <f t="shared" si="77"/>
        <v>466856.71999999974</v>
      </c>
      <c r="DQ24" s="254"/>
      <c r="DR24" s="545">
        <f>DR20+DR23</f>
        <v>9231623.5100000016</v>
      </c>
      <c r="DS24" s="546">
        <f>DS20+DS23</f>
        <v>10024246.460000001</v>
      </c>
      <c r="DT24" s="547">
        <f t="shared" si="78"/>
        <v>792622.94999999925</v>
      </c>
      <c r="DU24" s="254"/>
      <c r="DV24" s="542">
        <f>DV20+DV23</f>
        <v>5213851.22</v>
      </c>
      <c r="DW24" s="543">
        <f>DW20+DW23</f>
        <v>5719520.3099999996</v>
      </c>
      <c r="DX24" s="544">
        <f t="shared" si="79"/>
        <v>505669.08999999985</v>
      </c>
      <c r="DY24" s="254"/>
      <c r="DZ24" s="545">
        <f>DZ20+DZ23</f>
        <v>7915149.1100000003</v>
      </c>
      <c r="EA24" s="546">
        <f>EA20+EA23</f>
        <v>8603414.4500000011</v>
      </c>
      <c r="EB24" s="547">
        <f t="shared" si="80"/>
        <v>688265.34000000078</v>
      </c>
      <c r="EC24" s="254"/>
      <c r="ED24" s="542">
        <f>ED20+ED23</f>
        <v>10411901.469999999</v>
      </c>
      <c r="EE24" s="543">
        <f>EE20+EE23</f>
        <v>11304241.300000001</v>
      </c>
      <c r="EF24" s="544">
        <f t="shared" si="81"/>
        <v>892339.83000000194</v>
      </c>
      <c r="EG24" s="254"/>
      <c r="EH24" s="545">
        <f>EH20+EH23</f>
        <v>2779424.21</v>
      </c>
      <c r="EI24" s="546">
        <f>EI20+EI23</f>
        <v>3022998.1300000004</v>
      </c>
      <c r="EJ24" s="547">
        <f t="shared" si="82"/>
        <v>243573.92000000039</v>
      </c>
      <c r="EK24" s="254"/>
      <c r="EL24" s="542">
        <f>EL20+EL23</f>
        <v>3657157.4499999997</v>
      </c>
      <c r="EM24" s="543">
        <f>EM20+EM23</f>
        <v>4010029.3000000003</v>
      </c>
      <c r="EN24" s="544">
        <f t="shared" si="83"/>
        <v>352871.85000000056</v>
      </c>
      <c r="EO24" s="254"/>
      <c r="EP24" s="545">
        <f>EP20+EP23</f>
        <v>612519.03</v>
      </c>
      <c r="EQ24" s="546">
        <f>EQ20+EQ23</f>
        <v>665638.30000000005</v>
      </c>
      <c r="ER24" s="547">
        <f t="shared" si="84"/>
        <v>53119.270000000019</v>
      </c>
      <c r="ES24" s="254"/>
      <c r="ET24" s="542">
        <f>ET20+ET23</f>
        <v>6328718.8200000003</v>
      </c>
      <c r="EU24" s="543">
        <f>EU20+EU23</f>
        <v>6892583.5599999996</v>
      </c>
      <c r="EV24" s="544">
        <f t="shared" si="85"/>
        <v>563864.73999999929</v>
      </c>
      <c r="EW24" s="254"/>
      <c r="EX24" s="545">
        <f>EX20+EX23</f>
        <v>6618486.9500000011</v>
      </c>
      <c r="EY24" s="546">
        <f>EY20+EY23</f>
        <v>7238445.4500000002</v>
      </c>
      <c r="EZ24" s="547">
        <f t="shared" si="86"/>
        <v>619958.49999999907</v>
      </c>
      <c r="FA24" s="254"/>
      <c r="FB24" s="542">
        <f>FB20+FB23</f>
        <v>8302705.6999999993</v>
      </c>
      <c r="FC24" s="543">
        <f>FC20+FC23</f>
        <v>8956031.1499999985</v>
      </c>
      <c r="FD24" s="544">
        <f t="shared" si="87"/>
        <v>653325.44999999925</v>
      </c>
      <c r="FE24" s="254"/>
      <c r="FF24" s="545">
        <f>FF20+FF23</f>
        <v>2183906.7199999997</v>
      </c>
      <c r="FG24" s="546">
        <f>FG20+FG23</f>
        <v>2362809.7199999997</v>
      </c>
      <c r="FH24" s="547">
        <f t="shared" si="88"/>
        <v>178903</v>
      </c>
      <c r="FI24" s="254"/>
      <c r="FJ24" s="542">
        <f>FJ20+FJ23</f>
        <v>1045476.0499999998</v>
      </c>
      <c r="FK24" s="543">
        <f>FK20+FK23</f>
        <v>1145357.47</v>
      </c>
      <c r="FL24" s="544">
        <f t="shared" si="89"/>
        <v>99881.420000000158</v>
      </c>
      <c r="FM24" s="254"/>
      <c r="FN24" s="545">
        <f>FN20+FN23</f>
        <v>2556933.9</v>
      </c>
      <c r="FO24" s="546">
        <f>FO20+FO23</f>
        <v>2791893.81</v>
      </c>
      <c r="FP24" s="547">
        <f t="shared" si="90"/>
        <v>234959.91000000015</v>
      </c>
      <c r="FQ24" s="254"/>
      <c r="FR24" s="542">
        <f>FR20+FR23</f>
        <v>3319317.6199999992</v>
      </c>
      <c r="FS24" s="543">
        <f>FS20+FS23</f>
        <v>3611420.4500000007</v>
      </c>
      <c r="FT24" s="544">
        <f t="shared" si="91"/>
        <v>292102.83000000147</v>
      </c>
      <c r="FU24" s="254"/>
      <c r="FV24" s="545">
        <f>FV20+FV23</f>
        <v>2675067.2699999996</v>
      </c>
      <c r="FW24" s="546">
        <f>FW20+FW23</f>
        <v>3020629.1599999997</v>
      </c>
      <c r="FX24" s="547">
        <f t="shared" si="92"/>
        <v>345561.89000000013</v>
      </c>
      <c r="FY24" s="254"/>
      <c r="FZ24" s="542">
        <f>FZ20+FZ23</f>
        <v>1340263.5000000002</v>
      </c>
      <c r="GA24" s="543">
        <f>GA20+GA23</f>
        <v>1425988.32</v>
      </c>
      <c r="GB24" s="544">
        <f t="shared" si="93"/>
        <v>85724.819999999832</v>
      </c>
      <c r="GC24" s="254"/>
      <c r="GD24" s="545">
        <f>GD20+GD23</f>
        <v>7659117.4699999997</v>
      </c>
      <c r="GE24" s="546">
        <f>GE20+GE23</f>
        <v>8397922.7400000002</v>
      </c>
      <c r="GF24" s="547">
        <f t="shared" si="94"/>
        <v>738805.27000000048</v>
      </c>
      <c r="GG24" s="254"/>
      <c r="GH24" s="542">
        <f>GH20+GH23</f>
        <v>2305710.34</v>
      </c>
      <c r="GI24" s="543">
        <f>GI20+GI23</f>
        <v>2560790.7400000002</v>
      </c>
      <c r="GJ24" s="544">
        <f t="shared" si="95"/>
        <v>255080.40000000037</v>
      </c>
      <c r="GK24" s="254"/>
      <c r="GL24" s="545">
        <f>GL20+GL23</f>
        <v>282139</v>
      </c>
      <c r="GM24" s="546">
        <f>GM20+GM23</f>
        <v>304314.32000000007</v>
      </c>
      <c r="GN24" s="547">
        <f t="shared" si="96"/>
        <v>22175.320000000065</v>
      </c>
      <c r="GO24" s="254"/>
      <c r="GP24" s="542">
        <f>GP20+GP23</f>
        <v>193721160.10999998</v>
      </c>
      <c r="GQ24" s="543">
        <f>GQ20+GQ23</f>
        <v>210708380.72999999</v>
      </c>
      <c r="GR24" s="544">
        <f t="shared" si="97"/>
        <v>16987220.620000005</v>
      </c>
      <c r="GS24" s="533"/>
    </row>
    <row r="25" spans="1:201" x14ac:dyDescent="0.2">
      <c r="B25" s="224"/>
      <c r="C25" s="224"/>
      <c r="D25" s="224"/>
      <c r="E25" s="224"/>
      <c r="F25" s="548"/>
      <c r="G25" s="549"/>
      <c r="H25" s="550"/>
      <c r="I25" s="254"/>
      <c r="J25" s="548"/>
      <c r="K25" s="549"/>
      <c r="L25" s="550"/>
      <c r="M25" s="254"/>
      <c r="N25" s="548"/>
      <c r="O25" s="549"/>
      <c r="P25" s="550"/>
      <c r="Q25" s="254"/>
      <c r="R25" s="548"/>
      <c r="S25" s="549"/>
      <c r="T25" s="550"/>
      <c r="U25" s="254"/>
      <c r="V25" s="548"/>
      <c r="W25" s="549"/>
      <c r="X25" s="550"/>
      <c r="Y25" s="254"/>
      <c r="Z25" s="548"/>
      <c r="AA25" s="549"/>
      <c r="AB25" s="550"/>
      <c r="AC25" s="254"/>
      <c r="AD25" s="548"/>
      <c r="AE25" s="549"/>
      <c r="AF25" s="550"/>
      <c r="AG25" s="254"/>
      <c r="AH25" s="548"/>
      <c r="AI25" s="549"/>
      <c r="AJ25" s="550"/>
      <c r="AK25" s="254"/>
      <c r="AL25" s="548"/>
      <c r="AM25" s="549"/>
      <c r="AN25" s="550"/>
      <c r="AO25" s="254"/>
      <c r="AP25" s="548"/>
      <c r="AQ25" s="549"/>
      <c r="AR25" s="550"/>
      <c r="AS25" s="254"/>
      <c r="AT25" s="548"/>
      <c r="AU25" s="549"/>
      <c r="AV25" s="550"/>
      <c r="AW25" s="254"/>
      <c r="AX25" s="548"/>
      <c r="AY25" s="549"/>
      <c r="AZ25" s="550"/>
      <c r="BA25" s="254"/>
      <c r="BB25" s="548"/>
      <c r="BC25" s="549"/>
      <c r="BD25" s="550"/>
      <c r="BE25" s="254"/>
      <c r="BF25" s="548"/>
      <c r="BG25" s="549"/>
      <c r="BH25" s="550"/>
      <c r="BI25" s="254"/>
      <c r="BJ25" s="548"/>
      <c r="BK25" s="549"/>
      <c r="BL25" s="550"/>
      <c r="BM25" s="254"/>
      <c r="BN25" s="548"/>
      <c r="BO25" s="549"/>
      <c r="BP25" s="550"/>
      <c r="BQ25" s="254"/>
      <c r="BR25" s="548"/>
      <c r="BS25" s="549"/>
      <c r="BT25" s="550"/>
      <c r="BU25" s="254"/>
      <c r="BV25" s="548"/>
      <c r="BW25" s="549"/>
      <c r="BX25" s="550"/>
      <c r="BY25" s="254"/>
      <c r="BZ25" s="548"/>
      <c r="CA25" s="549"/>
      <c r="CB25" s="550"/>
      <c r="CC25" s="254"/>
      <c r="CD25" s="548"/>
      <c r="CE25" s="549"/>
      <c r="CF25" s="550"/>
      <c r="CG25" s="254"/>
      <c r="CH25" s="548"/>
      <c r="CI25" s="549"/>
      <c r="CJ25" s="550"/>
      <c r="CK25" s="254"/>
      <c r="CL25" s="548"/>
      <c r="CM25" s="549"/>
      <c r="CN25" s="550"/>
      <c r="CO25" s="254"/>
      <c r="CP25" s="548"/>
      <c r="CQ25" s="549"/>
      <c r="CR25" s="550"/>
      <c r="CS25" s="254"/>
      <c r="CT25" s="548"/>
      <c r="CU25" s="549"/>
      <c r="CV25" s="550"/>
      <c r="CW25" s="254"/>
      <c r="CX25" s="548"/>
      <c r="CY25" s="549"/>
      <c r="CZ25" s="550"/>
      <c r="DA25" s="254"/>
      <c r="DB25" s="548"/>
      <c r="DC25" s="549"/>
      <c r="DD25" s="550"/>
      <c r="DE25" s="254"/>
      <c r="DF25" s="548"/>
      <c r="DG25" s="549"/>
      <c r="DH25" s="550"/>
      <c r="DI25" s="254"/>
      <c r="DJ25" s="548"/>
      <c r="DK25" s="549"/>
      <c r="DL25" s="550"/>
      <c r="DM25" s="254"/>
      <c r="DN25" s="548"/>
      <c r="DO25" s="549"/>
      <c r="DP25" s="550"/>
      <c r="DQ25" s="254"/>
      <c r="DR25" s="548"/>
      <c r="DS25" s="549"/>
      <c r="DT25" s="550"/>
      <c r="DU25" s="254"/>
      <c r="DV25" s="548"/>
      <c r="DW25" s="549"/>
      <c r="DX25" s="550"/>
      <c r="DY25" s="254"/>
      <c r="DZ25" s="548"/>
      <c r="EA25" s="549"/>
      <c r="EB25" s="550"/>
      <c r="EC25" s="254"/>
      <c r="ED25" s="548"/>
      <c r="EE25" s="549"/>
      <c r="EF25" s="550"/>
      <c r="EG25" s="254"/>
      <c r="EH25" s="548"/>
      <c r="EI25" s="549"/>
      <c r="EJ25" s="550"/>
      <c r="EK25" s="254"/>
      <c r="EL25" s="548"/>
      <c r="EM25" s="549"/>
      <c r="EN25" s="550"/>
      <c r="EO25" s="254"/>
      <c r="EP25" s="548"/>
      <c r="EQ25" s="549"/>
      <c r="ER25" s="550"/>
      <c r="ES25" s="254"/>
      <c r="ET25" s="548"/>
      <c r="EU25" s="549"/>
      <c r="EV25" s="550"/>
      <c r="EW25" s="254"/>
      <c r="EX25" s="548"/>
      <c r="EY25" s="549"/>
      <c r="EZ25" s="550"/>
      <c r="FA25" s="254"/>
      <c r="FB25" s="548"/>
      <c r="FC25" s="549"/>
      <c r="FD25" s="550"/>
      <c r="FE25" s="254"/>
      <c r="FF25" s="548"/>
      <c r="FG25" s="549"/>
      <c r="FH25" s="550"/>
      <c r="FI25" s="254"/>
      <c r="FJ25" s="548"/>
      <c r="FK25" s="549"/>
      <c r="FL25" s="550"/>
      <c r="FM25" s="254"/>
      <c r="FN25" s="548"/>
      <c r="FO25" s="549"/>
      <c r="FP25" s="550"/>
      <c r="FQ25" s="254"/>
      <c r="FR25" s="548"/>
      <c r="FS25" s="549"/>
      <c r="FT25" s="550"/>
      <c r="FU25" s="254"/>
      <c r="FV25" s="548"/>
      <c r="FW25" s="549"/>
      <c r="FX25" s="550"/>
      <c r="FY25" s="254"/>
      <c r="FZ25" s="548"/>
      <c r="GA25" s="549"/>
      <c r="GB25" s="550"/>
      <c r="GC25" s="254"/>
      <c r="GD25" s="548"/>
      <c r="GE25" s="549"/>
      <c r="GF25" s="550"/>
      <c r="GG25" s="254"/>
      <c r="GH25" s="548"/>
      <c r="GI25" s="549"/>
      <c r="GJ25" s="550"/>
      <c r="GK25" s="254"/>
      <c r="GL25" s="548"/>
      <c r="GM25" s="549"/>
      <c r="GN25" s="550"/>
      <c r="GO25" s="254"/>
      <c r="GP25" s="548"/>
      <c r="GQ25" s="549"/>
      <c r="GR25" s="550"/>
      <c r="GS25" s="533"/>
    </row>
    <row r="26" spans="1:201" x14ac:dyDescent="0.2">
      <c r="B26" s="224"/>
      <c r="C26" s="224"/>
      <c r="D26" s="224"/>
      <c r="E26" s="224"/>
      <c r="F26" s="533"/>
      <c r="G26" s="551"/>
      <c r="H26" s="552"/>
      <c r="I26" s="254"/>
      <c r="J26" s="533"/>
      <c r="K26" s="551"/>
      <c r="L26" s="552"/>
      <c r="M26" s="254"/>
      <c r="N26" s="533"/>
      <c r="O26" s="551"/>
      <c r="P26" s="552"/>
      <c r="Q26" s="254"/>
      <c r="R26" s="533"/>
      <c r="S26" s="551"/>
      <c r="T26" s="552"/>
      <c r="U26" s="254"/>
      <c r="V26" s="533"/>
      <c r="W26" s="551"/>
      <c r="X26" s="552"/>
      <c r="Y26" s="254"/>
      <c r="Z26" s="533"/>
      <c r="AA26" s="551"/>
      <c r="AB26" s="552"/>
      <c r="AC26" s="254"/>
      <c r="AD26" s="533"/>
      <c r="AE26" s="551"/>
      <c r="AF26" s="552"/>
      <c r="AG26" s="254"/>
      <c r="AH26" s="533"/>
      <c r="AI26" s="551"/>
      <c r="AJ26" s="552"/>
      <c r="AK26" s="254"/>
      <c r="AL26" s="533"/>
      <c r="AM26" s="551"/>
      <c r="AN26" s="552"/>
      <c r="AO26" s="254"/>
      <c r="AP26" s="533"/>
      <c r="AQ26" s="551"/>
      <c r="AR26" s="552"/>
      <c r="AS26" s="254"/>
      <c r="AT26" s="533"/>
      <c r="AU26" s="551"/>
      <c r="AV26" s="552"/>
      <c r="AW26" s="254"/>
      <c r="AX26" s="533"/>
      <c r="AY26" s="551"/>
      <c r="AZ26" s="552"/>
      <c r="BA26" s="254"/>
      <c r="BB26" s="533"/>
      <c r="BC26" s="551"/>
      <c r="BD26" s="552"/>
      <c r="BE26" s="254"/>
      <c r="BF26" s="533"/>
      <c r="BG26" s="551"/>
      <c r="BH26" s="552"/>
      <c r="BI26" s="254"/>
      <c r="BJ26" s="533"/>
      <c r="BK26" s="551"/>
      <c r="BL26" s="552"/>
      <c r="BM26" s="254"/>
      <c r="BN26" s="533"/>
      <c r="BO26" s="551"/>
      <c r="BP26" s="552"/>
      <c r="BQ26" s="254"/>
      <c r="BR26" s="533"/>
      <c r="BS26" s="551"/>
      <c r="BT26" s="552"/>
      <c r="BU26" s="254"/>
      <c r="BV26" s="533"/>
      <c r="BW26" s="551"/>
      <c r="BX26" s="552"/>
      <c r="BY26" s="254"/>
      <c r="BZ26" s="533"/>
      <c r="CA26" s="551"/>
      <c r="CB26" s="552"/>
      <c r="CC26" s="254"/>
      <c r="CD26" s="533"/>
      <c r="CE26" s="551"/>
      <c r="CF26" s="552"/>
      <c r="CG26" s="254"/>
      <c r="CH26" s="533"/>
      <c r="CI26" s="551"/>
      <c r="CJ26" s="552"/>
      <c r="CK26" s="254"/>
      <c r="CL26" s="533"/>
      <c r="CM26" s="551"/>
      <c r="CN26" s="552"/>
      <c r="CO26" s="254"/>
      <c r="CP26" s="533"/>
      <c r="CQ26" s="551"/>
      <c r="CR26" s="552"/>
      <c r="CS26" s="254"/>
      <c r="CT26" s="533"/>
      <c r="CU26" s="551"/>
      <c r="CV26" s="552"/>
      <c r="CW26" s="254"/>
      <c r="CX26" s="533"/>
      <c r="CY26" s="551"/>
      <c r="CZ26" s="552"/>
      <c r="DA26" s="254"/>
      <c r="DB26" s="533"/>
      <c r="DC26" s="551"/>
      <c r="DD26" s="552"/>
      <c r="DE26" s="254"/>
      <c r="DF26" s="533"/>
      <c r="DG26" s="551"/>
      <c r="DH26" s="552"/>
      <c r="DI26" s="254"/>
      <c r="DJ26" s="533"/>
      <c r="DK26" s="551"/>
      <c r="DL26" s="552"/>
      <c r="DM26" s="254"/>
      <c r="DN26" s="533"/>
      <c r="DO26" s="551"/>
      <c r="DP26" s="552"/>
      <c r="DQ26" s="254"/>
      <c r="DR26" s="533"/>
      <c r="DS26" s="551"/>
      <c r="DT26" s="552"/>
      <c r="DU26" s="254"/>
      <c r="DV26" s="533"/>
      <c r="DW26" s="551"/>
      <c r="DX26" s="552"/>
      <c r="DY26" s="254"/>
      <c r="DZ26" s="533"/>
      <c r="EA26" s="551"/>
      <c r="EB26" s="552"/>
      <c r="EC26" s="254"/>
      <c r="ED26" s="533"/>
      <c r="EE26" s="551"/>
      <c r="EF26" s="552"/>
      <c r="EG26" s="254"/>
      <c r="EH26" s="533"/>
      <c r="EI26" s="551"/>
      <c r="EJ26" s="552"/>
      <c r="EK26" s="254"/>
      <c r="EL26" s="533"/>
      <c r="EM26" s="551"/>
      <c r="EN26" s="552"/>
      <c r="EO26" s="254"/>
      <c r="EP26" s="533"/>
      <c r="EQ26" s="551"/>
      <c r="ER26" s="552"/>
      <c r="ES26" s="254"/>
      <c r="ET26" s="533"/>
      <c r="EU26" s="551"/>
      <c r="EV26" s="552"/>
      <c r="EW26" s="254"/>
      <c r="EX26" s="533"/>
      <c r="EY26" s="551"/>
      <c r="EZ26" s="552"/>
      <c r="FA26" s="254"/>
      <c r="FB26" s="533"/>
      <c r="FC26" s="551"/>
      <c r="FD26" s="552"/>
      <c r="FE26" s="254"/>
      <c r="FF26" s="533"/>
      <c r="FG26" s="551"/>
      <c r="FH26" s="552"/>
      <c r="FI26" s="254"/>
      <c r="FJ26" s="533"/>
      <c r="FK26" s="551"/>
      <c r="FL26" s="552"/>
      <c r="FM26" s="254"/>
      <c r="FN26" s="533"/>
      <c r="FO26" s="551"/>
      <c r="FP26" s="552"/>
      <c r="FQ26" s="254"/>
      <c r="FR26" s="533"/>
      <c r="FS26" s="551"/>
      <c r="FT26" s="552"/>
      <c r="FU26" s="254"/>
      <c r="FV26" s="533"/>
      <c r="FW26" s="551"/>
      <c r="FX26" s="552"/>
      <c r="FY26" s="254"/>
      <c r="FZ26" s="533"/>
      <c r="GA26" s="551"/>
      <c r="GB26" s="552"/>
      <c r="GC26" s="254"/>
      <c r="GD26" s="533"/>
      <c r="GE26" s="551"/>
      <c r="GF26" s="552"/>
      <c r="GG26" s="254"/>
      <c r="GH26" s="533"/>
      <c r="GI26" s="551"/>
      <c r="GJ26" s="552"/>
      <c r="GK26" s="254"/>
      <c r="GL26" s="533"/>
      <c r="GM26" s="551"/>
      <c r="GN26" s="552"/>
      <c r="GO26" s="254"/>
      <c r="GP26" s="533"/>
      <c r="GQ26" s="551"/>
      <c r="GR26" s="552"/>
      <c r="GS26" s="533"/>
    </row>
    <row r="27" spans="1:201" x14ac:dyDescent="0.2">
      <c r="B27" s="218" t="s">
        <v>2</v>
      </c>
      <c r="C27" s="526"/>
      <c r="D27" s="526"/>
      <c r="E27" s="526"/>
      <c r="F27" s="533"/>
      <c r="G27" s="551"/>
      <c r="H27" s="552"/>
      <c r="I27" s="254"/>
      <c r="J27" s="533"/>
      <c r="K27" s="551"/>
      <c r="L27" s="552"/>
      <c r="M27" s="254"/>
      <c r="N27" s="533"/>
      <c r="O27" s="551"/>
      <c r="P27" s="552"/>
      <c r="Q27" s="254"/>
      <c r="R27" s="533"/>
      <c r="S27" s="551"/>
      <c r="T27" s="552"/>
      <c r="U27" s="254"/>
      <c r="V27" s="533"/>
      <c r="W27" s="551"/>
      <c r="X27" s="552"/>
      <c r="Y27" s="254"/>
      <c r="Z27" s="533"/>
      <c r="AA27" s="551"/>
      <c r="AB27" s="552"/>
      <c r="AC27" s="254"/>
      <c r="AD27" s="533"/>
      <c r="AE27" s="551"/>
      <c r="AF27" s="552"/>
      <c r="AG27" s="254"/>
      <c r="AH27" s="533"/>
      <c r="AI27" s="551"/>
      <c r="AJ27" s="552"/>
      <c r="AK27" s="254"/>
      <c r="AL27" s="533"/>
      <c r="AM27" s="551"/>
      <c r="AN27" s="552"/>
      <c r="AO27" s="254"/>
      <c r="AP27" s="533"/>
      <c r="AQ27" s="551"/>
      <c r="AR27" s="552"/>
      <c r="AS27" s="254"/>
      <c r="AT27" s="533"/>
      <c r="AU27" s="551"/>
      <c r="AV27" s="552"/>
      <c r="AW27" s="254"/>
      <c r="AX27" s="533"/>
      <c r="AY27" s="551"/>
      <c r="AZ27" s="552"/>
      <c r="BA27" s="254"/>
      <c r="BB27" s="533"/>
      <c r="BC27" s="551"/>
      <c r="BD27" s="552"/>
      <c r="BE27" s="254"/>
      <c r="BF27" s="533"/>
      <c r="BG27" s="551"/>
      <c r="BH27" s="552"/>
      <c r="BI27" s="254"/>
      <c r="BJ27" s="533"/>
      <c r="BK27" s="551"/>
      <c r="BL27" s="552"/>
      <c r="BM27" s="254"/>
      <c r="BN27" s="533"/>
      <c r="BO27" s="551"/>
      <c r="BP27" s="552"/>
      <c r="BQ27" s="254"/>
      <c r="BR27" s="533"/>
      <c r="BS27" s="551"/>
      <c r="BT27" s="552"/>
      <c r="BU27" s="254"/>
      <c r="BV27" s="533"/>
      <c r="BW27" s="551"/>
      <c r="BX27" s="552"/>
      <c r="BY27" s="254"/>
      <c r="BZ27" s="533"/>
      <c r="CA27" s="551"/>
      <c r="CB27" s="552"/>
      <c r="CC27" s="254"/>
      <c r="CD27" s="533"/>
      <c r="CE27" s="551"/>
      <c r="CF27" s="552"/>
      <c r="CG27" s="254"/>
      <c r="CH27" s="533"/>
      <c r="CI27" s="551"/>
      <c r="CJ27" s="552"/>
      <c r="CK27" s="254"/>
      <c r="CL27" s="533"/>
      <c r="CM27" s="551"/>
      <c r="CN27" s="552"/>
      <c r="CO27" s="254"/>
      <c r="CP27" s="533"/>
      <c r="CQ27" s="551"/>
      <c r="CR27" s="552"/>
      <c r="CS27" s="254"/>
      <c r="CT27" s="533"/>
      <c r="CU27" s="551"/>
      <c r="CV27" s="552"/>
      <c r="CW27" s="254"/>
      <c r="CX27" s="533"/>
      <c r="CY27" s="551"/>
      <c r="CZ27" s="552"/>
      <c r="DA27" s="254"/>
      <c r="DB27" s="533"/>
      <c r="DC27" s="551"/>
      <c r="DD27" s="552"/>
      <c r="DE27" s="254"/>
      <c r="DF27" s="533"/>
      <c r="DG27" s="551"/>
      <c r="DH27" s="552"/>
      <c r="DI27" s="254"/>
      <c r="DJ27" s="533"/>
      <c r="DK27" s="551"/>
      <c r="DL27" s="552"/>
      <c r="DM27" s="254"/>
      <c r="DN27" s="533"/>
      <c r="DO27" s="551"/>
      <c r="DP27" s="552"/>
      <c r="DQ27" s="254"/>
      <c r="DR27" s="533"/>
      <c r="DS27" s="551"/>
      <c r="DT27" s="552"/>
      <c r="DU27" s="254"/>
      <c r="DV27" s="533"/>
      <c r="DW27" s="551"/>
      <c r="DX27" s="552"/>
      <c r="DY27" s="254"/>
      <c r="DZ27" s="533"/>
      <c r="EA27" s="551"/>
      <c r="EB27" s="552"/>
      <c r="EC27" s="254"/>
      <c r="ED27" s="533"/>
      <c r="EE27" s="551"/>
      <c r="EF27" s="552"/>
      <c r="EG27" s="254"/>
      <c r="EH27" s="533"/>
      <c r="EI27" s="551"/>
      <c r="EJ27" s="552"/>
      <c r="EK27" s="254"/>
      <c r="EL27" s="533"/>
      <c r="EM27" s="551"/>
      <c r="EN27" s="552"/>
      <c r="EO27" s="254"/>
      <c r="EP27" s="533"/>
      <c r="EQ27" s="551"/>
      <c r="ER27" s="552"/>
      <c r="ES27" s="254"/>
      <c r="ET27" s="533"/>
      <c r="EU27" s="551"/>
      <c r="EV27" s="552"/>
      <c r="EW27" s="254"/>
      <c r="EX27" s="533"/>
      <c r="EY27" s="551"/>
      <c r="EZ27" s="552"/>
      <c r="FA27" s="254"/>
      <c r="FB27" s="533"/>
      <c r="FC27" s="551"/>
      <c r="FD27" s="552"/>
      <c r="FE27" s="254"/>
      <c r="FF27" s="533"/>
      <c r="FG27" s="551"/>
      <c r="FH27" s="552"/>
      <c r="FI27" s="254"/>
      <c r="FJ27" s="533"/>
      <c r="FK27" s="551"/>
      <c r="FL27" s="552"/>
      <c r="FM27" s="254"/>
      <c r="FN27" s="533"/>
      <c r="FO27" s="551"/>
      <c r="FP27" s="552"/>
      <c r="FQ27" s="254"/>
      <c r="FR27" s="533"/>
      <c r="FS27" s="551"/>
      <c r="FT27" s="552"/>
      <c r="FU27" s="254"/>
      <c r="FV27" s="533"/>
      <c r="FW27" s="551"/>
      <c r="FX27" s="552"/>
      <c r="FY27" s="254"/>
      <c r="FZ27" s="533"/>
      <c r="GA27" s="551"/>
      <c r="GB27" s="552"/>
      <c r="GC27" s="254"/>
      <c r="GD27" s="533"/>
      <c r="GE27" s="551"/>
      <c r="GF27" s="552"/>
      <c r="GG27" s="254"/>
      <c r="GH27" s="533"/>
      <c r="GI27" s="551"/>
      <c r="GJ27" s="552"/>
      <c r="GK27" s="254"/>
      <c r="GL27" s="533"/>
      <c r="GM27" s="551"/>
      <c r="GN27" s="552"/>
      <c r="GO27" s="254"/>
      <c r="GP27" s="533"/>
      <c r="GQ27" s="551"/>
      <c r="GR27" s="552"/>
      <c r="GS27" s="533"/>
    </row>
    <row r="28" spans="1:201" x14ac:dyDescent="0.2">
      <c r="B28" s="224" t="s">
        <v>20</v>
      </c>
      <c r="C28" s="224"/>
      <c r="D28" s="224"/>
      <c r="E28" s="224"/>
      <c r="F28" s="533"/>
      <c r="G28" s="551">
        <v>24.11</v>
      </c>
      <c r="H28" s="553"/>
      <c r="I28" s="254"/>
      <c r="J28" s="533"/>
      <c r="K28" s="551">
        <v>0</v>
      </c>
      <c r="L28" s="553"/>
      <c r="M28" s="254"/>
      <c r="N28" s="533"/>
      <c r="O28" s="551">
        <v>0</v>
      </c>
      <c r="P28" s="553"/>
      <c r="Q28" s="254"/>
      <c r="R28" s="533"/>
      <c r="S28" s="551">
        <v>0</v>
      </c>
      <c r="T28" s="553"/>
      <c r="U28" s="254"/>
      <c r="V28" s="533"/>
      <c r="W28" s="551">
        <v>0</v>
      </c>
      <c r="X28" s="553"/>
      <c r="Y28" s="254"/>
      <c r="Z28" s="533"/>
      <c r="AA28" s="551">
        <v>0</v>
      </c>
      <c r="AB28" s="552"/>
      <c r="AC28" s="254"/>
      <c r="AD28" s="533"/>
      <c r="AE28" s="551">
        <v>280.5</v>
      </c>
      <c r="AF28" s="553"/>
      <c r="AG28" s="254"/>
      <c r="AH28" s="533"/>
      <c r="AI28" s="551">
        <v>180.07999999999998</v>
      </c>
      <c r="AJ28" s="553"/>
      <c r="AK28" s="254"/>
      <c r="AL28" s="533"/>
      <c r="AM28" s="551">
        <v>0.25</v>
      </c>
      <c r="AN28" s="553"/>
      <c r="AO28" s="254"/>
      <c r="AP28" s="533"/>
      <c r="AQ28" s="551">
        <v>0</v>
      </c>
      <c r="AR28" s="553"/>
      <c r="AS28" s="254"/>
      <c r="AT28" s="533"/>
      <c r="AU28" s="551">
        <v>0</v>
      </c>
      <c r="AV28" s="553"/>
      <c r="AW28" s="254"/>
      <c r="AX28" s="533"/>
      <c r="AY28" s="551">
        <v>377.78999999999996</v>
      </c>
      <c r="AZ28" s="553"/>
      <c r="BA28" s="254"/>
      <c r="BB28" s="533"/>
      <c r="BC28" s="551">
        <v>100.93</v>
      </c>
      <c r="BD28" s="553"/>
      <c r="BE28" s="254"/>
      <c r="BF28" s="533"/>
      <c r="BG28" s="551">
        <v>0</v>
      </c>
      <c r="BH28" s="553"/>
      <c r="BI28" s="254"/>
      <c r="BJ28" s="533"/>
      <c r="BK28" s="551">
        <v>74.509999999999991</v>
      </c>
      <c r="BL28" s="553"/>
      <c r="BM28" s="254"/>
      <c r="BN28" s="533"/>
      <c r="BO28" s="551">
        <v>157.28</v>
      </c>
      <c r="BP28" s="553"/>
      <c r="BQ28" s="254"/>
      <c r="BR28" s="533"/>
      <c r="BS28" s="551">
        <v>0</v>
      </c>
      <c r="BT28" s="553"/>
      <c r="BU28" s="254"/>
      <c r="BV28" s="533"/>
      <c r="BW28" s="551">
        <v>0</v>
      </c>
      <c r="BX28" s="553"/>
      <c r="BY28" s="254"/>
      <c r="BZ28" s="533"/>
      <c r="CA28" s="551">
        <v>0</v>
      </c>
      <c r="CB28" s="553"/>
      <c r="CC28" s="254"/>
      <c r="CD28" s="533"/>
      <c r="CE28" s="551">
        <v>0</v>
      </c>
      <c r="CF28" s="553"/>
      <c r="CG28" s="254"/>
      <c r="CH28" s="533"/>
      <c r="CI28" s="551">
        <v>203.94</v>
      </c>
      <c r="CJ28" s="553"/>
      <c r="CK28" s="254"/>
      <c r="CL28" s="533"/>
      <c r="CM28" s="551">
        <v>0</v>
      </c>
      <c r="CN28" s="553"/>
      <c r="CO28" s="254"/>
      <c r="CP28" s="533"/>
      <c r="CQ28" s="551">
        <v>401.88</v>
      </c>
      <c r="CR28" s="553"/>
      <c r="CS28" s="254"/>
      <c r="CT28" s="533"/>
      <c r="CU28" s="551">
        <v>0</v>
      </c>
      <c r="CV28" s="553"/>
      <c r="CW28" s="254"/>
      <c r="CX28" s="533"/>
      <c r="CY28" s="551">
        <v>0</v>
      </c>
      <c r="CZ28" s="553"/>
      <c r="DA28" s="254"/>
      <c r="DB28" s="533"/>
      <c r="DC28" s="551">
        <v>121.59</v>
      </c>
      <c r="DD28" s="553"/>
      <c r="DE28" s="254"/>
      <c r="DF28" s="533"/>
      <c r="DG28" s="551">
        <v>115.15</v>
      </c>
      <c r="DH28" s="553"/>
      <c r="DI28" s="254"/>
      <c r="DJ28" s="533"/>
      <c r="DK28" s="551">
        <v>0</v>
      </c>
      <c r="DL28" s="553"/>
      <c r="DM28" s="254"/>
      <c r="DN28" s="533"/>
      <c r="DO28" s="551">
        <v>219.49</v>
      </c>
      <c r="DP28" s="553"/>
      <c r="DQ28" s="254"/>
      <c r="DR28" s="533"/>
      <c r="DS28" s="551">
        <v>346.19</v>
      </c>
      <c r="DT28" s="553"/>
      <c r="DU28" s="254"/>
      <c r="DV28" s="533"/>
      <c r="DW28" s="551">
        <v>0</v>
      </c>
      <c r="DX28" s="553"/>
      <c r="DY28" s="254"/>
      <c r="DZ28" s="533"/>
      <c r="EA28" s="551">
        <v>0</v>
      </c>
      <c r="EB28" s="553"/>
      <c r="EC28" s="254"/>
      <c r="ED28" s="533"/>
      <c r="EE28" s="551">
        <v>499.12</v>
      </c>
      <c r="EF28" s="553"/>
      <c r="EG28" s="254"/>
      <c r="EH28" s="533"/>
      <c r="EI28" s="551">
        <v>93.32</v>
      </c>
      <c r="EJ28" s="553"/>
      <c r="EK28" s="254"/>
      <c r="EL28" s="533"/>
      <c r="EM28" s="551">
        <v>163.32999999999998</v>
      </c>
      <c r="EN28" s="553"/>
      <c r="EO28" s="254"/>
      <c r="EP28" s="533"/>
      <c r="EQ28" s="551">
        <v>0</v>
      </c>
      <c r="ER28" s="553"/>
      <c r="ES28" s="254"/>
      <c r="ET28" s="533"/>
      <c r="EU28" s="551">
        <v>297.63</v>
      </c>
      <c r="EV28" s="553"/>
      <c r="EW28" s="254"/>
      <c r="EX28" s="533"/>
      <c r="EY28" s="551">
        <v>293.32</v>
      </c>
      <c r="EZ28" s="553"/>
      <c r="FA28" s="254"/>
      <c r="FB28" s="533"/>
      <c r="FC28" s="551">
        <v>434.63</v>
      </c>
      <c r="FD28" s="553"/>
      <c r="FE28" s="254"/>
      <c r="FF28" s="533"/>
      <c r="FG28" s="551">
        <v>102.35</v>
      </c>
      <c r="FH28" s="553"/>
      <c r="FI28" s="254"/>
      <c r="FJ28" s="533"/>
      <c r="FK28" s="551">
        <v>0</v>
      </c>
      <c r="FL28" s="553"/>
      <c r="FM28" s="254"/>
      <c r="FN28" s="533"/>
      <c r="FO28" s="551">
        <v>0</v>
      </c>
      <c r="FP28" s="553"/>
      <c r="FQ28" s="254"/>
      <c r="FR28" s="533"/>
      <c r="FS28" s="551">
        <v>202.9</v>
      </c>
      <c r="FT28" s="553"/>
      <c r="FU28" s="254"/>
      <c r="FV28" s="533"/>
      <c r="FW28" s="551">
        <v>0</v>
      </c>
      <c r="FX28" s="553"/>
      <c r="FY28" s="254"/>
      <c r="FZ28" s="533"/>
      <c r="GA28" s="551">
        <v>67.069999999999993</v>
      </c>
      <c r="GB28" s="553"/>
      <c r="GC28" s="254"/>
      <c r="GD28" s="533"/>
      <c r="GE28" s="551">
        <v>0</v>
      </c>
      <c r="GF28" s="553"/>
      <c r="GG28" s="254"/>
      <c r="GH28" s="533"/>
      <c r="GI28" s="551">
        <v>0</v>
      </c>
      <c r="GJ28" s="553"/>
      <c r="GK28" s="254"/>
      <c r="GL28" s="533"/>
      <c r="GM28" s="551">
        <v>0</v>
      </c>
      <c r="GN28" s="553"/>
      <c r="GO28" s="254"/>
      <c r="GP28" s="533"/>
      <c r="GQ28" s="551">
        <f t="shared" ref="GQ28:GQ43" si="99">SUM(G28,K28,O28,S28,W28,AA28,AE28,AI28,AM28,AQ28,AU28,AY28,BC28,BG28,BK28,BO28,BS28,BW28,CA28,CE28,CI28,CM28,CQ28,CU28,CY28,DC28,DG28,DK28,DO28,DS28,DW28,EA28,EE28,EI28,EM28,EQ28,EU28,EY28,FC28,FG28,FK28,FO28,FS28,FW28,GA28,GE28,GI28,GM28)</f>
        <v>4757.3599999999997</v>
      </c>
      <c r="GR28" s="553"/>
      <c r="GS28" s="533"/>
    </row>
    <row r="29" spans="1:201" x14ac:dyDescent="0.2">
      <c r="B29" s="526" t="s">
        <v>21</v>
      </c>
      <c r="C29" s="526"/>
      <c r="D29" s="526"/>
      <c r="E29" s="526"/>
      <c r="F29" s="533"/>
      <c r="G29" s="551">
        <v>6.48</v>
      </c>
      <c r="H29" s="553"/>
      <c r="I29" s="254"/>
      <c r="J29" s="533"/>
      <c r="K29" s="551">
        <v>0</v>
      </c>
      <c r="L29" s="553"/>
      <c r="M29" s="254"/>
      <c r="N29" s="533"/>
      <c r="O29" s="551">
        <v>0</v>
      </c>
      <c r="P29" s="553"/>
      <c r="Q29" s="254"/>
      <c r="R29" s="533"/>
      <c r="S29" s="551">
        <v>0</v>
      </c>
      <c r="T29" s="553"/>
      <c r="U29" s="254"/>
      <c r="V29" s="533"/>
      <c r="W29" s="551">
        <v>1.05</v>
      </c>
      <c r="X29" s="553"/>
      <c r="Y29" s="254"/>
      <c r="Z29" s="533"/>
      <c r="AA29" s="551">
        <v>0</v>
      </c>
      <c r="AB29" s="552"/>
      <c r="AC29" s="254"/>
      <c r="AD29" s="533"/>
      <c r="AE29" s="551">
        <v>49.5</v>
      </c>
      <c r="AF29" s="553"/>
      <c r="AG29" s="254"/>
      <c r="AH29" s="533"/>
      <c r="AI29" s="551">
        <v>30.490000000000002</v>
      </c>
      <c r="AJ29" s="553"/>
      <c r="AK29" s="254"/>
      <c r="AL29" s="533"/>
      <c r="AM29" s="551">
        <v>10.75</v>
      </c>
      <c r="AN29" s="553"/>
      <c r="AO29" s="254"/>
      <c r="AP29" s="533"/>
      <c r="AQ29" s="551">
        <v>0</v>
      </c>
      <c r="AR29" s="553"/>
      <c r="AS29" s="254"/>
      <c r="AT29" s="533"/>
      <c r="AU29" s="551">
        <v>0</v>
      </c>
      <c r="AV29" s="553"/>
      <c r="AW29" s="254"/>
      <c r="AX29" s="533"/>
      <c r="AY29" s="551">
        <v>75.77000000000001</v>
      </c>
      <c r="AZ29" s="553"/>
      <c r="BA29" s="254"/>
      <c r="BB29" s="533"/>
      <c r="BC29" s="551">
        <v>14.91</v>
      </c>
      <c r="BD29" s="553"/>
      <c r="BE29" s="254"/>
      <c r="BF29" s="533"/>
      <c r="BG29" s="551">
        <v>0</v>
      </c>
      <c r="BH29" s="553"/>
      <c r="BI29" s="254"/>
      <c r="BJ29" s="533"/>
      <c r="BK29" s="551">
        <v>17.5</v>
      </c>
      <c r="BL29" s="553"/>
      <c r="BM29" s="254"/>
      <c r="BN29" s="533"/>
      <c r="BO29" s="551">
        <v>20.5</v>
      </c>
      <c r="BP29" s="553"/>
      <c r="BQ29" s="254"/>
      <c r="BR29" s="533"/>
      <c r="BS29" s="551">
        <v>0</v>
      </c>
      <c r="BT29" s="553"/>
      <c r="BU29" s="254"/>
      <c r="BV29" s="533"/>
      <c r="BW29" s="551">
        <v>0</v>
      </c>
      <c r="BX29" s="553"/>
      <c r="BY29" s="254"/>
      <c r="BZ29" s="533"/>
      <c r="CA29" s="551">
        <v>0</v>
      </c>
      <c r="CB29" s="553"/>
      <c r="CC29" s="254"/>
      <c r="CD29" s="533"/>
      <c r="CE29" s="551">
        <v>0</v>
      </c>
      <c r="CF29" s="553"/>
      <c r="CG29" s="254"/>
      <c r="CH29" s="533"/>
      <c r="CI29" s="551">
        <v>36.519999999999996</v>
      </c>
      <c r="CJ29" s="553"/>
      <c r="CK29" s="254"/>
      <c r="CL29" s="533"/>
      <c r="CM29" s="551">
        <v>0</v>
      </c>
      <c r="CN29" s="553"/>
      <c r="CO29" s="254"/>
      <c r="CP29" s="533"/>
      <c r="CQ29" s="551">
        <v>47.5</v>
      </c>
      <c r="CR29" s="553"/>
      <c r="CS29" s="254"/>
      <c r="CT29" s="533"/>
      <c r="CU29" s="551">
        <v>0</v>
      </c>
      <c r="CV29" s="553"/>
      <c r="CW29" s="254"/>
      <c r="CX29" s="533"/>
      <c r="CY29" s="551">
        <v>0</v>
      </c>
      <c r="CZ29" s="553"/>
      <c r="DA29" s="254"/>
      <c r="DB29" s="533"/>
      <c r="DC29" s="551">
        <v>37</v>
      </c>
      <c r="DD29" s="553"/>
      <c r="DE29" s="254"/>
      <c r="DF29" s="533"/>
      <c r="DG29" s="551">
        <v>9</v>
      </c>
      <c r="DH29" s="553"/>
      <c r="DI29" s="254"/>
      <c r="DJ29" s="533"/>
      <c r="DK29" s="551">
        <v>0</v>
      </c>
      <c r="DL29" s="553"/>
      <c r="DM29" s="254"/>
      <c r="DN29" s="533"/>
      <c r="DO29" s="551">
        <v>20.04</v>
      </c>
      <c r="DP29" s="553"/>
      <c r="DQ29" s="254"/>
      <c r="DR29" s="533"/>
      <c r="DS29" s="551">
        <v>42.54</v>
      </c>
      <c r="DT29" s="553"/>
      <c r="DU29" s="254"/>
      <c r="DV29" s="533"/>
      <c r="DW29" s="551">
        <v>0</v>
      </c>
      <c r="DX29" s="553"/>
      <c r="DY29" s="254"/>
      <c r="DZ29" s="533"/>
      <c r="EA29" s="551">
        <v>0</v>
      </c>
      <c r="EB29" s="553"/>
      <c r="EC29" s="254"/>
      <c r="ED29" s="533"/>
      <c r="EE29" s="551">
        <v>45.04</v>
      </c>
      <c r="EF29" s="553"/>
      <c r="EG29" s="254"/>
      <c r="EH29" s="533"/>
      <c r="EI29" s="551">
        <v>6.91</v>
      </c>
      <c r="EJ29" s="553"/>
      <c r="EK29" s="254"/>
      <c r="EL29" s="533"/>
      <c r="EM29" s="551">
        <v>11</v>
      </c>
      <c r="EN29" s="553"/>
      <c r="EO29" s="254"/>
      <c r="EP29" s="533"/>
      <c r="EQ29" s="551">
        <v>0</v>
      </c>
      <c r="ER29" s="553"/>
      <c r="ES29" s="254"/>
      <c r="ET29" s="533"/>
      <c r="EU29" s="551">
        <v>15.969999999999999</v>
      </c>
      <c r="EV29" s="553"/>
      <c r="EW29" s="254"/>
      <c r="EX29" s="533"/>
      <c r="EY29" s="551">
        <v>37.15</v>
      </c>
      <c r="EZ29" s="553"/>
      <c r="FA29" s="254"/>
      <c r="FB29" s="533"/>
      <c r="FC29" s="551">
        <v>34.489999999999995</v>
      </c>
      <c r="FD29" s="553"/>
      <c r="FE29" s="254"/>
      <c r="FF29" s="533"/>
      <c r="FG29" s="551">
        <v>9.76</v>
      </c>
      <c r="FH29" s="553"/>
      <c r="FI29" s="254"/>
      <c r="FJ29" s="533"/>
      <c r="FK29" s="551">
        <v>0</v>
      </c>
      <c r="FL29" s="553"/>
      <c r="FM29" s="254"/>
      <c r="FN29" s="533"/>
      <c r="FO29" s="551">
        <v>0</v>
      </c>
      <c r="FP29" s="553"/>
      <c r="FQ29" s="254"/>
      <c r="FR29" s="533"/>
      <c r="FS29" s="551">
        <v>14.08</v>
      </c>
      <c r="FT29" s="553"/>
      <c r="FU29" s="254"/>
      <c r="FV29" s="533"/>
      <c r="FW29" s="551">
        <v>0</v>
      </c>
      <c r="FX29" s="553"/>
      <c r="FY29" s="254"/>
      <c r="FZ29" s="533"/>
      <c r="GA29" s="551">
        <v>8.65</v>
      </c>
      <c r="GB29" s="553"/>
      <c r="GC29" s="254"/>
      <c r="GD29" s="533"/>
      <c r="GE29" s="551">
        <v>0</v>
      </c>
      <c r="GF29" s="553"/>
      <c r="GG29" s="254"/>
      <c r="GH29" s="533"/>
      <c r="GI29" s="551">
        <v>0</v>
      </c>
      <c r="GJ29" s="553"/>
      <c r="GK29" s="254"/>
      <c r="GL29" s="533"/>
      <c r="GM29" s="551">
        <v>0</v>
      </c>
      <c r="GN29" s="553"/>
      <c r="GO29" s="254"/>
      <c r="GP29" s="533"/>
      <c r="GQ29" s="551">
        <f t="shared" si="99"/>
        <v>602.60000000000014</v>
      </c>
      <c r="GR29" s="553"/>
      <c r="GS29" s="533"/>
    </row>
    <row r="30" spans="1:201" x14ac:dyDescent="0.2">
      <c r="B30" s="526" t="s">
        <v>22</v>
      </c>
      <c r="C30" s="526"/>
      <c r="D30" s="526"/>
      <c r="E30" s="526"/>
      <c r="F30" s="533"/>
      <c r="G30" s="551">
        <v>34.269999999999996</v>
      </c>
      <c r="H30" s="553"/>
      <c r="I30" s="254"/>
      <c r="J30" s="533"/>
      <c r="K30" s="551">
        <v>0</v>
      </c>
      <c r="L30" s="553"/>
      <c r="M30" s="254"/>
      <c r="N30" s="533"/>
      <c r="O30" s="551">
        <v>0</v>
      </c>
      <c r="P30" s="553"/>
      <c r="Q30" s="254"/>
      <c r="R30" s="533"/>
      <c r="S30" s="551">
        <v>0</v>
      </c>
      <c r="T30" s="553"/>
      <c r="U30" s="254"/>
      <c r="V30" s="533"/>
      <c r="W30" s="551">
        <v>0</v>
      </c>
      <c r="X30" s="553"/>
      <c r="Y30" s="254"/>
      <c r="Z30" s="533"/>
      <c r="AA30" s="551">
        <v>0</v>
      </c>
      <c r="AB30" s="552"/>
      <c r="AC30" s="254"/>
      <c r="AD30" s="533"/>
      <c r="AE30" s="551">
        <v>114.19</v>
      </c>
      <c r="AF30" s="553"/>
      <c r="AG30" s="254"/>
      <c r="AH30" s="533"/>
      <c r="AI30" s="551">
        <v>280.19</v>
      </c>
      <c r="AJ30" s="553"/>
      <c r="AK30" s="254"/>
      <c r="AL30" s="533"/>
      <c r="AM30" s="551">
        <v>0</v>
      </c>
      <c r="AN30" s="553"/>
      <c r="AO30" s="254"/>
      <c r="AP30" s="533"/>
      <c r="AQ30" s="551">
        <v>0</v>
      </c>
      <c r="AR30" s="553"/>
      <c r="AS30" s="254"/>
      <c r="AT30" s="533"/>
      <c r="AU30" s="551">
        <v>0</v>
      </c>
      <c r="AV30" s="553"/>
      <c r="AW30" s="254"/>
      <c r="AX30" s="533"/>
      <c r="AY30" s="551">
        <v>450.06</v>
      </c>
      <c r="AZ30" s="553"/>
      <c r="BA30" s="254"/>
      <c r="BB30" s="533"/>
      <c r="BC30" s="551">
        <v>120.58</v>
      </c>
      <c r="BD30" s="553"/>
      <c r="BE30" s="254"/>
      <c r="BF30" s="533"/>
      <c r="BG30" s="551">
        <v>0</v>
      </c>
      <c r="BH30" s="553"/>
      <c r="BI30" s="254"/>
      <c r="BJ30" s="533"/>
      <c r="BK30" s="551">
        <v>30.66</v>
      </c>
      <c r="BL30" s="553"/>
      <c r="BM30" s="254"/>
      <c r="BN30" s="533"/>
      <c r="BO30" s="551">
        <v>206.99</v>
      </c>
      <c r="BP30" s="553"/>
      <c r="BQ30" s="254"/>
      <c r="BR30" s="533"/>
      <c r="BS30" s="551">
        <v>0</v>
      </c>
      <c r="BT30" s="553"/>
      <c r="BU30" s="254"/>
      <c r="BV30" s="533"/>
      <c r="BW30" s="551">
        <v>9</v>
      </c>
      <c r="BX30" s="553"/>
      <c r="BY30" s="254"/>
      <c r="BZ30" s="533"/>
      <c r="CA30" s="551">
        <v>0</v>
      </c>
      <c r="CB30" s="553"/>
      <c r="CC30" s="254"/>
      <c r="CD30" s="533"/>
      <c r="CE30" s="551">
        <v>0</v>
      </c>
      <c r="CF30" s="553"/>
      <c r="CG30" s="254"/>
      <c r="CH30" s="533"/>
      <c r="CI30" s="551">
        <v>77.990000000000009</v>
      </c>
      <c r="CJ30" s="553"/>
      <c r="CK30" s="254"/>
      <c r="CL30" s="533"/>
      <c r="CM30" s="551">
        <v>0</v>
      </c>
      <c r="CN30" s="553"/>
      <c r="CO30" s="254"/>
      <c r="CP30" s="533"/>
      <c r="CQ30" s="551">
        <v>459.96000000000004</v>
      </c>
      <c r="CR30" s="553"/>
      <c r="CS30" s="254"/>
      <c r="CT30" s="533"/>
      <c r="CU30" s="551">
        <v>444.23</v>
      </c>
      <c r="CV30" s="553"/>
      <c r="CW30" s="254"/>
      <c r="CX30" s="533"/>
      <c r="CY30" s="551">
        <v>225.73000000000002</v>
      </c>
      <c r="CZ30" s="553"/>
      <c r="DA30" s="254"/>
      <c r="DB30" s="533"/>
      <c r="DC30" s="551">
        <v>57.2</v>
      </c>
      <c r="DD30" s="553"/>
      <c r="DE30" s="254"/>
      <c r="DF30" s="533"/>
      <c r="DG30" s="551">
        <v>173.32999999999998</v>
      </c>
      <c r="DH30" s="553"/>
      <c r="DI30" s="254"/>
      <c r="DJ30" s="533"/>
      <c r="DK30" s="551">
        <v>0</v>
      </c>
      <c r="DL30" s="553"/>
      <c r="DM30" s="254"/>
      <c r="DN30" s="533"/>
      <c r="DO30" s="551">
        <v>347.15</v>
      </c>
      <c r="DP30" s="553"/>
      <c r="DQ30" s="254"/>
      <c r="DR30" s="533"/>
      <c r="DS30" s="551">
        <v>465.55</v>
      </c>
      <c r="DT30" s="553"/>
      <c r="DU30" s="254"/>
      <c r="DV30" s="533"/>
      <c r="DW30" s="551">
        <v>544.53</v>
      </c>
      <c r="DX30" s="553"/>
      <c r="DY30" s="254"/>
      <c r="DZ30" s="533"/>
      <c r="EA30" s="551">
        <v>0</v>
      </c>
      <c r="EB30" s="553"/>
      <c r="EC30" s="254"/>
      <c r="ED30" s="533"/>
      <c r="EE30" s="551">
        <v>598.61</v>
      </c>
      <c r="EF30" s="553"/>
      <c r="EG30" s="254"/>
      <c r="EH30" s="533"/>
      <c r="EI30" s="551">
        <v>53.19</v>
      </c>
      <c r="EJ30" s="553"/>
      <c r="EK30" s="254"/>
      <c r="EL30" s="533"/>
      <c r="EM30" s="551">
        <v>198.38</v>
      </c>
      <c r="EN30" s="553"/>
      <c r="EO30" s="254"/>
      <c r="EP30" s="533"/>
      <c r="EQ30" s="551">
        <v>66.930000000000007</v>
      </c>
      <c r="ER30" s="553"/>
      <c r="ES30" s="254"/>
      <c r="ET30" s="533"/>
      <c r="EU30" s="551">
        <v>382.63</v>
      </c>
      <c r="EV30" s="553"/>
      <c r="EW30" s="254"/>
      <c r="EX30" s="533"/>
      <c r="EY30" s="551">
        <v>347.15</v>
      </c>
      <c r="EZ30" s="553"/>
      <c r="FA30" s="254"/>
      <c r="FB30" s="533"/>
      <c r="FC30" s="551">
        <v>455.74</v>
      </c>
      <c r="FD30" s="553"/>
      <c r="FE30" s="254"/>
      <c r="FF30" s="533"/>
      <c r="FG30" s="551">
        <v>138.37</v>
      </c>
      <c r="FH30" s="553"/>
      <c r="FI30" s="254"/>
      <c r="FJ30" s="533"/>
      <c r="FK30" s="551">
        <v>0</v>
      </c>
      <c r="FL30" s="553"/>
      <c r="FM30" s="254"/>
      <c r="FN30" s="533"/>
      <c r="FO30" s="551">
        <v>272.75</v>
      </c>
      <c r="FP30" s="553"/>
      <c r="FQ30" s="254"/>
      <c r="FR30" s="533"/>
      <c r="FS30" s="551">
        <v>99.27000000000001</v>
      </c>
      <c r="FT30" s="553"/>
      <c r="FU30" s="254"/>
      <c r="FV30" s="533"/>
      <c r="FW30" s="551">
        <v>0</v>
      </c>
      <c r="FX30" s="553"/>
      <c r="FY30" s="254"/>
      <c r="FZ30" s="533"/>
      <c r="GA30" s="551">
        <v>68.12</v>
      </c>
      <c r="GB30" s="553"/>
      <c r="GC30" s="254"/>
      <c r="GD30" s="533"/>
      <c r="GE30" s="551">
        <v>394.53</v>
      </c>
      <c r="GF30" s="553"/>
      <c r="GG30" s="254"/>
      <c r="GH30" s="533"/>
      <c r="GI30" s="551">
        <v>0</v>
      </c>
      <c r="GJ30" s="553"/>
      <c r="GK30" s="254"/>
      <c r="GL30" s="533"/>
      <c r="GM30" s="551">
        <v>0</v>
      </c>
      <c r="GN30" s="553"/>
      <c r="GO30" s="254"/>
      <c r="GP30" s="533"/>
      <c r="GQ30" s="551">
        <f t="shared" si="99"/>
        <v>7117.2799999999988</v>
      </c>
      <c r="GR30" s="553"/>
      <c r="GS30" s="533"/>
    </row>
    <row r="31" spans="1:201" x14ac:dyDescent="0.2">
      <c r="B31" s="526" t="s">
        <v>23</v>
      </c>
      <c r="C31" s="526"/>
      <c r="D31" s="526"/>
      <c r="E31" s="526"/>
      <c r="F31" s="533"/>
      <c r="G31" s="551">
        <v>5</v>
      </c>
      <c r="H31" s="553"/>
      <c r="I31" s="254"/>
      <c r="J31" s="533"/>
      <c r="K31" s="551">
        <v>0</v>
      </c>
      <c r="L31" s="553"/>
      <c r="M31" s="254"/>
      <c r="N31" s="533"/>
      <c r="O31" s="551">
        <v>0</v>
      </c>
      <c r="P31" s="553"/>
      <c r="Q31" s="254"/>
      <c r="R31" s="533"/>
      <c r="S31" s="551">
        <v>0</v>
      </c>
      <c r="T31" s="553"/>
      <c r="U31" s="254"/>
      <c r="V31" s="533"/>
      <c r="W31" s="551">
        <v>0</v>
      </c>
      <c r="X31" s="553"/>
      <c r="Y31" s="254"/>
      <c r="Z31" s="533"/>
      <c r="AA31" s="551">
        <v>0</v>
      </c>
      <c r="AB31" s="552"/>
      <c r="AC31" s="254"/>
      <c r="AD31" s="533"/>
      <c r="AE31" s="551">
        <v>28.48</v>
      </c>
      <c r="AF31" s="553"/>
      <c r="AG31" s="254"/>
      <c r="AH31" s="533"/>
      <c r="AI31" s="551">
        <v>69.03</v>
      </c>
      <c r="AJ31" s="553"/>
      <c r="AK31" s="254"/>
      <c r="AL31" s="533"/>
      <c r="AM31" s="551">
        <v>21.5</v>
      </c>
      <c r="AN31" s="553"/>
      <c r="AO31" s="254"/>
      <c r="AP31" s="533"/>
      <c r="AQ31" s="551">
        <v>0</v>
      </c>
      <c r="AR31" s="553"/>
      <c r="AS31" s="254"/>
      <c r="AT31" s="533"/>
      <c r="AU31" s="551">
        <v>0</v>
      </c>
      <c r="AV31" s="553"/>
      <c r="AW31" s="254"/>
      <c r="AX31" s="533"/>
      <c r="AY31" s="551">
        <v>112.33</v>
      </c>
      <c r="AZ31" s="553"/>
      <c r="BA31" s="254"/>
      <c r="BB31" s="533"/>
      <c r="BC31" s="551">
        <v>23</v>
      </c>
      <c r="BD31" s="553"/>
      <c r="BE31" s="254"/>
      <c r="BF31" s="533"/>
      <c r="BG31" s="551">
        <v>2.5</v>
      </c>
      <c r="BH31" s="553"/>
      <c r="BI31" s="254"/>
      <c r="BJ31" s="533"/>
      <c r="BK31" s="551">
        <v>10.440000000000001</v>
      </c>
      <c r="BL31" s="553"/>
      <c r="BM31" s="254"/>
      <c r="BN31" s="533"/>
      <c r="BO31" s="551">
        <v>39</v>
      </c>
      <c r="BP31" s="553"/>
      <c r="BQ31" s="254"/>
      <c r="BR31" s="533"/>
      <c r="BS31" s="551">
        <v>0</v>
      </c>
      <c r="BT31" s="553"/>
      <c r="BU31" s="254"/>
      <c r="BV31" s="533"/>
      <c r="BW31" s="551">
        <v>3.5</v>
      </c>
      <c r="BX31" s="553"/>
      <c r="BY31" s="254"/>
      <c r="BZ31" s="533"/>
      <c r="CA31" s="551">
        <v>0</v>
      </c>
      <c r="CB31" s="553"/>
      <c r="CC31" s="254"/>
      <c r="CD31" s="533"/>
      <c r="CE31" s="551">
        <v>0</v>
      </c>
      <c r="CF31" s="553"/>
      <c r="CG31" s="254"/>
      <c r="CH31" s="533"/>
      <c r="CI31" s="551">
        <v>24.490000000000002</v>
      </c>
      <c r="CJ31" s="553"/>
      <c r="CK31" s="254"/>
      <c r="CL31" s="533"/>
      <c r="CM31" s="551">
        <v>0</v>
      </c>
      <c r="CN31" s="553"/>
      <c r="CO31" s="254"/>
      <c r="CP31" s="533"/>
      <c r="CQ31" s="551">
        <v>59.989999999999995</v>
      </c>
      <c r="CR31" s="553"/>
      <c r="CS31" s="254"/>
      <c r="CT31" s="533"/>
      <c r="CU31" s="551">
        <v>83.960000000000008</v>
      </c>
      <c r="CV31" s="553"/>
      <c r="CW31" s="254"/>
      <c r="CX31" s="533"/>
      <c r="CY31" s="551">
        <v>45.5</v>
      </c>
      <c r="CZ31" s="553"/>
      <c r="DA31" s="254"/>
      <c r="DB31" s="533"/>
      <c r="DC31" s="551">
        <v>17.5</v>
      </c>
      <c r="DD31" s="553"/>
      <c r="DE31" s="254"/>
      <c r="DF31" s="533"/>
      <c r="DG31" s="551">
        <v>27.119999999999997</v>
      </c>
      <c r="DH31" s="553"/>
      <c r="DI31" s="254"/>
      <c r="DJ31" s="533"/>
      <c r="DK31" s="551">
        <v>0</v>
      </c>
      <c r="DL31" s="553"/>
      <c r="DM31" s="254"/>
      <c r="DN31" s="533"/>
      <c r="DO31" s="551">
        <v>42</v>
      </c>
      <c r="DP31" s="553"/>
      <c r="DQ31" s="254"/>
      <c r="DR31" s="533"/>
      <c r="DS31" s="551">
        <v>64.150000000000006</v>
      </c>
      <c r="DT31" s="553"/>
      <c r="DU31" s="254"/>
      <c r="DV31" s="533"/>
      <c r="DW31" s="551">
        <v>126.50999999999999</v>
      </c>
      <c r="DX31" s="553"/>
      <c r="DY31" s="254"/>
      <c r="DZ31" s="533"/>
      <c r="EA31" s="551">
        <v>0</v>
      </c>
      <c r="EB31" s="553"/>
      <c r="EC31" s="254"/>
      <c r="ED31" s="533"/>
      <c r="EE31" s="551">
        <v>74.41</v>
      </c>
      <c r="EF31" s="553"/>
      <c r="EG31" s="254"/>
      <c r="EH31" s="533"/>
      <c r="EI31" s="551">
        <v>3</v>
      </c>
      <c r="EJ31" s="553"/>
      <c r="EK31" s="254"/>
      <c r="EL31" s="533"/>
      <c r="EM31" s="551">
        <v>37.840000000000003</v>
      </c>
      <c r="EN31" s="553"/>
      <c r="EO31" s="254"/>
      <c r="EP31" s="533"/>
      <c r="EQ31" s="551">
        <v>14.22</v>
      </c>
      <c r="ER31" s="553"/>
      <c r="ES31" s="254"/>
      <c r="ET31" s="533"/>
      <c r="EU31" s="551">
        <v>44.44</v>
      </c>
      <c r="EV31" s="553"/>
      <c r="EW31" s="254"/>
      <c r="EX31" s="533"/>
      <c r="EY31" s="551">
        <v>52.760000000000005</v>
      </c>
      <c r="EZ31" s="553"/>
      <c r="FA31" s="254"/>
      <c r="FB31" s="533"/>
      <c r="FC31" s="551">
        <v>71.900000000000006</v>
      </c>
      <c r="FD31" s="553"/>
      <c r="FE31" s="254"/>
      <c r="FF31" s="533"/>
      <c r="FG31" s="551">
        <v>21.93</v>
      </c>
      <c r="FH31" s="553"/>
      <c r="FI31" s="254"/>
      <c r="FJ31" s="533"/>
      <c r="FK31" s="551">
        <v>0</v>
      </c>
      <c r="FL31" s="553"/>
      <c r="FM31" s="254"/>
      <c r="FN31" s="533"/>
      <c r="FO31" s="551">
        <v>47.35</v>
      </c>
      <c r="FP31" s="553"/>
      <c r="FQ31" s="254"/>
      <c r="FR31" s="533"/>
      <c r="FS31" s="551">
        <v>19.09</v>
      </c>
      <c r="FT31" s="553"/>
      <c r="FU31" s="254"/>
      <c r="FV31" s="533"/>
      <c r="FW31" s="551">
        <v>2.5</v>
      </c>
      <c r="FX31" s="553"/>
      <c r="FY31" s="254"/>
      <c r="FZ31" s="533"/>
      <c r="GA31" s="551">
        <v>12.5</v>
      </c>
      <c r="GB31" s="553"/>
      <c r="GC31" s="254"/>
      <c r="GD31" s="533"/>
      <c r="GE31" s="551">
        <v>61.22</v>
      </c>
      <c r="GF31" s="553"/>
      <c r="GG31" s="254"/>
      <c r="GH31" s="533"/>
      <c r="GI31" s="551">
        <v>0</v>
      </c>
      <c r="GJ31" s="553"/>
      <c r="GK31" s="254"/>
      <c r="GL31" s="533"/>
      <c r="GM31" s="551">
        <v>0</v>
      </c>
      <c r="GN31" s="553"/>
      <c r="GO31" s="254"/>
      <c r="GP31" s="533"/>
      <c r="GQ31" s="551">
        <f t="shared" si="99"/>
        <v>1269.1600000000001</v>
      </c>
      <c r="GR31" s="553"/>
      <c r="GS31" s="533"/>
    </row>
    <row r="32" spans="1:201" x14ac:dyDescent="0.2">
      <c r="B32" s="526" t="s">
        <v>24</v>
      </c>
      <c r="C32" s="526"/>
      <c r="D32" s="526"/>
      <c r="E32" s="526"/>
      <c r="F32" s="533"/>
      <c r="G32" s="551">
        <v>0</v>
      </c>
      <c r="H32" s="553"/>
      <c r="I32" s="254"/>
      <c r="J32" s="533"/>
      <c r="K32" s="551">
        <v>505.12</v>
      </c>
      <c r="L32" s="553"/>
      <c r="M32" s="254"/>
      <c r="N32" s="533"/>
      <c r="O32" s="551">
        <v>641.49</v>
      </c>
      <c r="P32" s="553"/>
      <c r="Q32" s="254"/>
      <c r="R32" s="533"/>
      <c r="S32" s="551">
        <v>0</v>
      </c>
      <c r="T32" s="553"/>
      <c r="U32" s="254"/>
      <c r="V32" s="533"/>
      <c r="W32" s="551">
        <v>0</v>
      </c>
      <c r="X32" s="553"/>
      <c r="Y32" s="254"/>
      <c r="Z32" s="533"/>
      <c r="AA32" s="551">
        <v>0</v>
      </c>
      <c r="AB32" s="552"/>
      <c r="AC32" s="254"/>
      <c r="AD32" s="533"/>
      <c r="AE32" s="551">
        <v>0</v>
      </c>
      <c r="AF32" s="553"/>
      <c r="AG32" s="254"/>
      <c r="AH32" s="533"/>
      <c r="AI32" s="551">
        <v>0</v>
      </c>
      <c r="AJ32" s="553"/>
      <c r="AK32" s="254"/>
      <c r="AL32" s="533"/>
      <c r="AM32" s="551">
        <v>0</v>
      </c>
      <c r="AN32" s="553"/>
      <c r="AO32" s="254"/>
      <c r="AP32" s="533"/>
      <c r="AQ32" s="551">
        <v>0</v>
      </c>
      <c r="AR32" s="553"/>
      <c r="AS32" s="254"/>
      <c r="AT32" s="533"/>
      <c r="AU32" s="551">
        <v>0</v>
      </c>
      <c r="AV32" s="553"/>
      <c r="AW32" s="254"/>
      <c r="AX32" s="533"/>
      <c r="AY32" s="551">
        <v>0</v>
      </c>
      <c r="AZ32" s="553"/>
      <c r="BA32" s="254"/>
      <c r="BB32" s="533"/>
      <c r="BC32" s="551">
        <v>0</v>
      </c>
      <c r="BD32" s="553"/>
      <c r="BE32" s="254"/>
      <c r="BF32" s="533"/>
      <c r="BG32" s="551">
        <v>0</v>
      </c>
      <c r="BH32" s="553"/>
      <c r="BI32" s="254"/>
      <c r="BJ32" s="533"/>
      <c r="BK32" s="551">
        <v>0</v>
      </c>
      <c r="BL32" s="553"/>
      <c r="BM32" s="254"/>
      <c r="BN32" s="533"/>
      <c r="BO32" s="551">
        <v>0</v>
      </c>
      <c r="BP32" s="553"/>
      <c r="BQ32" s="254"/>
      <c r="BR32" s="533"/>
      <c r="BS32" s="551">
        <v>578.68000000000006</v>
      </c>
      <c r="BT32" s="553"/>
      <c r="BU32" s="254"/>
      <c r="BV32" s="533"/>
      <c r="BW32" s="551">
        <v>96.69</v>
      </c>
      <c r="BX32" s="553"/>
      <c r="BY32" s="254"/>
      <c r="BZ32" s="533"/>
      <c r="CA32" s="551">
        <v>0</v>
      </c>
      <c r="CB32" s="553"/>
      <c r="CC32" s="254"/>
      <c r="CD32" s="533"/>
      <c r="CE32" s="551">
        <v>276.75</v>
      </c>
      <c r="CF32" s="553"/>
      <c r="CG32" s="254"/>
      <c r="CH32" s="533"/>
      <c r="CI32" s="551">
        <v>0</v>
      </c>
      <c r="CJ32" s="553"/>
      <c r="CK32" s="254"/>
      <c r="CL32" s="533"/>
      <c r="CM32" s="551">
        <v>263.72000000000003</v>
      </c>
      <c r="CN32" s="553"/>
      <c r="CO32" s="254"/>
      <c r="CP32" s="533"/>
      <c r="CQ32" s="551">
        <v>0</v>
      </c>
      <c r="CR32" s="553"/>
      <c r="CS32" s="254"/>
      <c r="CT32" s="533"/>
      <c r="CU32" s="551">
        <v>0</v>
      </c>
      <c r="CV32" s="553"/>
      <c r="CW32" s="254"/>
      <c r="CX32" s="533"/>
      <c r="CY32" s="551">
        <v>150.91000000000003</v>
      </c>
      <c r="CZ32" s="553"/>
      <c r="DA32" s="254"/>
      <c r="DB32" s="533"/>
      <c r="DC32" s="551">
        <v>0</v>
      </c>
      <c r="DD32" s="553"/>
      <c r="DE32" s="254"/>
      <c r="DF32" s="533"/>
      <c r="DG32" s="551">
        <v>0</v>
      </c>
      <c r="DH32" s="553"/>
      <c r="DI32" s="254"/>
      <c r="DJ32" s="533"/>
      <c r="DK32" s="551">
        <v>435.69</v>
      </c>
      <c r="DL32" s="553"/>
      <c r="DM32" s="254"/>
      <c r="DN32" s="533"/>
      <c r="DO32" s="551">
        <v>0</v>
      </c>
      <c r="DP32" s="553"/>
      <c r="DQ32" s="254"/>
      <c r="DR32" s="533"/>
      <c r="DS32" s="551">
        <v>0</v>
      </c>
      <c r="DT32" s="553"/>
      <c r="DU32" s="254"/>
      <c r="DV32" s="533"/>
      <c r="DW32" s="551">
        <v>0</v>
      </c>
      <c r="DX32" s="553"/>
      <c r="DY32" s="254"/>
      <c r="DZ32" s="533"/>
      <c r="EA32" s="551">
        <v>899.45</v>
      </c>
      <c r="EB32" s="553"/>
      <c r="EC32" s="254"/>
      <c r="ED32" s="533"/>
      <c r="EE32" s="551">
        <v>0</v>
      </c>
      <c r="EF32" s="553"/>
      <c r="EG32" s="254"/>
      <c r="EH32" s="533"/>
      <c r="EI32" s="551">
        <v>0</v>
      </c>
      <c r="EJ32" s="553"/>
      <c r="EK32" s="254"/>
      <c r="EL32" s="533"/>
      <c r="EM32" s="551">
        <v>0</v>
      </c>
      <c r="EN32" s="553"/>
      <c r="EO32" s="254"/>
      <c r="EP32" s="533"/>
      <c r="EQ32" s="551">
        <v>0</v>
      </c>
      <c r="ER32" s="553"/>
      <c r="ES32" s="254"/>
      <c r="ET32" s="533"/>
      <c r="EU32" s="551">
        <v>0</v>
      </c>
      <c r="EV32" s="553"/>
      <c r="EW32" s="254"/>
      <c r="EX32" s="533"/>
      <c r="EY32" s="551">
        <v>0</v>
      </c>
      <c r="EZ32" s="553"/>
      <c r="FA32" s="254"/>
      <c r="FB32" s="533"/>
      <c r="FC32" s="551">
        <v>0</v>
      </c>
      <c r="FD32" s="553"/>
      <c r="FE32" s="254"/>
      <c r="FF32" s="533"/>
      <c r="FG32" s="551">
        <v>0</v>
      </c>
      <c r="FH32" s="553"/>
      <c r="FI32" s="254"/>
      <c r="FJ32" s="533"/>
      <c r="FK32" s="551">
        <v>106.5</v>
      </c>
      <c r="FL32" s="553"/>
      <c r="FM32" s="254"/>
      <c r="FN32" s="533"/>
      <c r="FO32" s="551">
        <v>0</v>
      </c>
      <c r="FP32" s="553"/>
      <c r="FQ32" s="254"/>
      <c r="FR32" s="533"/>
      <c r="FS32" s="551">
        <v>0</v>
      </c>
      <c r="FT32" s="553"/>
      <c r="FU32" s="254"/>
      <c r="FV32" s="533"/>
      <c r="FW32" s="551">
        <v>0</v>
      </c>
      <c r="FX32" s="553"/>
      <c r="FY32" s="254"/>
      <c r="FZ32" s="533"/>
      <c r="GA32" s="551">
        <v>0</v>
      </c>
      <c r="GB32" s="553"/>
      <c r="GC32" s="254"/>
      <c r="GD32" s="533"/>
      <c r="GE32" s="551">
        <v>325.93</v>
      </c>
      <c r="GF32" s="553"/>
      <c r="GG32" s="254"/>
      <c r="GH32" s="533"/>
      <c r="GI32" s="551">
        <v>179.26</v>
      </c>
      <c r="GJ32" s="553"/>
      <c r="GK32" s="254"/>
      <c r="GL32" s="533"/>
      <c r="GM32" s="551">
        <v>28.35</v>
      </c>
      <c r="GN32" s="553"/>
      <c r="GO32" s="254"/>
      <c r="GP32" s="533"/>
      <c r="GQ32" s="551">
        <f t="shared" si="99"/>
        <v>4488.5400000000018</v>
      </c>
      <c r="GR32" s="553"/>
      <c r="GS32" s="533"/>
    </row>
    <row r="33" spans="2:201" x14ac:dyDescent="0.2">
      <c r="B33" s="526" t="s">
        <v>25</v>
      </c>
      <c r="C33" s="526"/>
      <c r="D33" s="526"/>
      <c r="E33" s="526"/>
      <c r="F33" s="533"/>
      <c r="G33" s="551">
        <v>0</v>
      </c>
      <c r="H33" s="553"/>
      <c r="I33" s="254"/>
      <c r="J33" s="533"/>
      <c r="K33" s="551">
        <v>74.87</v>
      </c>
      <c r="L33" s="553"/>
      <c r="M33" s="254"/>
      <c r="N33" s="533"/>
      <c r="O33" s="551">
        <v>221.44</v>
      </c>
      <c r="P33" s="553"/>
      <c r="Q33" s="254"/>
      <c r="R33" s="533"/>
      <c r="S33" s="551">
        <v>45.44</v>
      </c>
      <c r="T33" s="553"/>
      <c r="U33" s="254"/>
      <c r="V33" s="533"/>
      <c r="W33" s="551">
        <v>0</v>
      </c>
      <c r="X33" s="553"/>
      <c r="Y33" s="254"/>
      <c r="Z33" s="533"/>
      <c r="AA33" s="551">
        <v>0</v>
      </c>
      <c r="AB33" s="552"/>
      <c r="AC33" s="254"/>
      <c r="AD33" s="533"/>
      <c r="AE33" s="551">
        <v>0</v>
      </c>
      <c r="AF33" s="553"/>
      <c r="AG33" s="254"/>
      <c r="AH33" s="533"/>
      <c r="AI33" s="551">
        <v>0</v>
      </c>
      <c r="AJ33" s="553"/>
      <c r="AK33" s="254"/>
      <c r="AL33" s="533"/>
      <c r="AM33" s="551">
        <v>46.82</v>
      </c>
      <c r="AN33" s="553"/>
      <c r="AO33" s="254"/>
      <c r="AP33" s="533"/>
      <c r="AQ33" s="551">
        <v>10.5</v>
      </c>
      <c r="AR33" s="553"/>
      <c r="AS33" s="254"/>
      <c r="AT33" s="533"/>
      <c r="AU33" s="551">
        <v>49.44</v>
      </c>
      <c r="AV33" s="553"/>
      <c r="AW33" s="254"/>
      <c r="AX33" s="533"/>
      <c r="AY33" s="551">
        <v>0</v>
      </c>
      <c r="AZ33" s="553"/>
      <c r="BA33" s="254"/>
      <c r="BB33" s="533"/>
      <c r="BC33" s="551">
        <v>0</v>
      </c>
      <c r="BD33" s="553"/>
      <c r="BE33" s="254"/>
      <c r="BF33" s="533"/>
      <c r="BG33" s="551">
        <v>29.96</v>
      </c>
      <c r="BH33" s="553"/>
      <c r="BI33" s="254"/>
      <c r="BJ33" s="533"/>
      <c r="BK33" s="551">
        <v>0</v>
      </c>
      <c r="BL33" s="553"/>
      <c r="BM33" s="254"/>
      <c r="BN33" s="533"/>
      <c r="BO33" s="551">
        <v>0</v>
      </c>
      <c r="BP33" s="553"/>
      <c r="BQ33" s="254"/>
      <c r="BR33" s="533"/>
      <c r="BS33" s="551">
        <v>83.9</v>
      </c>
      <c r="BT33" s="553"/>
      <c r="BU33" s="254"/>
      <c r="BV33" s="533"/>
      <c r="BW33" s="551">
        <v>26.4</v>
      </c>
      <c r="BX33" s="553"/>
      <c r="BY33" s="254"/>
      <c r="BZ33" s="533"/>
      <c r="CA33" s="551">
        <v>95.37</v>
      </c>
      <c r="CB33" s="553"/>
      <c r="CC33" s="254"/>
      <c r="CD33" s="533"/>
      <c r="CE33" s="551">
        <v>53.2</v>
      </c>
      <c r="CF33" s="553"/>
      <c r="CG33" s="254"/>
      <c r="CH33" s="533"/>
      <c r="CI33" s="551">
        <v>0</v>
      </c>
      <c r="CJ33" s="553"/>
      <c r="CK33" s="254"/>
      <c r="CL33" s="533"/>
      <c r="CM33" s="551">
        <v>42.89</v>
      </c>
      <c r="CN33" s="553"/>
      <c r="CO33" s="254"/>
      <c r="CP33" s="533"/>
      <c r="CQ33" s="551">
        <v>0</v>
      </c>
      <c r="CR33" s="553"/>
      <c r="CS33" s="254"/>
      <c r="CT33" s="533"/>
      <c r="CU33" s="551">
        <v>0</v>
      </c>
      <c r="CV33" s="553"/>
      <c r="CW33" s="254"/>
      <c r="CX33" s="533"/>
      <c r="CY33" s="551">
        <v>33.94</v>
      </c>
      <c r="CZ33" s="553"/>
      <c r="DA33" s="254"/>
      <c r="DB33" s="533"/>
      <c r="DC33" s="551">
        <v>0</v>
      </c>
      <c r="DD33" s="553"/>
      <c r="DE33" s="254"/>
      <c r="DF33" s="533"/>
      <c r="DG33" s="551">
        <v>0</v>
      </c>
      <c r="DH33" s="553"/>
      <c r="DI33" s="254"/>
      <c r="DJ33" s="533"/>
      <c r="DK33" s="551">
        <v>111.07</v>
      </c>
      <c r="DL33" s="553"/>
      <c r="DM33" s="254"/>
      <c r="DN33" s="533"/>
      <c r="DO33" s="551">
        <v>0</v>
      </c>
      <c r="DP33" s="553"/>
      <c r="DQ33" s="254"/>
      <c r="DR33" s="533"/>
      <c r="DS33" s="551">
        <v>0</v>
      </c>
      <c r="DT33" s="553"/>
      <c r="DU33" s="254"/>
      <c r="DV33" s="533"/>
      <c r="DW33" s="551">
        <v>0</v>
      </c>
      <c r="DX33" s="553"/>
      <c r="DY33" s="254"/>
      <c r="DZ33" s="533"/>
      <c r="EA33" s="551">
        <v>80.58</v>
      </c>
      <c r="EB33" s="553"/>
      <c r="EC33" s="254"/>
      <c r="ED33" s="533"/>
      <c r="EE33" s="551">
        <v>0</v>
      </c>
      <c r="EF33" s="553"/>
      <c r="EG33" s="254"/>
      <c r="EH33" s="533"/>
      <c r="EI33" s="551">
        <v>0</v>
      </c>
      <c r="EJ33" s="553"/>
      <c r="EK33" s="254"/>
      <c r="EL33" s="533"/>
      <c r="EM33" s="551">
        <v>0</v>
      </c>
      <c r="EN33" s="553"/>
      <c r="EO33" s="254"/>
      <c r="EP33" s="533"/>
      <c r="EQ33" s="551">
        <v>0</v>
      </c>
      <c r="ER33" s="553"/>
      <c r="ES33" s="254"/>
      <c r="ET33" s="533"/>
      <c r="EU33" s="551">
        <v>0</v>
      </c>
      <c r="EV33" s="553"/>
      <c r="EW33" s="254"/>
      <c r="EX33" s="533"/>
      <c r="EY33" s="551">
        <v>0</v>
      </c>
      <c r="EZ33" s="553"/>
      <c r="FA33" s="254"/>
      <c r="FB33" s="533"/>
      <c r="FC33" s="551">
        <v>0</v>
      </c>
      <c r="FD33" s="553"/>
      <c r="FE33" s="254"/>
      <c r="FF33" s="533"/>
      <c r="FG33" s="551">
        <v>0</v>
      </c>
      <c r="FH33" s="553"/>
      <c r="FI33" s="254"/>
      <c r="FJ33" s="533"/>
      <c r="FK33" s="551">
        <v>29.65</v>
      </c>
      <c r="FL33" s="553"/>
      <c r="FM33" s="254"/>
      <c r="FN33" s="533"/>
      <c r="FO33" s="551">
        <v>0</v>
      </c>
      <c r="FP33" s="553"/>
      <c r="FQ33" s="254"/>
      <c r="FR33" s="533"/>
      <c r="FS33" s="551">
        <v>0</v>
      </c>
      <c r="FT33" s="553"/>
      <c r="FU33" s="254"/>
      <c r="FV33" s="533"/>
      <c r="FW33" s="551">
        <v>0</v>
      </c>
      <c r="FX33" s="553"/>
      <c r="FY33" s="254"/>
      <c r="FZ33" s="533"/>
      <c r="GA33" s="551">
        <v>0</v>
      </c>
      <c r="GB33" s="553"/>
      <c r="GC33" s="254"/>
      <c r="GD33" s="533"/>
      <c r="GE33" s="551">
        <v>36.54</v>
      </c>
      <c r="GF33" s="553"/>
      <c r="GG33" s="254"/>
      <c r="GH33" s="533"/>
      <c r="GI33" s="551">
        <v>49.05</v>
      </c>
      <c r="GJ33" s="553"/>
      <c r="GK33" s="254"/>
      <c r="GL33" s="533"/>
      <c r="GM33" s="551">
        <v>4</v>
      </c>
      <c r="GN33" s="553"/>
      <c r="GO33" s="254"/>
      <c r="GP33" s="533"/>
      <c r="GQ33" s="551">
        <f t="shared" si="99"/>
        <v>1125.06</v>
      </c>
      <c r="GR33" s="553"/>
      <c r="GS33" s="533"/>
    </row>
    <row r="34" spans="2:201" x14ac:dyDescent="0.2">
      <c r="B34" s="526" t="s">
        <v>631</v>
      </c>
      <c r="C34" s="526"/>
      <c r="D34" s="526"/>
      <c r="E34" s="526"/>
      <c r="F34" s="533"/>
      <c r="G34" s="551">
        <v>0</v>
      </c>
      <c r="H34" s="553"/>
      <c r="I34" s="254"/>
      <c r="J34" s="533"/>
      <c r="K34" s="551">
        <v>0</v>
      </c>
      <c r="L34" s="553"/>
      <c r="M34" s="254"/>
      <c r="N34" s="533"/>
      <c r="O34" s="551">
        <v>0</v>
      </c>
      <c r="P34" s="553"/>
      <c r="Q34" s="254"/>
      <c r="R34" s="533"/>
      <c r="S34" s="551">
        <v>0</v>
      </c>
      <c r="T34" s="553"/>
      <c r="U34" s="254"/>
      <c r="V34" s="533"/>
      <c r="W34" s="551">
        <v>3</v>
      </c>
      <c r="X34" s="553"/>
      <c r="Y34" s="254"/>
      <c r="Z34" s="533"/>
      <c r="AA34" s="551">
        <v>46.019999999999996</v>
      </c>
      <c r="AB34" s="552"/>
      <c r="AC34" s="254"/>
      <c r="AD34" s="533"/>
      <c r="AE34" s="551">
        <v>0</v>
      </c>
      <c r="AF34" s="553"/>
      <c r="AG34" s="254"/>
      <c r="AH34" s="533"/>
      <c r="AI34" s="551">
        <v>0</v>
      </c>
      <c r="AJ34" s="553"/>
      <c r="AK34" s="254"/>
      <c r="AL34" s="533"/>
      <c r="AM34" s="551">
        <v>104.5</v>
      </c>
      <c r="AN34" s="553"/>
      <c r="AO34" s="254"/>
      <c r="AP34" s="533"/>
      <c r="AQ34" s="551">
        <v>0</v>
      </c>
      <c r="AR34" s="553"/>
      <c r="AS34" s="254"/>
      <c r="AT34" s="533"/>
      <c r="AU34" s="551">
        <v>0</v>
      </c>
      <c r="AV34" s="553"/>
      <c r="AW34" s="254"/>
      <c r="AX34" s="533"/>
      <c r="AY34" s="551">
        <v>0</v>
      </c>
      <c r="AZ34" s="553"/>
      <c r="BA34" s="254"/>
      <c r="BB34" s="533"/>
      <c r="BC34" s="551">
        <v>0</v>
      </c>
      <c r="BD34" s="553"/>
      <c r="BE34" s="254"/>
      <c r="BF34" s="533"/>
      <c r="BG34" s="551">
        <v>0</v>
      </c>
      <c r="BH34" s="553"/>
      <c r="BI34" s="254"/>
      <c r="BJ34" s="533"/>
      <c r="BK34" s="551">
        <v>0</v>
      </c>
      <c r="BL34" s="553"/>
      <c r="BM34" s="254"/>
      <c r="BN34" s="533"/>
      <c r="BO34" s="551">
        <v>0</v>
      </c>
      <c r="BP34" s="553"/>
      <c r="BQ34" s="254"/>
      <c r="BR34" s="533"/>
      <c r="BS34" s="551">
        <v>0</v>
      </c>
      <c r="BT34" s="553"/>
      <c r="BU34" s="254"/>
      <c r="BV34" s="533"/>
      <c r="BW34" s="551">
        <v>0</v>
      </c>
      <c r="BX34" s="553"/>
      <c r="BY34" s="254"/>
      <c r="BZ34" s="533"/>
      <c r="CA34" s="551">
        <v>0</v>
      </c>
      <c r="CB34" s="553"/>
      <c r="CC34" s="254"/>
      <c r="CD34" s="533"/>
      <c r="CE34" s="551">
        <v>0</v>
      </c>
      <c r="CF34" s="553"/>
      <c r="CG34" s="254"/>
      <c r="CH34" s="533"/>
      <c r="CI34" s="551">
        <v>0</v>
      </c>
      <c r="CJ34" s="553"/>
      <c r="CK34" s="254"/>
      <c r="CL34" s="533"/>
      <c r="CM34" s="551">
        <v>0</v>
      </c>
      <c r="CN34" s="553"/>
      <c r="CO34" s="254"/>
      <c r="CP34" s="533"/>
      <c r="CQ34" s="551">
        <v>0</v>
      </c>
      <c r="CR34" s="553"/>
      <c r="CS34" s="254"/>
      <c r="CT34" s="533"/>
      <c r="CU34" s="551">
        <v>0</v>
      </c>
      <c r="CV34" s="553"/>
      <c r="CW34" s="254"/>
      <c r="CX34" s="533"/>
      <c r="CY34" s="551">
        <v>0</v>
      </c>
      <c r="CZ34" s="553"/>
      <c r="DA34" s="254"/>
      <c r="DB34" s="533"/>
      <c r="DC34" s="551">
        <v>0</v>
      </c>
      <c r="DD34" s="553"/>
      <c r="DE34" s="254"/>
      <c r="DF34" s="533"/>
      <c r="DG34" s="551">
        <v>0</v>
      </c>
      <c r="DH34" s="553"/>
      <c r="DI34" s="254"/>
      <c r="DJ34" s="533"/>
      <c r="DK34" s="551">
        <v>0</v>
      </c>
      <c r="DL34" s="553"/>
      <c r="DM34" s="254"/>
      <c r="DN34" s="533"/>
      <c r="DO34" s="551">
        <v>0</v>
      </c>
      <c r="DP34" s="553"/>
      <c r="DQ34" s="254"/>
      <c r="DR34" s="533"/>
      <c r="DS34" s="551">
        <v>0</v>
      </c>
      <c r="DT34" s="553"/>
      <c r="DU34" s="254"/>
      <c r="DV34" s="533"/>
      <c r="DW34" s="551">
        <v>0</v>
      </c>
      <c r="DX34" s="553"/>
      <c r="DY34" s="254"/>
      <c r="DZ34" s="533"/>
      <c r="EA34" s="551">
        <v>0</v>
      </c>
      <c r="EB34" s="553"/>
      <c r="EC34" s="254"/>
      <c r="ED34" s="533"/>
      <c r="EE34" s="551">
        <v>0</v>
      </c>
      <c r="EF34" s="553"/>
      <c r="EG34" s="254"/>
      <c r="EH34" s="533"/>
      <c r="EI34" s="551">
        <v>0</v>
      </c>
      <c r="EJ34" s="553"/>
      <c r="EK34" s="254"/>
      <c r="EL34" s="533"/>
      <c r="EM34" s="551">
        <v>0</v>
      </c>
      <c r="EN34" s="553"/>
      <c r="EO34" s="254"/>
      <c r="EP34" s="533"/>
      <c r="EQ34" s="551">
        <v>0</v>
      </c>
      <c r="ER34" s="553"/>
      <c r="ES34" s="254"/>
      <c r="ET34" s="533"/>
      <c r="EU34" s="551">
        <v>0</v>
      </c>
      <c r="EV34" s="553"/>
      <c r="EW34" s="254"/>
      <c r="EX34" s="533"/>
      <c r="EY34" s="551">
        <v>0</v>
      </c>
      <c r="EZ34" s="553"/>
      <c r="FA34" s="254"/>
      <c r="FB34" s="533"/>
      <c r="FC34" s="551">
        <v>0</v>
      </c>
      <c r="FD34" s="553"/>
      <c r="FE34" s="254"/>
      <c r="FF34" s="533"/>
      <c r="FG34" s="551">
        <v>0</v>
      </c>
      <c r="FH34" s="553"/>
      <c r="FI34" s="254"/>
      <c r="FJ34" s="533"/>
      <c r="FK34" s="551">
        <v>0</v>
      </c>
      <c r="FL34" s="553"/>
      <c r="FM34" s="254"/>
      <c r="FN34" s="533"/>
      <c r="FO34" s="551">
        <v>0</v>
      </c>
      <c r="FP34" s="553"/>
      <c r="FQ34" s="254"/>
      <c r="FR34" s="533"/>
      <c r="FS34" s="551">
        <v>0</v>
      </c>
      <c r="FT34" s="553"/>
      <c r="FU34" s="254"/>
      <c r="FV34" s="533"/>
      <c r="FW34" s="551">
        <v>23</v>
      </c>
      <c r="FX34" s="553"/>
      <c r="FY34" s="254"/>
      <c r="FZ34" s="533"/>
      <c r="GA34" s="551">
        <v>0</v>
      </c>
      <c r="GB34" s="553"/>
      <c r="GC34" s="254"/>
      <c r="GD34" s="533"/>
      <c r="GE34" s="551">
        <v>0</v>
      </c>
      <c r="GF34" s="553"/>
      <c r="GG34" s="254"/>
      <c r="GH34" s="533"/>
      <c r="GI34" s="551">
        <v>0</v>
      </c>
      <c r="GJ34" s="553"/>
      <c r="GK34" s="254"/>
      <c r="GL34" s="533"/>
      <c r="GM34" s="551">
        <v>0</v>
      </c>
      <c r="GN34" s="553"/>
      <c r="GO34" s="254"/>
      <c r="GP34" s="533"/>
      <c r="GQ34" s="551">
        <f t="shared" si="99"/>
        <v>176.51999999999998</v>
      </c>
      <c r="GR34" s="553"/>
      <c r="GS34" s="533"/>
    </row>
    <row r="35" spans="2:201" x14ac:dyDescent="0.2">
      <c r="B35" s="526" t="s">
        <v>632</v>
      </c>
      <c r="C35" s="526"/>
      <c r="D35" s="526"/>
      <c r="E35" s="526"/>
      <c r="F35" s="533"/>
      <c r="G35" s="551">
        <v>0</v>
      </c>
      <c r="H35" s="553"/>
      <c r="I35" s="254"/>
      <c r="J35" s="533"/>
      <c r="K35" s="551">
        <v>0</v>
      </c>
      <c r="L35" s="553"/>
      <c r="M35" s="254"/>
      <c r="N35" s="533"/>
      <c r="O35" s="551">
        <v>0</v>
      </c>
      <c r="P35" s="553"/>
      <c r="Q35" s="254"/>
      <c r="R35" s="533"/>
      <c r="S35" s="551">
        <v>0</v>
      </c>
      <c r="T35" s="553"/>
      <c r="U35" s="254"/>
      <c r="V35" s="533"/>
      <c r="W35" s="551">
        <v>8</v>
      </c>
      <c r="X35" s="553"/>
      <c r="Y35" s="254"/>
      <c r="Z35" s="533"/>
      <c r="AA35" s="551">
        <v>51</v>
      </c>
      <c r="AB35" s="552"/>
      <c r="AC35" s="254"/>
      <c r="AD35" s="533"/>
      <c r="AE35" s="551">
        <v>0</v>
      </c>
      <c r="AF35" s="553"/>
      <c r="AG35" s="254"/>
      <c r="AH35" s="533"/>
      <c r="AI35" s="551">
        <v>0</v>
      </c>
      <c r="AJ35" s="553"/>
      <c r="AK35" s="254"/>
      <c r="AL35" s="533"/>
      <c r="AM35" s="551">
        <v>63.5</v>
      </c>
      <c r="AN35" s="553"/>
      <c r="AO35" s="254"/>
      <c r="AP35" s="533"/>
      <c r="AQ35" s="551">
        <v>0</v>
      </c>
      <c r="AR35" s="553"/>
      <c r="AS35" s="254"/>
      <c r="AT35" s="533"/>
      <c r="AU35" s="551">
        <v>0</v>
      </c>
      <c r="AV35" s="553"/>
      <c r="AW35" s="254"/>
      <c r="AX35" s="533"/>
      <c r="AY35" s="551">
        <v>0</v>
      </c>
      <c r="AZ35" s="553"/>
      <c r="BA35" s="254"/>
      <c r="BB35" s="533"/>
      <c r="BC35" s="551">
        <v>0</v>
      </c>
      <c r="BD35" s="553"/>
      <c r="BE35" s="254"/>
      <c r="BF35" s="533"/>
      <c r="BG35" s="551">
        <v>0</v>
      </c>
      <c r="BH35" s="553"/>
      <c r="BI35" s="254"/>
      <c r="BJ35" s="533"/>
      <c r="BK35" s="551">
        <v>0</v>
      </c>
      <c r="BL35" s="553"/>
      <c r="BM35" s="254"/>
      <c r="BN35" s="533"/>
      <c r="BO35" s="551">
        <v>0</v>
      </c>
      <c r="BP35" s="553"/>
      <c r="BQ35" s="254"/>
      <c r="BR35" s="533"/>
      <c r="BS35" s="551">
        <v>0</v>
      </c>
      <c r="BT35" s="553"/>
      <c r="BU35" s="254"/>
      <c r="BV35" s="533"/>
      <c r="BW35" s="551">
        <v>0</v>
      </c>
      <c r="BX35" s="553"/>
      <c r="BY35" s="254"/>
      <c r="BZ35" s="533"/>
      <c r="CA35" s="551">
        <v>0</v>
      </c>
      <c r="CB35" s="553"/>
      <c r="CC35" s="254"/>
      <c r="CD35" s="533"/>
      <c r="CE35" s="551">
        <v>0</v>
      </c>
      <c r="CF35" s="553"/>
      <c r="CG35" s="254"/>
      <c r="CH35" s="533"/>
      <c r="CI35" s="551">
        <v>0</v>
      </c>
      <c r="CJ35" s="553"/>
      <c r="CK35" s="254"/>
      <c r="CL35" s="533"/>
      <c r="CM35" s="551">
        <v>0</v>
      </c>
      <c r="CN35" s="553"/>
      <c r="CO35" s="254"/>
      <c r="CP35" s="533"/>
      <c r="CQ35" s="551">
        <v>0</v>
      </c>
      <c r="CR35" s="553"/>
      <c r="CS35" s="254"/>
      <c r="CT35" s="533"/>
      <c r="CU35" s="551">
        <v>0</v>
      </c>
      <c r="CV35" s="553"/>
      <c r="CW35" s="254"/>
      <c r="CX35" s="533"/>
      <c r="CY35" s="551">
        <v>0</v>
      </c>
      <c r="CZ35" s="553"/>
      <c r="DA35" s="254"/>
      <c r="DB35" s="533"/>
      <c r="DC35" s="551">
        <v>0</v>
      </c>
      <c r="DD35" s="553"/>
      <c r="DE35" s="254"/>
      <c r="DF35" s="533"/>
      <c r="DG35" s="551">
        <v>0</v>
      </c>
      <c r="DH35" s="553"/>
      <c r="DI35" s="254"/>
      <c r="DJ35" s="533"/>
      <c r="DK35" s="551">
        <v>0</v>
      </c>
      <c r="DL35" s="553"/>
      <c r="DM35" s="254"/>
      <c r="DN35" s="533"/>
      <c r="DO35" s="551">
        <v>0</v>
      </c>
      <c r="DP35" s="553"/>
      <c r="DQ35" s="254"/>
      <c r="DR35" s="533"/>
      <c r="DS35" s="551">
        <v>0</v>
      </c>
      <c r="DT35" s="553"/>
      <c r="DU35" s="254"/>
      <c r="DV35" s="533"/>
      <c r="DW35" s="551">
        <v>0</v>
      </c>
      <c r="DX35" s="553"/>
      <c r="DY35" s="254"/>
      <c r="DZ35" s="533"/>
      <c r="EA35" s="551">
        <v>0</v>
      </c>
      <c r="EB35" s="553"/>
      <c r="EC35" s="254"/>
      <c r="ED35" s="533"/>
      <c r="EE35" s="551">
        <v>0</v>
      </c>
      <c r="EF35" s="553"/>
      <c r="EG35" s="254"/>
      <c r="EH35" s="533"/>
      <c r="EI35" s="551">
        <v>0</v>
      </c>
      <c r="EJ35" s="553"/>
      <c r="EK35" s="254"/>
      <c r="EL35" s="533"/>
      <c r="EM35" s="551">
        <v>0</v>
      </c>
      <c r="EN35" s="553"/>
      <c r="EO35" s="254"/>
      <c r="EP35" s="533"/>
      <c r="EQ35" s="551">
        <v>0</v>
      </c>
      <c r="ER35" s="553"/>
      <c r="ES35" s="254"/>
      <c r="ET35" s="533"/>
      <c r="EU35" s="551">
        <v>0</v>
      </c>
      <c r="EV35" s="553"/>
      <c r="EW35" s="254"/>
      <c r="EX35" s="533"/>
      <c r="EY35" s="551">
        <v>0</v>
      </c>
      <c r="EZ35" s="553"/>
      <c r="FA35" s="254"/>
      <c r="FB35" s="533"/>
      <c r="FC35" s="551">
        <v>0</v>
      </c>
      <c r="FD35" s="553"/>
      <c r="FE35" s="254"/>
      <c r="FF35" s="533"/>
      <c r="FG35" s="551">
        <v>0</v>
      </c>
      <c r="FH35" s="553"/>
      <c r="FI35" s="254"/>
      <c r="FJ35" s="533"/>
      <c r="FK35" s="551">
        <v>0</v>
      </c>
      <c r="FL35" s="553"/>
      <c r="FM35" s="254"/>
      <c r="FN35" s="533"/>
      <c r="FO35" s="551">
        <v>0</v>
      </c>
      <c r="FP35" s="553"/>
      <c r="FQ35" s="254"/>
      <c r="FR35" s="533"/>
      <c r="FS35" s="551">
        <v>0</v>
      </c>
      <c r="FT35" s="553"/>
      <c r="FU35" s="254"/>
      <c r="FV35" s="533"/>
      <c r="FW35" s="551">
        <v>23</v>
      </c>
      <c r="FX35" s="553"/>
      <c r="FY35" s="254"/>
      <c r="FZ35" s="533"/>
      <c r="GA35" s="551">
        <v>0</v>
      </c>
      <c r="GB35" s="553"/>
      <c r="GC35" s="254"/>
      <c r="GD35" s="533"/>
      <c r="GE35" s="551">
        <v>0</v>
      </c>
      <c r="GF35" s="553"/>
      <c r="GG35" s="254"/>
      <c r="GH35" s="533"/>
      <c r="GI35" s="551">
        <v>0</v>
      </c>
      <c r="GJ35" s="553"/>
      <c r="GK35" s="254"/>
      <c r="GL35" s="533"/>
      <c r="GM35" s="551">
        <v>0</v>
      </c>
      <c r="GN35" s="553"/>
      <c r="GO35" s="254"/>
      <c r="GP35" s="533"/>
      <c r="GQ35" s="551">
        <f t="shared" si="99"/>
        <v>145.5</v>
      </c>
      <c r="GR35" s="553"/>
      <c r="GS35" s="533"/>
    </row>
    <row r="36" spans="2:201" x14ac:dyDescent="0.2">
      <c r="B36" s="526" t="s">
        <v>633</v>
      </c>
      <c r="C36" s="526"/>
      <c r="D36" s="526"/>
      <c r="E36" s="526"/>
      <c r="F36" s="533"/>
      <c r="G36" s="551">
        <v>0</v>
      </c>
      <c r="H36" s="553"/>
      <c r="I36" s="254"/>
      <c r="J36" s="533"/>
      <c r="K36" s="551">
        <v>0</v>
      </c>
      <c r="L36" s="553"/>
      <c r="M36" s="254"/>
      <c r="N36" s="533"/>
      <c r="O36" s="551">
        <v>0</v>
      </c>
      <c r="P36" s="553"/>
      <c r="Q36" s="254"/>
      <c r="R36" s="533"/>
      <c r="S36" s="551">
        <v>23.729999999999997</v>
      </c>
      <c r="T36" s="553"/>
      <c r="U36" s="254"/>
      <c r="V36" s="533"/>
      <c r="W36" s="551">
        <v>0</v>
      </c>
      <c r="X36" s="553"/>
      <c r="Y36" s="254"/>
      <c r="Z36" s="533"/>
      <c r="AA36" s="551">
        <v>0</v>
      </c>
      <c r="AB36" s="552"/>
      <c r="AC36" s="254"/>
      <c r="AD36" s="533"/>
      <c r="AE36" s="551">
        <v>0</v>
      </c>
      <c r="AF36" s="553"/>
      <c r="AG36" s="254"/>
      <c r="AH36" s="533"/>
      <c r="AI36" s="551">
        <v>0</v>
      </c>
      <c r="AJ36" s="553"/>
      <c r="AK36" s="254"/>
      <c r="AL36" s="533"/>
      <c r="AM36" s="551">
        <v>60.96</v>
      </c>
      <c r="AN36" s="553"/>
      <c r="AO36" s="254"/>
      <c r="AP36" s="533"/>
      <c r="AQ36" s="551">
        <v>47.5</v>
      </c>
      <c r="AR36" s="553"/>
      <c r="AS36" s="254"/>
      <c r="AT36" s="533"/>
      <c r="AU36" s="551">
        <v>0</v>
      </c>
      <c r="AV36" s="553"/>
      <c r="AW36" s="254"/>
      <c r="AX36" s="533"/>
      <c r="AY36" s="551">
        <v>0</v>
      </c>
      <c r="AZ36" s="553"/>
      <c r="BA36" s="254"/>
      <c r="BB36" s="533"/>
      <c r="BC36" s="551">
        <v>0</v>
      </c>
      <c r="BD36" s="553"/>
      <c r="BE36" s="254"/>
      <c r="BF36" s="533"/>
      <c r="BG36" s="551">
        <v>0</v>
      </c>
      <c r="BH36" s="553"/>
      <c r="BI36" s="254"/>
      <c r="BJ36" s="533"/>
      <c r="BK36" s="551">
        <v>0</v>
      </c>
      <c r="BL36" s="553"/>
      <c r="BM36" s="254"/>
      <c r="BN36" s="533"/>
      <c r="BO36" s="551">
        <v>0</v>
      </c>
      <c r="BP36" s="553"/>
      <c r="BQ36" s="254"/>
      <c r="BR36" s="533"/>
      <c r="BS36" s="551">
        <v>0</v>
      </c>
      <c r="BT36" s="553"/>
      <c r="BU36" s="254"/>
      <c r="BV36" s="533"/>
      <c r="BW36" s="551">
        <v>0</v>
      </c>
      <c r="BX36" s="553"/>
      <c r="BY36" s="254"/>
      <c r="BZ36" s="533"/>
      <c r="CA36" s="551">
        <v>0</v>
      </c>
      <c r="CB36" s="553"/>
      <c r="CC36" s="254"/>
      <c r="CD36" s="533"/>
      <c r="CE36" s="551">
        <v>0</v>
      </c>
      <c r="CF36" s="553"/>
      <c r="CG36" s="254"/>
      <c r="CH36" s="533"/>
      <c r="CI36" s="551">
        <v>0</v>
      </c>
      <c r="CJ36" s="553"/>
      <c r="CK36" s="254"/>
      <c r="CL36" s="533"/>
      <c r="CM36" s="551">
        <v>0</v>
      </c>
      <c r="CN36" s="553"/>
      <c r="CO36" s="254"/>
      <c r="CP36" s="533"/>
      <c r="CQ36" s="551">
        <v>0</v>
      </c>
      <c r="CR36" s="553"/>
      <c r="CS36" s="254"/>
      <c r="CT36" s="533"/>
      <c r="CU36" s="551">
        <v>0</v>
      </c>
      <c r="CV36" s="553"/>
      <c r="CW36" s="254"/>
      <c r="CX36" s="533"/>
      <c r="CY36" s="551">
        <v>0</v>
      </c>
      <c r="CZ36" s="553"/>
      <c r="DA36" s="254"/>
      <c r="DB36" s="533"/>
      <c r="DC36" s="551">
        <v>0</v>
      </c>
      <c r="DD36" s="553"/>
      <c r="DE36" s="254"/>
      <c r="DF36" s="533"/>
      <c r="DG36" s="551">
        <v>0</v>
      </c>
      <c r="DH36" s="553"/>
      <c r="DI36" s="254"/>
      <c r="DJ36" s="533"/>
      <c r="DK36" s="551">
        <v>0</v>
      </c>
      <c r="DL36" s="553"/>
      <c r="DM36" s="254"/>
      <c r="DN36" s="533"/>
      <c r="DO36" s="551">
        <v>0</v>
      </c>
      <c r="DP36" s="553"/>
      <c r="DQ36" s="254"/>
      <c r="DR36" s="533"/>
      <c r="DS36" s="551">
        <v>0</v>
      </c>
      <c r="DT36" s="553"/>
      <c r="DU36" s="254"/>
      <c r="DV36" s="533"/>
      <c r="DW36" s="551">
        <v>0</v>
      </c>
      <c r="DX36" s="553"/>
      <c r="DY36" s="254"/>
      <c r="DZ36" s="533"/>
      <c r="EA36" s="551">
        <v>0</v>
      </c>
      <c r="EB36" s="553"/>
      <c r="EC36" s="254"/>
      <c r="ED36" s="533"/>
      <c r="EE36" s="551">
        <v>0</v>
      </c>
      <c r="EF36" s="553"/>
      <c r="EG36" s="254"/>
      <c r="EH36" s="533"/>
      <c r="EI36" s="551">
        <v>0</v>
      </c>
      <c r="EJ36" s="553"/>
      <c r="EK36" s="254"/>
      <c r="EL36" s="533"/>
      <c r="EM36" s="551">
        <v>0</v>
      </c>
      <c r="EN36" s="553"/>
      <c r="EO36" s="254"/>
      <c r="EP36" s="533"/>
      <c r="EQ36" s="551">
        <v>0</v>
      </c>
      <c r="ER36" s="553"/>
      <c r="ES36" s="254"/>
      <c r="ET36" s="533"/>
      <c r="EU36" s="551">
        <v>0</v>
      </c>
      <c r="EV36" s="553"/>
      <c r="EW36" s="254"/>
      <c r="EX36" s="533"/>
      <c r="EY36" s="551">
        <v>0</v>
      </c>
      <c r="EZ36" s="553"/>
      <c r="FA36" s="254"/>
      <c r="FB36" s="533"/>
      <c r="FC36" s="551">
        <v>0</v>
      </c>
      <c r="FD36" s="553"/>
      <c r="FE36" s="254"/>
      <c r="FF36" s="533"/>
      <c r="FG36" s="551">
        <v>0</v>
      </c>
      <c r="FH36" s="553"/>
      <c r="FI36" s="254"/>
      <c r="FJ36" s="533"/>
      <c r="FK36" s="551">
        <v>0</v>
      </c>
      <c r="FL36" s="553"/>
      <c r="FM36" s="254"/>
      <c r="FN36" s="533"/>
      <c r="FO36" s="551">
        <v>0</v>
      </c>
      <c r="FP36" s="553"/>
      <c r="FQ36" s="254"/>
      <c r="FR36" s="533"/>
      <c r="FS36" s="551">
        <v>0</v>
      </c>
      <c r="FT36" s="553"/>
      <c r="FU36" s="254"/>
      <c r="FV36" s="533"/>
      <c r="FW36" s="551">
        <v>0</v>
      </c>
      <c r="FX36" s="553"/>
      <c r="FY36" s="254"/>
      <c r="FZ36" s="533"/>
      <c r="GA36" s="551">
        <v>0</v>
      </c>
      <c r="GB36" s="553"/>
      <c r="GC36" s="254"/>
      <c r="GD36" s="533"/>
      <c r="GE36" s="551">
        <v>0</v>
      </c>
      <c r="GF36" s="553"/>
      <c r="GG36" s="254"/>
      <c r="GH36" s="533"/>
      <c r="GI36" s="551">
        <v>0</v>
      </c>
      <c r="GJ36" s="553"/>
      <c r="GK36" s="254"/>
      <c r="GL36" s="533"/>
      <c r="GM36" s="551">
        <v>0</v>
      </c>
      <c r="GN36" s="553"/>
      <c r="GO36" s="254"/>
      <c r="GP36" s="533"/>
      <c r="GQ36" s="551">
        <f t="shared" si="99"/>
        <v>132.19</v>
      </c>
      <c r="GR36" s="553"/>
      <c r="GS36" s="533"/>
    </row>
    <row r="37" spans="2:201" x14ac:dyDescent="0.2">
      <c r="B37" s="526" t="s">
        <v>634</v>
      </c>
      <c r="C37" s="526"/>
      <c r="D37" s="526"/>
      <c r="E37" s="526"/>
      <c r="F37" s="533"/>
      <c r="G37" s="551">
        <v>0</v>
      </c>
      <c r="H37" s="553"/>
      <c r="I37" s="254"/>
      <c r="J37" s="533"/>
      <c r="K37" s="551">
        <v>0</v>
      </c>
      <c r="L37" s="553"/>
      <c r="M37" s="254"/>
      <c r="N37" s="533"/>
      <c r="O37" s="551">
        <v>0</v>
      </c>
      <c r="P37" s="553"/>
      <c r="Q37" s="254"/>
      <c r="R37" s="533"/>
      <c r="S37" s="551">
        <v>0</v>
      </c>
      <c r="T37" s="553"/>
      <c r="U37" s="254"/>
      <c r="V37" s="533"/>
      <c r="W37" s="551">
        <v>5.5</v>
      </c>
      <c r="X37" s="553"/>
      <c r="Y37" s="254"/>
      <c r="Z37" s="533"/>
      <c r="AA37" s="551">
        <v>17</v>
      </c>
      <c r="AB37" s="552"/>
      <c r="AC37" s="254"/>
      <c r="AD37" s="533"/>
      <c r="AE37" s="551">
        <v>0</v>
      </c>
      <c r="AF37" s="553"/>
      <c r="AG37" s="254"/>
      <c r="AH37" s="533"/>
      <c r="AI37" s="551">
        <v>0</v>
      </c>
      <c r="AJ37" s="553"/>
      <c r="AK37" s="254"/>
      <c r="AL37" s="533"/>
      <c r="AM37" s="551">
        <v>11</v>
      </c>
      <c r="AN37" s="553"/>
      <c r="AO37" s="254"/>
      <c r="AP37" s="533"/>
      <c r="AQ37" s="551">
        <v>0</v>
      </c>
      <c r="AR37" s="553"/>
      <c r="AS37" s="254"/>
      <c r="AT37" s="533"/>
      <c r="AU37" s="551">
        <v>0</v>
      </c>
      <c r="AV37" s="553"/>
      <c r="AW37" s="254"/>
      <c r="AX37" s="533"/>
      <c r="AY37" s="551">
        <v>0</v>
      </c>
      <c r="AZ37" s="553"/>
      <c r="BA37" s="254"/>
      <c r="BB37" s="533"/>
      <c r="BC37" s="551">
        <v>0</v>
      </c>
      <c r="BD37" s="553"/>
      <c r="BE37" s="254"/>
      <c r="BF37" s="533"/>
      <c r="BG37" s="551">
        <v>0</v>
      </c>
      <c r="BH37" s="553"/>
      <c r="BI37" s="254"/>
      <c r="BJ37" s="533"/>
      <c r="BK37" s="551">
        <v>0</v>
      </c>
      <c r="BL37" s="553"/>
      <c r="BM37" s="254"/>
      <c r="BN37" s="533"/>
      <c r="BO37" s="551">
        <v>0</v>
      </c>
      <c r="BP37" s="553"/>
      <c r="BQ37" s="254"/>
      <c r="BR37" s="533"/>
      <c r="BS37" s="551">
        <v>0</v>
      </c>
      <c r="BT37" s="553"/>
      <c r="BU37" s="254"/>
      <c r="BV37" s="533"/>
      <c r="BW37" s="551">
        <v>0</v>
      </c>
      <c r="BX37" s="553"/>
      <c r="BY37" s="254"/>
      <c r="BZ37" s="533"/>
      <c r="CA37" s="551">
        <v>0</v>
      </c>
      <c r="CB37" s="553"/>
      <c r="CC37" s="254"/>
      <c r="CD37" s="533"/>
      <c r="CE37" s="551">
        <v>0</v>
      </c>
      <c r="CF37" s="553"/>
      <c r="CG37" s="254"/>
      <c r="CH37" s="533"/>
      <c r="CI37" s="551">
        <v>0</v>
      </c>
      <c r="CJ37" s="553"/>
      <c r="CK37" s="254"/>
      <c r="CL37" s="533"/>
      <c r="CM37" s="551">
        <v>0</v>
      </c>
      <c r="CN37" s="553"/>
      <c r="CO37" s="254"/>
      <c r="CP37" s="533"/>
      <c r="CQ37" s="551">
        <v>0</v>
      </c>
      <c r="CR37" s="553"/>
      <c r="CS37" s="254"/>
      <c r="CT37" s="533"/>
      <c r="CU37" s="551">
        <v>0</v>
      </c>
      <c r="CV37" s="553"/>
      <c r="CW37" s="254"/>
      <c r="CX37" s="533"/>
      <c r="CY37" s="551">
        <v>0</v>
      </c>
      <c r="CZ37" s="553"/>
      <c r="DA37" s="254"/>
      <c r="DB37" s="533"/>
      <c r="DC37" s="551">
        <v>0</v>
      </c>
      <c r="DD37" s="553"/>
      <c r="DE37" s="254"/>
      <c r="DF37" s="533"/>
      <c r="DG37" s="551">
        <v>0</v>
      </c>
      <c r="DH37" s="553"/>
      <c r="DI37" s="254"/>
      <c r="DJ37" s="533"/>
      <c r="DK37" s="551">
        <v>0</v>
      </c>
      <c r="DL37" s="553"/>
      <c r="DM37" s="254"/>
      <c r="DN37" s="533"/>
      <c r="DO37" s="551">
        <v>0</v>
      </c>
      <c r="DP37" s="553"/>
      <c r="DQ37" s="254"/>
      <c r="DR37" s="533"/>
      <c r="DS37" s="551">
        <v>0</v>
      </c>
      <c r="DT37" s="553"/>
      <c r="DU37" s="254"/>
      <c r="DV37" s="533"/>
      <c r="DW37" s="551">
        <v>0</v>
      </c>
      <c r="DX37" s="553"/>
      <c r="DY37" s="254"/>
      <c r="DZ37" s="533"/>
      <c r="EA37" s="551">
        <v>0</v>
      </c>
      <c r="EB37" s="553"/>
      <c r="EC37" s="254"/>
      <c r="ED37" s="533"/>
      <c r="EE37" s="551">
        <v>0</v>
      </c>
      <c r="EF37" s="553"/>
      <c r="EG37" s="254"/>
      <c r="EH37" s="533"/>
      <c r="EI37" s="551">
        <v>0</v>
      </c>
      <c r="EJ37" s="553"/>
      <c r="EK37" s="254"/>
      <c r="EL37" s="533"/>
      <c r="EM37" s="551">
        <v>0</v>
      </c>
      <c r="EN37" s="553"/>
      <c r="EO37" s="254"/>
      <c r="EP37" s="533"/>
      <c r="EQ37" s="551">
        <v>0</v>
      </c>
      <c r="ER37" s="553"/>
      <c r="ES37" s="254"/>
      <c r="ET37" s="533"/>
      <c r="EU37" s="551">
        <v>0</v>
      </c>
      <c r="EV37" s="553"/>
      <c r="EW37" s="254"/>
      <c r="EX37" s="533"/>
      <c r="EY37" s="551">
        <v>0</v>
      </c>
      <c r="EZ37" s="553"/>
      <c r="FA37" s="254"/>
      <c r="FB37" s="533"/>
      <c r="FC37" s="551">
        <v>0</v>
      </c>
      <c r="FD37" s="553"/>
      <c r="FE37" s="254"/>
      <c r="FF37" s="533"/>
      <c r="FG37" s="551">
        <v>0</v>
      </c>
      <c r="FH37" s="553"/>
      <c r="FI37" s="254"/>
      <c r="FJ37" s="533"/>
      <c r="FK37" s="551">
        <v>0</v>
      </c>
      <c r="FL37" s="553"/>
      <c r="FM37" s="254"/>
      <c r="FN37" s="533"/>
      <c r="FO37" s="551">
        <v>0</v>
      </c>
      <c r="FP37" s="553"/>
      <c r="FQ37" s="254"/>
      <c r="FR37" s="533"/>
      <c r="FS37" s="551">
        <v>0</v>
      </c>
      <c r="FT37" s="553"/>
      <c r="FU37" s="254"/>
      <c r="FV37" s="533"/>
      <c r="FW37" s="551">
        <v>25</v>
      </c>
      <c r="FX37" s="553"/>
      <c r="FY37" s="254"/>
      <c r="FZ37" s="533"/>
      <c r="GA37" s="551">
        <v>0</v>
      </c>
      <c r="GB37" s="553"/>
      <c r="GC37" s="254"/>
      <c r="GD37" s="533"/>
      <c r="GE37" s="551">
        <v>0</v>
      </c>
      <c r="GF37" s="553"/>
      <c r="GG37" s="254"/>
      <c r="GH37" s="533"/>
      <c r="GI37" s="551">
        <v>0</v>
      </c>
      <c r="GJ37" s="553"/>
      <c r="GK37" s="254"/>
      <c r="GL37" s="533"/>
      <c r="GM37" s="551">
        <v>0</v>
      </c>
      <c r="GN37" s="553"/>
      <c r="GO37" s="254"/>
      <c r="GP37" s="533"/>
      <c r="GQ37" s="551">
        <f t="shared" si="99"/>
        <v>58.5</v>
      </c>
      <c r="GR37" s="553"/>
      <c r="GS37" s="533"/>
    </row>
    <row r="38" spans="2:201" x14ac:dyDescent="0.2">
      <c r="B38" s="526" t="s">
        <v>635</v>
      </c>
      <c r="C38" s="526"/>
      <c r="D38" s="526"/>
      <c r="E38" s="526"/>
      <c r="F38" s="533"/>
      <c r="G38" s="551">
        <v>0</v>
      </c>
      <c r="H38" s="553"/>
      <c r="I38" s="254"/>
      <c r="J38" s="533"/>
      <c r="K38" s="551">
        <v>0</v>
      </c>
      <c r="L38" s="553"/>
      <c r="M38" s="254"/>
      <c r="N38" s="533"/>
      <c r="O38" s="551">
        <v>0</v>
      </c>
      <c r="P38" s="553"/>
      <c r="Q38" s="254"/>
      <c r="R38" s="533"/>
      <c r="S38" s="551">
        <v>0</v>
      </c>
      <c r="T38" s="553"/>
      <c r="U38" s="254"/>
      <c r="V38" s="533"/>
      <c r="W38" s="551">
        <v>9.5</v>
      </c>
      <c r="X38" s="553"/>
      <c r="Y38" s="254"/>
      <c r="Z38" s="533"/>
      <c r="AA38" s="551">
        <v>33</v>
      </c>
      <c r="AB38" s="552"/>
      <c r="AC38" s="254"/>
      <c r="AD38" s="533"/>
      <c r="AE38" s="551">
        <v>0</v>
      </c>
      <c r="AF38" s="553"/>
      <c r="AG38" s="254"/>
      <c r="AH38" s="533"/>
      <c r="AI38" s="551">
        <v>0</v>
      </c>
      <c r="AJ38" s="553"/>
      <c r="AK38" s="254"/>
      <c r="AL38" s="533"/>
      <c r="AM38" s="551">
        <v>37</v>
      </c>
      <c r="AN38" s="553"/>
      <c r="AO38" s="254"/>
      <c r="AP38" s="533"/>
      <c r="AQ38" s="551">
        <v>0</v>
      </c>
      <c r="AR38" s="553"/>
      <c r="AS38" s="254"/>
      <c r="AT38" s="533"/>
      <c r="AU38" s="551">
        <v>0</v>
      </c>
      <c r="AV38" s="553"/>
      <c r="AW38" s="254"/>
      <c r="AX38" s="533"/>
      <c r="AY38" s="551">
        <v>0</v>
      </c>
      <c r="AZ38" s="553"/>
      <c r="BA38" s="254"/>
      <c r="BB38" s="533"/>
      <c r="BC38" s="551">
        <v>0</v>
      </c>
      <c r="BD38" s="553"/>
      <c r="BE38" s="254"/>
      <c r="BF38" s="533"/>
      <c r="BG38" s="551">
        <v>0</v>
      </c>
      <c r="BH38" s="553"/>
      <c r="BI38" s="254"/>
      <c r="BJ38" s="533"/>
      <c r="BK38" s="551">
        <v>0</v>
      </c>
      <c r="BL38" s="553"/>
      <c r="BM38" s="254"/>
      <c r="BN38" s="533"/>
      <c r="BO38" s="551">
        <v>0</v>
      </c>
      <c r="BP38" s="553"/>
      <c r="BQ38" s="254"/>
      <c r="BR38" s="533"/>
      <c r="BS38" s="551">
        <v>0</v>
      </c>
      <c r="BT38" s="553"/>
      <c r="BU38" s="254"/>
      <c r="BV38" s="533"/>
      <c r="BW38" s="551">
        <v>0</v>
      </c>
      <c r="BX38" s="553"/>
      <c r="BY38" s="254"/>
      <c r="BZ38" s="533"/>
      <c r="CA38" s="551">
        <v>0</v>
      </c>
      <c r="CB38" s="553"/>
      <c r="CC38" s="254"/>
      <c r="CD38" s="533"/>
      <c r="CE38" s="551">
        <v>0</v>
      </c>
      <c r="CF38" s="553"/>
      <c r="CG38" s="254"/>
      <c r="CH38" s="533"/>
      <c r="CI38" s="551">
        <v>0</v>
      </c>
      <c r="CJ38" s="553"/>
      <c r="CK38" s="254"/>
      <c r="CL38" s="533"/>
      <c r="CM38" s="551">
        <v>0</v>
      </c>
      <c r="CN38" s="553"/>
      <c r="CO38" s="254"/>
      <c r="CP38" s="533"/>
      <c r="CQ38" s="551">
        <v>0</v>
      </c>
      <c r="CR38" s="553"/>
      <c r="CS38" s="254"/>
      <c r="CT38" s="533"/>
      <c r="CU38" s="551">
        <v>0</v>
      </c>
      <c r="CV38" s="553"/>
      <c r="CW38" s="254"/>
      <c r="CX38" s="533"/>
      <c r="CY38" s="551">
        <v>0</v>
      </c>
      <c r="CZ38" s="553"/>
      <c r="DA38" s="254"/>
      <c r="DB38" s="533"/>
      <c r="DC38" s="551">
        <v>0</v>
      </c>
      <c r="DD38" s="553"/>
      <c r="DE38" s="254"/>
      <c r="DF38" s="533"/>
      <c r="DG38" s="551">
        <v>0</v>
      </c>
      <c r="DH38" s="553"/>
      <c r="DI38" s="254"/>
      <c r="DJ38" s="533"/>
      <c r="DK38" s="551">
        <v>0</v>
      </c>
      <c r="DL38" s="553"/>
      <c r="DM38" s="254"/>
      <c r="DN38" s="533"/>
      <c r="DO38" s="551">
        <v>0</v>
      </c>
      <c r="DP38" s="553"/>
      <c r="DQ38" s="254"/>
      <c r="DR38" s="533"/>
      <c r="DS38" s="551">
        <v>0</v>
      </c>
      <c r="DT38" s="553"/>
      <c r="DU38" s="254"/>
      <c r="DV38" s="533"/>
      <c r="DW38" s="551">
        <v>0</v>
      </c>
      <c r="DX38" s="553"/>
      <c r="DY38" s="254"/>
      <c r="DZ38" s="533"/>
      <c r="EA38" s="551">
        <v>0</v>
      </c>
      <c r="EB38" s="553"/>
      <c r="EC38" s="254"/>
      <c r="ED38" s="533"/>
      <c r="EE38" s="551">
        <v>0</v>
      </c>
      <c r="EF38" s="553"/>
      <c r="EG38" s="254"/>
      <c r="EH38" s="533"/>
      <c r="EI38" s="551">
        <v>0</v>
      </c>
      <c r="EJ38" s="553"/>
      <c r="EK38" s="254"/>
      <c r="EL38" s="533"/>
      <c r="EM38" s="551">
        <v>0</v>
      </c>
      <c r="EN38" s="553"/>
      <c r="EO38" s="254"/>
      <c r="EP38" s="533"/>
      <c r="EQ38" s="551">
        <v>0</v>
      </c>
      <c r="ER38" s="553"/>
      <c r="ES38" s="254"/>
      <c r="ET38" s="533"/>
      <c r="EU38" s="551">
        <v>0</v>
      </c>
      <c r="EV38" s="553"/>
      <c r="EW38" s="254"/>
      <c r="EX38" s="533"/>
      <c r="EY38" s="551">
        <v>0</v>
      </c>
      <c r="EZ38" s="553"/>
      <c r="FA38" s="254"/>
      <c r="FB38" s="533"/>
      <c r="FC38" s="551">
        <v>0</v>
      </c>
      <c r="FD38" s="553"/>
      <c r="FE38" s="254"/>
      <c r="FF38" s="533"/>
      <c r="FG38" s="551">
        <v>0</v>
      </c>
      <c r="FH38" s="553"/>
      <c r="FI38" s="254"/>
      <c r="FJ38" s="533"/>
      <c r="FK38" s="551">
        <v>0</v>
      </c>
      <c r="FL38" s="553"/>
      <c r="FM38" s="254"/>
      <c r="FN38" s="533"/>
      <c r="FO38" s="551">
        <v>0</v>
      </c>
      <c r="FP38" s="553"/>
      <c r="FQ38" s="254"/>
      <c r="FR38" s="533"/>
      <c r="FS38" s="551">
        <v>0</v>
      </c>
      <c r="FT38" s="553"/>
      <c r="FU38" s="254"/>
      <c r="FV38" s="533"/>
      <c r="FW38" s="551">
        <v>13.5</v>
      </c>
      <c r="FX38" s="553"/>
      <c r="FY38" s="254"/>
      <c r="FZ38" s="533"/>
      <c r="GA38" s="551">
        <v>0</v>
      </c>
      <c r="GB38" s="553"/>
      <c r="GC38" s="254"/>
      <c r="GD38" s="533"/>
      <c r="GE38" s="551">
        <v>0</v>
      </c>
      <c r="GF38" s="553"/>
      <c r="GG38" s="254"/>
      <c r="GH38" s="533"/>
      <c r="GI38" s="551">
        <v>0</v>
      </c>
      <c r="GJ38" s="553"/>
      <c r="GK38" s="254"/>
      <c r="GL38" s="533"/>
      <c r="GM38" s="551">
        <v>0</v>
      </c>
      <c r="GN38" s="553"/>
      <c r="GO38" s="254"/>
      <c r="GP38" s="533"/>
      <c r="GQ38" s="551">
        <f t="shared" si="99"/>
        <v>93</v>
      </c>
      <c r="GR38" s="553"/>
      <c r="GS38" s="533"/>
    </row>
    <row r="39" spans="2:201" x14ac:dyDescent="0.2">
      <c r="B39" s="526" t="s">
        <v>636</v>
      </c>
      <c r="C39" s="526"/>
      <c r="D39" s="526"/>
      <c r="E39" s="526"/>
      <c r="F39" s="533"/>
      <c r="G39" s="551">
        <v>0</v>
      </c>
      <c r="H39" s="553"/>
      <c r="I39" s="254"/>
      <c r="J39" s="533"/>
      <c r="K39" s="551">
        <v>0</v>
      </c>
      <c r="L39" s="553"/>
      <c r="M39" s="254"/>
      <c r="N39" s="533"/>
      <c r="O39" s="551">
        <v>0</v>
      </c>
      <c r="P39" s="553"/>
      <c r="Q39" s="254"/>
      <c r="R39" s="533"/>
      <c r="S39" s="551">
        <v>0</v>
      </c>
      <c r="T39" s="553"/>
      <c r="U39" s="254"/>
      <c r="V39" s="533"/>
      <c r="W39" s="551">
        <v>0</v>
      </c>
      <c r="X39" s="553"/>
      <c r="Y39" s="254"/>
      <c r="Z39" s="533"/>
      <c r="AA39" s="551">
        <v>0</v>
      </c>
      <c r="AB39" s="552"/>
      <c r="AC39" s="254"/>
      <c r="AD39" s="533"/>
      <c r="AE39" s="551">
        <v>0</v>
      </c>
      <c r="AF39" s="553"/>
      <c r="AG39" s="254"/>
      <c r="AH39" s="533"/>
      <c r="AI39" s="551">
        <v>0</v>
      </c>
      <c r="AJ39" s="553"/>
      <c r="AK39" s="254"/>
      <c r="AL39" s="533"/>
      <c r="AM39" s="551">
        <v>30.18</v>
      </c>
      <c r="AN39" s="553"/>
      <c r="AO39" s="254"/>
      <c r="AP39" s="533"/>
      <c r="AQ39" s="551">
        <v>66</v>
      </c>
      <c r="AR39" s="553"/>
      <c r="AS39" s="254"/>
      <c r="AT39" s="533"/>
      <c r="AU39" s="551">
        <v>0</v>
      </c>
      <c r="AV39" s="553"/>
      <c r="AW39" s="254"/>
      <c r="AX39" s="533"/>
      <c r="AY39" s="551">
        <v>0</v>
      </c>
      <c r="AZ39" s="553"/>
      <c r="BA39" s="254"/>
      <c r="BB39" s="533"/>
      <c r="BC39" s="551">
        <v>0</v>
      </c>
      <c r="BD39" s="553"/>
      <c r="BE39" s="254"/>
      <c r="BF39" s="533"/>
      <c r="BG39" s="551">
        <v>0</v>
      </c>
      <c r="BH39" s="553"/>
      <c r="BI39" s="254"/>
      <c r="BJ39" s="533"/>
      <c r="BK39" s="551">
        <v>0</v>
      </c>
      <c r="BL39" s="553"/>
      <c r="BM39" s="254"/>
      <c r="BN39" s="533"/>
      <c r="BO39" s="551">
        <v>0</v>
      </c>
      <c r="BP39" s="553"/>
      <c r="BQ39" s="254"/>
      <c r="BR39" s="533"/>
      <c r="BS39" s="551">
        <v>0</v>
      </c>
      <c r="BT39" s="553"/>
      <c r="BU39" s="254"/>
      <c r="BV39" s="533"/>
      <c r="BW39" s="551">
        <v>0</v>
      </c>
      <c r="BX39" s="553"/>
      <c r="BY39" s="254"/>
      <c r="BZ39" s="533"/>
      <c r="CA39" s="551">
        <v>0</v>
      </c>
      <c r="CB39" s="553"/>
      <c r="CC39" s="254"/>
      <c r="CD39" s="533"/>
      <c r="CE39" s="551">
        <v>0</v>
      </c>
      <c r="CF39" s="553"/>
      <c r="CG39" s="254"/>
      <c r="CH39" s="533"/>
      <c r="CI39" s="551">
        <v>0</v>
      </c>
      <c r="CJ39" s="553"/>
      <c r="CK39" s="254"/>
      <c r="CL39" s="533"/>
      <c r="CM39" s="551">
        <v>0</v>
      </c>
      <c r="CN39" s="553"/>
      <c r="CO39" s="254"/>
      <c r="CP39" s="533"/>
      <c r="CQ39" s="551">
        <v>0</v>
      </c>
      <c r="CR39" s="553"/>
      <c r="CS39" s="254"/>
      <c r="CT39" s="533"/>
      <c r="CU39" s="551">
        <v>0</v>
      </c>
      <c r="CV39" s="553"/>
      <c r="CW39" s="254"/>
      <c r="CX39" s="533"/>
      <c r="CY39" s="551">
        <v>0</v>
      </c>
      <c r="CZ39" s="553"/>
      <c r="DA39" s="254"/>
      <c r="DB39" s="533"/>
      <c r="DC39" s="551">
        <v>0</v>
      </c>
      <c r="DD39" s="553"/>
      <c r="DE39" s="254"/>
      <c r="DF39" s="533"/>
      <c r="DG39" s="551">
        <v>0</v>
      </c>
      <c r="DH39" s="553"/>
      <c r="DI39" s="254"/>
      <c r="DJ39" s="533"/>
      <c r="DK39" s="551">
        <v>0</v>
      </c>
      <c r="DL39" s="553"/>
      <c r="DM39" s="254"/>
      <c r="DN39" s="533"/>
      <c r="DO39" s="551">
        <v>0</v>
      </c>
      <c r="DP39" s="553"/>
      <c r="DQ39" s="254"/>
      <c r="DR39" s="533"/>
      <c r="DS39" s="551">
        <v>0</v>
      </c>
      <c r="DT39" s="553"/>
      <c r="DU39" s="254"/>
      <c r="DV39" s="533"/>
      <c r="DW39" s="551">
        <v>0</v>
      </c>
      <c r="DX39" s="553"/>
      <c r="DY39" s="254"/>
      <c r="DZ39" s="533"/>
      <c r="EA39" s="551">
        <v>0</v>
      </c>
      <c r="EB39" s="553"/>
      <c r="EC39" s="254"/>
      <c r="ED39" s="533"/>
      <c r="EE39" s="551">
        <v>0</v>
      </c>
      <c r="EF39" s="553"/>
      <c r="EG39" s="254"/>
      <c r="EH39" s="533"/>
      <c r="EI39" s="551">
        <v>0</v>
      </c>
      <c r="EJ39" s="553"/>
      <c r="EK39" s="254"/>
      <c r="EL39" s="533"/>
      <c r="EM39" s="551">
        <v>0</v>
      </c>
      <c r="EN39" s="553"/>
      <c r="EO39" s="254"/>
      <c r="EP39" s="533"/>
      <c r="EQ39" s="551">
        <v>0</v>
      </c>
      <c r="ER39" s="553"/>
      <c r="ES39" s="254"/>
      <c r="ET39" s="533"/>
      <c r="EU39" s="551">
        <v>0</v>
      </c>
      <c r="EV39" s="553"/>
      <c r="EW39" s="254"/>
      <c r="EX39" s="533"/>
      <c r="EY39" s="551">
        <v>0</v>
      </c>
      <c r="EZ39" s="553"/>
      <c r="FA39" s="254"/>
      <c r="FB39" s="533"/>
      <c r="FC39" s="551">
        <v>0</v>
      </c>
      <c r="FD39" s="553"/>
      <c r="FE39" s="254"/>
      <c r="FF39" s="533"/>
      <c r="FG39" s="551">
        <v>0</v>
      </c>
      <c r="FH39" s="553"/>
      <c r="FI39" s="254"/>
      <c r="FJ39" s="533"/>
      <c r="FK39" s="551">
        <v>0</v>
      </c>
      <c r="FL39" s="553"/>
      <c r="FM39" s="254"/>
      <c r="FN39" s="533"/>
      <c r="FO39" s="551">
        <v>0</v>
      </c>
      <c r="FP39" s="553"/>
      <c r="FQ39" s="254"/>
      <c r="FR39" s="533"/>
      <c r="FS39" s="551">
        <v>0</v>
      </c>
      <c r="FT39" s="553"/>
      <c r="FU39" s="254"/>
      <c r="FV39" s="533"/>
      <c r="FW39" s="551">
        <v>0</v>
      </c>
      <c r="FX39" s="553"/>
      <c r="FY39" s="254"/>
      <c r="FZ39" s="533"/>
      <c r="GA39" s="551">
        <v>0</v>
      </c>
      <c r="GB39" s="553"/>
      <c r="GC39" s="254"/>
      <c r="GD39" s="533"/>
      <c r="GE39" s="551">
        <v>0</v>
      </c>
      <c r="GF39" s="553"/>
      <c r="GG39" s="254"/>
      <c r="GH39" s="533"/>
      <c r="GI39" s="551">
        <v>0</v>
      </c>
      <c r="GJ39" s="553"/>
      <c r="GK39" s="254"/>
      <c r="GL39" s="533"/>
      <c r="GM39" s="551">
        <v>0</v>
      </c>
      <c r="GN39" s="553"/>
      <c r="GO39" s="254"/>
      <c r="GP39" s="533"/>
      <c r="GQ39" s="551">
        <f t="shared" si="99"/>
        <v>96.18</v>
      </c>
      <c r="GR39" s="553"/>
      <c r="GS39" s="533"/>
    </row>
    <row r="40" spans="2:201" x14ac:dyDescent="0.2">
      <c r="B40" s="526" t="s">
        <v>637</v>
      </c>
      <c r="C40" s="526"/>
      <c r="D40" s="526"/>
      <c r="E40" s="526"/>
      <c r="F40" s="533"/>
      <c r="G40" s="551">
        <v>15.89</v>
      </c>
      <c r="H40" s="553"/>
      <c r="I40" s="254"/>
      <c r="J40" s="533"/>
      <c r="K40" s="551">
        <v>0</v>
      </c>
      <c r="L40" s="553"/>
      <c r="M40" s="254"/>
      <c r="N40" s="533"/>
      <c r="O40" s="551">
        <v>0</v>
      </c>
      <c r="P40" s="553"/>
      <c r="Q40" s="254"/>
      <c r="R40" s="533"/>
      <c r="S40" s="551">
        <v>0</v>
      </c>
      <c r="T40" s="553"/>
      <c r="U40" s="254"/>
      <c r="V40" s="533"/>
      <c r="W40" s="551">
        <v>0</v>
      </c>
      <c r="X40" s="553"/>
      <c r="Y40" s="254"/>
      <c r="Z40" s="533"/>
      <c r="AA40" s="551">
        <v>0</v>
      </c>
      <c r="AB40" s="552"/>
      <c r="AC40" s="254"/>
      <c r="AD40" s="533"/>
      <c r="AE40" s="551">
        <v>87.699999999999989</v>
      </c>
      <c r="AF40" s="553"/>
      <c r="AG40" s="254"/>
      <c r="AH40" s="533"/>
      <c r="AI40" s="551">
        <v>14</v>
      </c>
      <c r="AJ40" s="553"/>
      <c r="AK40" s="254"/>
      <c r="AL40" s="533"/>
      <c r="AM40" s="551">
        <v>0</v>
      </c>
      <c r="AN40" s="553"/>
      <c r="AO40" s="254"/>
      <c r="AP40" s="533"/>
      <c r="AQ40" s="551">
        <v>0</v>
      </c>
      <c r="AR40" s="553"/>
      <c r="AS40" s="254"/>
      <c r="AT40" s="533"/>
      <c r="AU40" s="551">
        <v>0</v>
      </c>
      <c r="AV40" s="553"/>
      <c r="AW40" s="254"/>
      <c r="AX40" s="533"/>
      <c r="AY40" s="551">
        <v>26.61</v>
      </c>
      <c r="AZ40" s="553"/>
      <c r="BA40" s="254"/>
      <c r="BB40" s="533"/>
      <c r="BC40" s="551">
        <v>1.84</v>
      </c>
      <c r="BD40" s="553"/>
      <c r="BE40" s="254"/>
      <c r="BF40" s="533"/>
      <c r="BG40" s="551">
        <v>0</v>
      </c>
      <c r="BH40" s="553"/>
      <c r="BI40" s="254"/>
      <c r="BJ40" s="533"/>
      <c r="BK40" s="551">
        <v>50.03</v>
      </c>
      <c r="BL40" s="553"/>
      <c r="BM40" s="254"/>
      <c r="BN40" s="533"/>
      <c r="BO40" s="551">
        <v>63.18</v>
      </c>
      <c r="BP40" s="553"/>
      <c r="BQ40" s="254"/>
      <c r="BR40" s="533"/>
      <c r="BS40" s="551">
        <v>0</v>
      </c>
      <c r="BT40" s="553"/>
      <c r="BU40" s="254"/>
      <c r="BV40" s="533"/>
      <c r="BW40" s="551">
        <v>0</v>
      </c>
      <c r="BX40" s="553"/>
      <c r="BY40" s="254"/>
      <c r="BZ40" s="533"/>
      <c r="CA40" s="551">
        <v>0</v>
      </c>
      <c r="CB40" s="553"/>
      <c r="CC40" s="254"/>
      <c r="CD40" s="533"/>
      <c r="CE40" s="551">
        <v>0</v>
      </c>
      <c r="CF40" s="553"/>
      <c r="CG40" s="254"/>
      <c r="CH40" s="533"/>
      <c r="CI40" s="551">
        <v>6.56</v>
      </c>
      <c r="CJ40" s="553"/>
      <c r="CK40" s="254"/>
      <c r="CL40" s="533"/>
      <c r="CM40" s="551">
        <v>0</v>
      </c>
      <c r="CN40" s="553"/>
      <c r="CO40" s="254"/>
      <c r="CP40" s="533"/>
      <c r="CQ40" s="551">
        <v>22.7</v>
      </c>
      <c r="CR40" s="553"/>
      <c r="CS40" s="254"/>
      <c r="CT40" s="533"/>
      <c r="CU40" s="551">
        <v>0</v>
      </c>
      <c r="CV40" s="553"/>
      <c r="CW40" s="254"/>
      <c r="CX40" s="533"/>
      <c r="CY40" s="551">
        <v>0</v>
      </c>
      <c r="CZ40" s="553"/>
      <c r="DA40" s="254"/>
      <c r="DB40" s="533"/>
      <c r="DC40" s="551">
        <v>8.41</v>
      </c>
      <c r="DD40" s="553"/>
      <c r="DE40" s="254"/>
      <c r="DF40" s="533"/>
      <c r="DG40" s="551">
        <v>13.4</v>
      </c>
      <c r="DH40" s="553"/>
      <c r="DI40" s="254"/>
      <c r="DJ40" s="533"/>
      <c r="DK40" s="551">
        <v>0</v>
      </c>
      <c r="DL40" s="553"/>
      <c r="DM40" s="254"/>
      <c r="DN40" s="533"/>
      <c r="DO40" s="551">
        <v>45.739999999999995</v>
      </c>
      <c r="DP40" s="553"/>
      <c r="DQ40" s="254"/>
      <c r="DR40" s="533"/>
      <c r="DS40" s="551">
        <v>138.26</v>
      </c>
      <c r="DT40" s="553"/>
      <c r="DU40" s="254"/>
      <c r="DV40" s="533"/>
      <c r="DW40" s="551">
        <v>0</v>
      </c>
      <c r="DX40" s="553"/>
      <c r="DY40" s="254"/>
      <c r="DZ40" s="533"/>
      <c r="EA40" s="551">
        <v>0</v>
      </c>
      <c r="EB40" s="553"/>
      <c r="EC40" s="254"/>
      <c r="ED40" s="533"/>
      <c r="EE40" s="551">
        <v>44.11</v>
      </c>
      <c r="EF40" s="553"/>
      <c r="EG40" s="254"/>
      <c r="EH40" s="533"/>
      <c r="EI40" s="551">
        <v>127.55000000000001</v>
      </c>
      <c r="EJ40" s="553"/>
      <c r="EK40" s="254"/>
      <c r="EL40" s="533"/>
      <c r="EM40" s="551">
        <v>32.01</v>
      </c>
      <c r="EN40" s="553"/>
      <c r="EO40" s="254"/>
      <c r="EP40" s="533"/>
      <c r="EQ40" s="551">
        <v>0</v>
      </c>
      <c r="ER40" s="553"/>
      <c r="ES40" s="254"/>
      <c r="ET40" s="533"/>
      <c r="EU40" s="551">
        <v>40.96</v>
      </c>
      <c r="EV40" s="553"/>
      <c r="EW40" s="254"/>
      <c r="EX40" s="533"/>
      <c r="EY40" s="551">
        <v>48.61</v>
      </c>
      <c r="EZ40" s="553"/>
      <c r="FA40" s="254"/>
      <c r="FB40" s="533"/>
      <c r="FC40" s="551">
        <v>12.54</v>
      </c>
      <c r="FD40" s="553"/>
      <c r="FE40" s="254"/>
      <c r="FF40" s="533"/>
      <c r="FG40" s="551">
        <v>5.1899999999999995</v>
      </c>
      <c r="FH40" s="553"/>
      <c r="FI40" s="254"/>
      <c r="FJ40" s="533"/>
      <c r="FK40" s="551">
        <v>0</v>
      </c>
      <c r="FL40" s="553"/>
      <c r="FM40" s="254"/>
      <c r="FN40" s="533"/>
      <c r="FO40" s="551">
        <v>0</v>
      </c>
      <c r="FP40" s="553"/>
      <c r="FQ40" s="254"/>
      <c r="FR40" s="533"/>
      <c r="FS40" s="551">
        <v>64.56</v>
      </c>
      <c r="FT40" s="553"/>
      <c r="FU40" s="254"/>
      <c r="FV40" s="533"/>
      <c r="FW40" s="551">
        <v>0</v>
      </c>
      <c r="FX40" s="553"/>
      <c r="FY40" s="254"/>
      <c r="FZ40" s="533"/>
      <c r="GA40" s="551">
        <v>10.379999999999999</v>
      </c>
      <c r="GB40" s="553"/>
      <c r="GC40" s="254"/>
      <c r="GD40" s="533"/>
      <c r="GE40" s="551">
        <v>0</v>
      </c>
      <c r="GF40" s="553"/>
      <c r="GG40" s="254"/>
      <c r="GH40" s="533"/>
      <c r="GI40" s="551">
        <v>0</v>
      </c>
      <c r="GJ40" s="553"/>
      <c r="GK40" s="254"/>
      <c r="GL40" s="533"/>
      <c r="GM40" s="551">
        <v>0</v>
      </c>
      <c r="GN40" s="553"/>
      <c r="GO40" s="254"/>
      <c r="GP40" s="533"/>
      <c r="GQ40" s="551">
        <f t="shared" si="99"/>
        <v>880.23000000000013</v>
      </c>
      <c r="GR40" s="553"/>
      <c r="GS40" s="533"/>
    </row>
    <row r="41" spans="2:201" x14ac:dyDescent="0.2">
      <c r="B41" s="526" t="s">
        <v>638</v>
      </c>
      <c r="C41" s="526"/>
      <c r="D41" s="526"/>
      <c r="E41" s="526"/>
      <c r="F41" s="533"/>
      <c r="G41" s="551">
        <v>13.21</v>
      </c>
      <c r="H41" s="553"/>
      <c r="I41" s="254"/>
      <c r="J41" s="533"/>
      <c r="K41" s="551">
        <v>0</v>
      </c>
      <c r="L41" s="553"/>
      <c r="M41" s="254"/>
      <c r="N41" s="533"/>
      <c r="O41" s="551">
        <v>0</v>
      </c>
      <c r="P41" s="553"/>
      <c r="Q41" s="254"/>
      <c r="R41" s="533"/>
      <c r="S41" s="551">
        <v>0</v>
      </c>
      <c r="T41" s="553"/>
      <c r="U41" s="254"/>
      <c r="V41" s="533"/>
      <c r="W41" s="551">
        <v>0</v>
      </c>
      <c r="X41" s="553"/>
      <c r="Y41" s="254"/>
      <c r="Z41" s="533"/>
      <c r="AA41" s="551">
        <v>0</v>
      </c>
      <c r="AB41" s="552"/>
      <c r="AC41" s="254"/>
      <c r="AD41" s="533"/>
      <c r="AE41" s="551">
        <v>31.630000000000003</v>
      </c>
      <c r="AF41" s="553"/>
      <c r="AG41" s="254"/>
      <c r="AH41" s="533"/>
      <c r="AI41" s="551">
        <v>1.6099999999999999</v>
      </c>
      <c r="AJ41" s="553"/>
      <c r="AK41" s="254"/>
      <c r="AL41" s="533"/>
      <c r="AM41" s="551">
        <v>0</v>
      </c>
      <c r="AN41" s="553"/>
      <c r="AO41" s="254"/>
      <c r="AP41" s="533"/>
      <c r="AQ41" s="551">
        <v>0</v>
      </c>
      <c r="AR41" s="553"/>
      <c r="AS41" s="254"/>
      <c r="AT41" s="533"/>
      <c r="AU41" s="551">
        <v>0</v>
      </c>
      <c r="AV41" s="553"/>
      <c r="AW41" s="254"/>
      <c r="AX41" s="533"/>
      <c r="AY41" s="551">
        <v>3.96</v>
      </c>
      <c r="AZ41" s="553"/>
      <c r="BA41" s="254"/>
      <c r="BB41" s="533"/>
      <c r="BC41" s="551">
        <v>2.92</v>
      </c>
      <c r="BD41" s="553"/>
      <c r="BE41" s="254"/>
      <c r="BF41" s="533"/>
      <c r="BG41" s="551">
        <v>0</v>
      </c>
      <c r="BH41" s="553"/>
      <c r="BI41" s="254"/>
      <c r="BJ41" s="533"/>
      <c r="BK41" s="551">
        <v>16.78</v>
      </c>
      <c r="BL41" s="553"/>
      <c r="BM41" s="254"/>
      <c r="BN41" s="533"/>
      <c r="BO41" s="551">
        <v>23.16</v>
      </c>
      <c r="BP41" s="553"/>
      <c r="BQ41" s="254"/>
      <c r="BR41" s="533"/>
      <c r="BS41" s="551">
        <v>0</v>
      </c>
      <c r="BT41" s="553"/>
      <c r="BU41" s="254"/>
      <c r="BV41" s="533"/>
      <c r="BW41" s="551">
        <v>0</v>
      </c>
      <c r="BX41" s="553"/>
      <c r="BY41" s="254"/>
      <c r="BZ41" s="533"/>
      <c r="CA41" s="551">
        <v>0</v>
      </c>
      <c r="CB41" s="553"/>
      <c r="CC41" s="254"/>
      <c r="CD41" s="533"/>
      <c r="CE41" s="551">
        <v>0</v>
      </c>
      <c r="CF41" s="553"/>
      <c r="CG41" s="254"/>
      <c r="CH41" s="533"/>
      <c r="CI41" s="551">
        <v>0</v>
      </c>
      <c r="CJ41" s="553"/>
      <c r="CK41" s="254"/>
      <c r="CL41" s="533"/>
      <c r="CM41" s="551">
        <v>0</v>
      </c>
      <c r="CN41" s="553"/>
      <c r="CO41" s="254"/>
      <c r="CP41" s="533"/>
      <c r="CQ41" s="551">
        <v>5.58</v>
      </c>
      <c r="CR41" s="553"/>
      <c r="CS41" s="254"/>
      <c r="CT41" s="533"/>
      <c r="CU41" s="551">
        <v>5.9</v>
      </c>
      <c r="CV41" s="553"/>
      <c r="CW41" s="254"/>
      <c r="CX41" s="533"/>
      <c r="CY41" s="551">
        <v>37.290000000000006</v>
      </c>
      <c r="CZ41" s="553"/>
      <c r="DA41" s="254"/>
      <c r="DB41" s="533"/>
      <c r="DC41" s="551">
        <v>2.2999999999999998</v>
      </c>
      <c r="DD41" s="553"/>
      <c r="DE41" s="254"/>
      <c r="DF41" s="533"/>
      <c r="DG41" s="551">
        <v>6.42</v>
      </c>
      <c r="DH41" s="553"/>
      <c r="DI41" s="254"/>
      <c r="DJ41" s="533"/>
      <c r="DK41" s="551">
        <v>0</v>
      </c>
      <c r="DL41" s="553"/>
      <c r="DM41" s="254"/>
      <c r="DN41" s="533"/>
      <c r="DO41" s="551">
        <v>37.83</v>
      </c>
      <c r="DP41" s="553"/>
      <c r="DQ41" s="254"/>
      <c r="DR41" s="533"/>
      <c r="DS41" s="551">
        <v>86.86</v>
      </c>
      <c r="DT41" s="553"/>
      <c r="DU41" s="254"/>
      <c r="DV41" s="533"/>
      <c r="DW41" s="551">
        <v>13.64</v>
      </c>
      <c r="DX41" s="553"/>
      <c r="DY41" s="254"/>
      <c r="DZ41" s="533"/>
      <c r="EA41" s="551">
        <v>0</v>
      </c>
      <c r="EB41" s="553"/>
      <c r="EC41" s="254"/>
      <c r="ED41" s="533"/>
      <c r="EE41" s="551">
        <v>35.450000000000003</v>
      </c>
      <c r="EF41" s="553"/>
      <c r="EG41" s="254"/>
      <c r="EH41" s="533"/>
      <c r="EI41" s="551">
        <v>54.93</v>
      </c>
      <c r="EJ41" s="553"/>
      <c r="EK41" s="254"/>
      <c r="EL41" s="533"/>
      <c r="EM41" s="551">
        <v>25.64</v>
      </c>
      <c r="EN41" s="553"/>
      <c r="EO41" s="254"/>
      <c r="EP41" s="533"/>
      <c r="EQ41" s="551">
        <v>0</v>
      </c>
      <c r="ER41" s="553"/>
      <c r="ES41" s="254"/>
      <c r="ET41" s="533"/>
      <c r="EU41" s="551">
        <v>24.08</v>
      </c>
      <c r="EV41" s="553"/>
      <c r="EW41" s="254"/>
      <c r="EX41" s="533"/>
      <c r="EY41" s="551">
        <v>53.269999999999996</v>
      </c>
      <c r="EZ41" s="553"/>
      <c r="FA41" s="254"/>
      <c r="FB41" s="533"/>
      <c r="FC41" s="551">
        <v>13.92</v>
      </c>
      <c r="FD41" s="553"/>
      <c r="FE41" s="254"/>
      <c r="FF41" s="533"/>
      <c r="FG41" s="551">
        <v>4.3600000000000003</v>
      </c>
      <c r="FH41" s="553"/>
      <c r="FI41" s="254"/>
      <c r="FJ41" s="533"/>
      <c r="FK41" s="551">
        <v>0</v>
      </c>
      <c r="FL41" s="553"/>
      <c r="FM41" s="254"/>
      <c r="FN41" s="533"/>
      <c r="FO41" s="551">
        <v>24.21</v>
      </c>
      <c r="FP41" s="553"/>
      <c r="FQ41" s="254"/>
      <c r="FR41" s="533"/>
      <c r="FS41" s="551">
        <v>13.27</v>
      </c>
      <c r="FT41" s="553"/>
      <c r="FU41" s="254"/>
      <c r="FV41" s="533"/>
      <c r="FW41" s="551">
        <v>0</v>
      </c>
      <c r="FX41" s="553"/>
      <c r="FY41" s="254"/>
      <c r="FZ41" s="533"/>
      <c r="GA41" s="551">
        <v>2.88</v>
      </c>
      <c r="GB41" s="553"/>
      <c r="GC41" s="254"/>
      <c r="GD41" s="533"/>
      <c r="GE41" s="551">
        <v>81.37</v>
      </c>
      <c r="GF41" s="553"/>
      <c r="GG41" s="254"/>
      <c r="GH41" s="533"/>
      <c r="GI41" s="551">
        <v>0</v>
      </c>
      <c r="GJ41" s="553"/>
      <c r="GK41" s="254"/>
      <c r="GL41" s="533"/>
      <c r="GM41" s="551">
        <v>0</v>
      </c>
      <c r="GN41" s="553"/>
      <c r="GO41" s="254"/>
      <c r="GP41" s="533"/>
      <c r="GQ41" s="551">
        <f t="shared" si="99"/>
        <v>622.47</v>
      </c>
      <c r="GR41" s="553"/>
      <c r="GS41" s="533"/>
    </row>
    <row r="42" spans="2:201" x14ac:dyDescent="0.2">
      <c r="B42" s="224" t="s">
        <v>639</v>
      </c>
      <c r="C42" s="224"/>
      <c r="D42" s="224"/>
      <c r="E42" s="224"/>
      <c r="F42" s="533"/>
      <c r="G42" s="551">
        <v>0</v>
      </c>
      <c r="H42" s="553"/>
      <c r="I42" s="254"/>
      <c r="J42" s="533"/>
      <c r="K42" s="551">
        <v>15.07</v>
      </c>
      <c r="L42" s="553"/>
      <c r="M42" s="254"/>
      <c r="N42" s="533"/>
      <c r="O42" s="551">
        <v>7.3900000000000006</v>
      </c>
      <c r="P42" s="553"/>
      <c r="Q42" s="254"/>
      <c r="R42" s="533"/>
      <c r="S42" s="551">
        <v>0</v>
      </c>
      <c r="T42" s="553"/>
      <c r="U42" s="254"/>
      <c r="V42" s="533"/>
      <c r="W42" s="551">
        <v>0</v>
      </c>
      <c r="X42" s="553"/>
      <c r="Y42" s="254"/>
      <c r="Z42" s="533"/>
      <c r="AA42" s="551">
        <v>0</v>
      </c>
      <c r="AB42" s="552"/>
      <c r="AC42" s="254"/>
      <c r="AD42" s="533"/>
      <c r="AE42" s="551">
        <v>0</v>
      </c>
      <c r="AF42" s="553"/>
      <c r="AG42" s="254"/>
      <c r="AH42" s="533"/>
      <c r="AI42" s="551">
        <v>0</v>
      </c>
      <c r="AJ42" s="553"/>
      <c r="AK42" s="254"/>
      <c r="AL42" s="533"/>
      <c r="AM42" s="551">
        <v>0</v>
      </c>
      <c r="AN42" s="553"/>
      <c r="AO42" s="254"/>
      <c r="AP42" s="533"/>
      <c r="AQ42" s="551">
        <v>0</v>
      </c>
      <c r="AR42" s="553"/>
      <c r="AS42" s="254"/>
      <c r="AT42" s="533"/>
      <c r="AU42" s="551">
        <v>0</v>
      </c>
      <c r="AV42" s="553"/>
      <c r="AW42" s="254"/>
      <c r="AX42" s="533"/>
      <c r="AY42" s="551">
        <v>0</v>
      </c>
      <c r="AZ42" s="553"/>
      <c r="BA42" s="254"/>
      <c r="BB42" s="533"/>
      <c r="BC42" s="551">
        <v>0</v>
      </c>
      <c r="BD42" s="553"/>
      <c r="BE42" s="254"/>
      <c r="BF42" s="533"/>
      <c r="BG42" s="551">
        <v>0</v>
      </c>
      <c r="BH42" s="553"/>
      <c r="BI42" s="254"/>
      <c r="BJ42" s="533"/>
      <c r="BK42" s="551">
        <v>0</v>
      </c>
      <c r="BL42" s="553"/>
      <c r="BM42" s="254"/>
      <c r="BN42" s="533"/>
      <c r="BO42" s="551">
        <v>0</v>
      </c>
      <c r="BP42" s="553"/>
      <c r="BQ42" s="254"/>
      <c r="BR42" s="533"/>
      <c r="BS42" s="551">
        <v>12.18</v>
      </c>
      <c r="BT42" s="553"/>
      <c r="BU42" s="254"/>
      <c r="BV42" s="533"/>
      <c r="BW42" s="551">
        <v>0</v>
      </c>
      <c r="BX42" s="553"/>
      <c r="BY42" s="254"/>
      <c r="BZ42" s="533"/>
      <c r="CA42" s="551">
        <v>0</v>
      </c>
      <c r="CB42" s="553"/>
      <c r="CC42" s="254"/>
      <c r="CD42" s="533"/>
      <c r="CE42" s="551">
        <v>17.170000000000002</v>
      </c>
      <c r="CF42" s="553"/>
      <c r="CG42" s="254"/>
      <c r="CH42" s="533"/>
      <c r="CI42" s="551">
        <v>0</v>
      </c>
      <c r="CJ42" s="553"/>
      <c r="CK42" s="254"/>
      <c r="CL42" s="533"/>
      <c r="CM42" s="551">
        <v>15.280000000000001</v>
      </c>
      <c r="CN42" s="553"/>
      <c r="CO42" s="254"/>
      <c r="CP42" s="533"/>
      <c r="CQ42" s="551">
        <v>0</v>
      </c>
      <c r="CR42" s="553"/>
      <c r="CS42" s="254"/>
      <c r="CT42" s="533"/>
      <c r="CU42" s="551">
        <v>0</v>
      </c>
      <c r="CV42" s="553"/>
      <c r="CW42" s="254"/>
      <c r="CX42" s="533"/>
      <c r="CY42" s="551">
        <v>8.08</v>
      </c>
      <c r="CZ42" s="553"/>
      <c r="DA42" s="254"/>
      <c r="DB42" s="533"/>
      <c r="DC42" s="551">
        <v>0</v>
      </c>
      <c r="DD42" s="553"/>
      <c r="DE42" s="254"/>
      <c r="DF42" s="533"/>
      <c r="DG42" s="551">
        <v>0</v>
      </c>
      <c r="DH42" s="553"/>
      <c r="DI42" s="254"/>
      <c r="DJ42" s="533"/>
      <c r="DK42" s="551">
        <v>36.21</v>
      </c>
      <c r="DL42" s="553"/>
      <c r="DM42" s="254"/>
      <c r="DN42" s="533"/>
      <c r="DO42" s="551">
        <v>0</v>
      </c>
      <c r="DP42" s="553"/>
      <c r="DQ42" s="254"/>
      <c r="DR42" s="533"/>
      <c r="DS42" s="551">
        <v>0</v>
      </c>
      <c r="DT42" s="553"/>
      <c r="DU42" s="254"/>
      <c r="DV42" s="533"/>
      <c r="DW42" s="551">
        <v>0</v>
      </c>
      <c r="DX42" s="553"/>
      <c r="DY42" s="254"/>
      <c r="DZ42" s="533"/>
      <c r="EA42" s="551">
        <v>23.200000000000003</v>
      </c>
      <c r="EB42" s="553"/>
      <c r="EC42" s="254"/>
      <c r="ED42" s="533"/>
      <c r="EE42" s="551">
        <v>0</v>
      </c>
      <c r="EF42" s="553"/>
      <c r="EG42" s="254"/>
      <c r="EH42" s="533"/>
      <c r="EI42" s="551">
        <v>0</v>
      </c>
      <c r="EJ42" s="553"/>
      <c r="EK42" s="254"/>
      <c r="EL42" s="533"/>
      <c r="EM42" s="551">
        <v>0</v>
      </c>
      <c r="EN42" s="553"/>
      <c r="EO42" s="254"/>
      <c r="EP42" s="533"/>
      <c r="EQ42" s="551">
        <v>0</v>
      </c>
      <c r="ER42" s="553"/>
      <c r="ES42" s="254"/>
      <c r="ET42" s="533"/>
      <c r="EU42" s="551">
        <v>0</v>
      </c>
      <c r="EV42" s="553"/>
      <c r="EW42" s="254"/>
      <c r="EX42" s="533"/>
      <c r="EY42" s="551">
        <v>0</v>
      </c>
      <c r="EZ42" s="553"/>
      <c r="FA42" s="254"/>
      <c r="FB42" s="533"/>
      <c r="FC42" s="551">
        <v>0</v>
      </c>
      <c r="FD42" s="553"/>
      <c r="FE42" s="254"/>
      <c r="FF42" s="533"/>
      <c r="FG42" s="551">
        <v>0</v>
      </c>
      <c r="FH42" s="553"/>
      <c r="FI42" s="254"/>
      <c r="FJ42" s="533"/>
      <c r="FK42" s="551">
        <v>4.83</v>
      </c>
      <c r="FL42" s="553"/>
      <c r="FM42" s="254"/>
      <c r="FN42" s="533"/>
      <c r="FO42" s="551">
        <v>0</v>
      </c>
      <c r="FP42" s="553"/>
      <c r="FQ42" s="254"/>
      <c r="FR42" s="533"/>
      <c r="FS42" s="551">
        <v>0</v>
      </c>
      <c r="FT42" s="553"/>
      <c r="FU42" s="254"/>
      <c r="FV42" s="533"/>
      <c r="FW42" s="551">
        <v>0</v>
      </c>
      <c r="FX42" s="553"/>
      <c r="FY42" s="254"/>
      <c r="FZ42" s="533"/>
      <c r="GA42" s="551">
        <v>0</v>
      </c>
      <c r="GB42" s="553"/>
      <c r="GC42" s="254"/>
      <c r="GD42" s="533"/>
      <c r="GE42" s="551">
        <v>68.300000000000011</v>
      </c>
      <c r="GF42" s="553"/>
      <c r="GG42" s="254"/>
      <c r="GH42" s="533"/>
      <c r="GI42" s="551">
        <v>31.57</v>
      </c>
      <c r="GJ42" s="553"/>
      <c r="GK42" s="254"/>
      <c r="GL42" s="533"/>
      <c r="GM42" s="551">
        <v>4</v>
      </c>
      <c r="GN42" s="553"/>
      <c r="GO42" s="254"/>
      <c r="GP42" s="533"/>
      <c r="GQ42" s="551">
        <f t="shared" si="99"/>
        <v>243.28</v>
      </c>
      <c r="GR42" s="553"/>
      <c r="GS42" s="533"/>
    </row>
    <row r="43" spans="2:201" x14ac:dyDescent="0.2">
      <c r="B43" s="224" t="s">
        <v>640</v>
      </c>
      <c r="C43" s="224"/>
      <c r="D43" s="224"/>
      <c r="E43" s="224"/>
      <c r="F43" s="533"/>
      <c r="G43" s="551">
        <v>0</v>
      </c>
      <c r="H43" s="553"/>
      <c r="I43" s="254"/>
      <c r="J43" s="533"/>
      <c r="K43" s="551">
        <v>147.07</v>
      </c>
      <c r="L43" s="553"/>
      <c r="M43" s="254"/>
      <c r="N43" s="533"/>
      <c r="O43" s="551">
        <v>252.5</v>
      </c>
      <c r="P43" s="553"/>
      <c r="Q43" s="254"/>
      <c r="R43" s="533"/>
      <c r="S43" s="551">
        <v>0</v>
      </c>
      <c r="T43" s="553"/>
      <c r="U43" s="254"/>
      <c r="V43" s="533"/>
      <c r="W43" s="551">
        <v>0</v>
      </c>
      <c r="X43" s="553"/>
      <c r="Y43" s="254"/>
      <c r="Z43" s="533"/>
      <c r="AA43" s="551">
        <v>0</v>
      </c>
      <c r="AB43" s="552"/>
      <c r="AC43" s="254"/>
      <c r="AD43" s="533"/>
      <c r="AE43" s="551">
        <v>0</v>
      </c>
      <c r="AF43" s="553"/>
      <c r="AG43" s="254"/>
      <c r="AH43" s="533"/>
      <c r="AI43" s="551">
        <v>0</v>
      </c>
      <c r="AJ43" s="553"/>
      <c r="AK43" s="254"/>
      <c r="AL43" s="533"/>
      <c r="AM43" s="551">
        <v>0</v>
      </c>
      <c r="AN43" s="553"/>
      <c r="AO43" s="254"/>
      <c r="AP43" s="533"/>
      <c r="AQ43" s="551">
        <v>0</v>
      </c>
      <c r="AR43" s="553"/>
      <c r="AS43" s="254"/>
      <c r="AT43" s="533"/>
      <c r="AU43" s="551">
        <v>0</v>
      </c>
      <c r="AV43" s="553"/>
      <c r="AW43" s="254"/>
      <c r="AX43" s="533"/>
      <c r="AY43" s="551">
        <v>0</v>
      </c>
      <c r="AZ43" s="553"/>
      <c r="BA43" s="254"/>
      <c r="BB43" s="533"/>
      <c r="BC43" s="551">
        <v>0</v>
      </c>
      <c r="BD43" s="553"/>
      <c r="BE43" s="254"/>
      <c r="BF43" s="533"/>
      <c r="BG43" s="551">
        <v>0</v>
      </c>
      <c r="BH43" s="553"/>
      <c r="BI43" s="254"/>
      <c r="BJ43" s="533"/>
      <c r="BK43" s="551">
        <v>0</v>
      </c>
      <c r="BL43" s="553"/>
      <c r="BM43" s="254"/>
      <c r="BN43" s="533"/>
      <c r="BO43" s="551">
        <v>0</v>
      </c>
      <c r="BP43" s="553"/>
      <c r="BQ43" s="254"/>
      <c r="BR43" s="533"/>
      <c r="BS43" s="551">
        <v>64.34</v>
      </c>
      <c r="BT43" s="553"/>
      <c r="BU43" s="254"/>
      <c r="BV43" s="533"/>
      <c r="BW43" s="551">
        <v>0</v>
      </c>
      <c r="BX43" s="553"/>
      <c r="BY43" s="254"/>
      <c r="BZ43" s="533"/>
      <c r="CA43" s="551">
        <v>0</v>
      </c>
      <c r="CB43" s="553"/>
      <c r="CC43" s="254"/>
      <c r="CD43" s="533"/>
      <c r="CE43" s="551">
        <v>3.12</v>
      </c>
      <c r="CF43" s="553"/>
      <c r="CG43" s="254"/>
      <c r="CH43" s="533"/>
      <c r="CI43" s="551">
        <v>0</v>
      </c>
      <c r="CJ43" s="553"/>
      <c r="CK43" s="254"/>
      <c r="CL43" s="533"/>
      <c r="CM43" s="551">
        <v>3.5</v>
      </c>
      <c r="CN43" s="553"/>
      <c r="CO43" s="254"/>
      <c r="CP43" s="533"/>
      <c r="CQ43" s="551">
        <v>0</v>
      </c>
      <c r="CR43" s="553"/>
      <c r="CS43" s="254"/>
      <c r="CT43" s="533"/>
      <c r="CU43" s="551">
        <v>0</v>
      </c>
      <c r="CV43" s="553"/>
      <c r="CW43" s="254"/>
      <c r="CX43" s="533"/>
      <c r="CY43" s="551">
        <v>6.21</v>
      </c>
      <c r="CZ43" s="553"/>
      <c r="DA43" s="254"/>
      <c r="DB43" s="533"/>
      <c r="DC43" s="551">
        <v>0</v>
      </c>
      <c r="DD43" s="553"/>
      <c r="DE43" s="254"/>
      <c r="DF43" s="533"/>
      <c r="DG43" s="551">
        <v>0</v>
      </c>
      <c r="DH43" s="553"/>
      <c r="DI43" s="254"/>
      <c r="DJ43" s="533"/>
      <c r="DK43" s="551">
        <v>0</v>
      </c>
      <c r="DL43" s="553"/>
      <c r="DM43" s="254"/>
      <c r="DN43" s="533"/>
      <c r="DO43" s="551">
        <v>0</v>
      </c>
      <c r="DP43" s="553"/>
      <c r="DQ43" s="254"/>
      <c r="DR43" s="533"/>
      <c r="DS43" s="551">
        <v>0</v>
      </c>
      <c r="DT43" s="553"/>
      <c r="DU43" s="254"/>
      <c r="DV43" s="533"/>
      <c r="DW43" s="551">
        <v>0</v>
      </c>
      <c r="DX43" s="553"/>
      <c r="DY43" s="254"/>
      <c r="DZ43" s="533"/>
      <c r="EA43" s="551">
        <v>57.11</v>
      </c>
      <c r="EB43" s="553"/>
      <c r="EC43" s="254"/>
      <c r="ED43" s="533"/>
      <c r="EE43" s="551">
        <v>0</v>
      </c>
      <c r="EF43" s="553"/>
      <c r="EG43" s="254"/>
      <c r="EH43" s="533"/>
      <c r="EI43" s="551">
        <v>0</v>
      </c>
      <c r="EJ43" s="553"/>
      <c r="EK43" s="254"/>
      <c r="EL43" s="533"/>
      <c r="EM43" s="551">
        <v>0</v>
      </c>
      <c r="EN43" s="553"/>
      <c r="EO43" s="254"/>
      <c r="EP43" s="533"/>
      <c r="EQ43" s="551">
        <v>0</v>
      </c>
      <c r="ER43" s="553"/>
      <c r="ES43" s="254"/>
      <c r="ET43" s="533"/>
      <c r="EU43" s="551">
        <v>0</v>
      </c>
      <c r="EV43" s="553"/>
      <c r="EW43" s="254"/>
      <c r="EX43" s="533"/>
      <c r="EY43" s="551">
        <v>0</v>
      </c>
      <c r="EZ43" s="553"/>
      <c r="FA43" s="254"/>
      <c r="FB43" s="533"/>
      <c r="FC43" s="551">
        <v>0</v>
      </c>
      <c r="FD43" s="553"/>
      <c r="FE43" s="254"/>
      <c r="FF43" s="533"/>
      <c r="FG43" s="551">
        <v>0</v>
      </c>
      <c r="FH43" s="553"/>
      <c r="FI43" s="254"/>
      <c r="FJ43" s="533"/>
      <c r="FK43" s="551">
        <v>0</v>
      </c>
      <c r="FL43" s="553"/>
      <c r="FM43" s="254"/>
      <c r="FN43" s="533"/>
      <c r="FO43" s="551">
        <v>0</v>
      </c>
      <c r="FP43" s="553"/>
      <c r="FQ43" s="254"/>
      <c r="FR43" s="533"/>
      <c r="FS43" s="551">
        <v>0</v>
      </c>
      <c r="FT43" s="553"/>
      <c r="FU43" s="254"/>
      <c r="FV43" s="533"/>
      <c r="FW43" s="551">
        <v>0</v>
      </c>
      <c r="FX43" s="553"/>
      <c r="FY43" s="254"/>
      <c r="FZ43" s="533"/>
      <c r="GA43" s="551">
        <v>0</v>
      </c>
      <c r="GB43" s="553"/>
      <c r="GC43" s="254"/>
      <c r="GD43" s="533"/>
      <c r="GE43" s="551">
        <v>39.459999999999994</v>
      </c>
      <c r="GF43" s="553"/>
      <c r="GG43" s="254"/>
      <c r="GH43" s="533"/>
      <c r="GI43" s="551">
        <v>52.86</v>
      </c>
      <c r="GJ43" s="553"/>
      <c r="GK43" s="254"/>
      <c r="GL43" s="533"/>
      <c r="GM43" s="551">
        <v>1.8900000000000001</v>
      </c>
      <c r="GN43" s="553"/>
      <c r="GO43" s="254"/>
      <c r="GP43" s="533"/>
      <c r="GQ43" s="551">
        <f t="shared" si="99"/>
        <v>628.05999999999995</v>
      </c>
      <c r="GR43" s="553"/>
      <c r="GS43" s="533"/>
    </row>
    <row r="44" spans="2:201" x14ac:dyDescent="0.2">
      <c r="B44" s="526"/>
      <c r="C44" s="526"/>
      <c r="D44" s="526"/>
      <c r="E44" s="526"/>
      <c r="F44" s="525"/>
      <c r="G44" s="554">
        <f>SUM(G28:G43)</f>
        <v>98.960000000000008</v>
      </c>
      <c r="H44" s="553"/>
      <c r="I44" s="254"/>
      <c r="J44" s="525"/>
      <c r="K44" s="554">
        <f>SUM(K28:K43)</f>
        <v>742.13000000000011</v>
      </c>
      <c r="L44" s="553"/>
      <c r="M44" s="254"/>
      <c r="N44" s="525"/>
      <c r="O44" s="554">
        <f>SUM(O28:O43)</f>
        <v>1122.8200000000002</v>
      </c>
      <c r="P44" s="553"/>
      <c r="Q44" s="254"/>
      <c r="R44" s="525"/>
      <c r="S44" s="554">
        <f>SUM(S28:S43)</f>
        <v>69.169999999999987</v>
      </c>
      <c r="T44" s="553"/>
      <c r="U44" s="254"/>
      <c r="V44" s="525"/>
      <c r="W44" s="554">
        <f>SUM(W28:W43)</f>
        <v>27.05</v>
      </c>
      <c r="X44" s="553"/>
      <c r="Y44" s="254"/>
      <c r="Z44" s="525"/>
      <c r="AA44" s="554">
        <f>SUM(AA28:AA43)</f>
        <v>147.01999999999998</v>
      </c>
      <c r="AB44" s="552"/>
      <c r="AC44" s="254"/>
      <c r="AD44" s="525"/>
      <c r="AE44" s="554">
        <f>SUM(AE28:AE43)</f>
        <v>592</v>
      </c>
      <c r="AF44" s="553"/>
      <c r="AG44" s="254"/>
      <c r="AH44" s="525"/>
      <c r="AI44" s="554">
        <f>SUM(AI28:AI43)</f>
        <v>575.4</v>
      </c>
      <c r="AJ44" s="553"/>
      <c r="AK44" s="254"/>
      <c r="AL44" s="525"/>
      <c r="AM44" s="554">
        <f>SUM(AM28:AM43)</f>
        <v>386.46</v>
      </c>
      <c r="AN44" s="553"/>
      <c r="AO44" s="254"/>
      <c r="AP44" s="525"/>
      <c r="AQ44" s="554">
        <f>SUM(AQ28:AQ43)</f>
        <v>124</v>
      </c>
      <c r="AR44" s="553"/>
      <c r="AS44" s="254"/>
      <c r="AT44" s="525"/>
      <c r="AU44" s="554">
        <f>SUM(AU28:AU43)</f>
        <v>49.44</v>
      </c>
      <c r="AV44" s="553"/>
      <c r="AW44" s="254"/>
      <c r="AX44" s="525"/>
      <c r="AY44" s="554">
        <f>SUM(AY28:AY43)</f>
        <v>1046.52</v>
      </c>
      <c r="AZ44" s="553"/>
      <c r="BA44" s="254"/>
      <c r="BB44" s="525"/>
      <c r="BC44" s="554">
        <f>SUM(BC28:BC43)</f>
        <v>264.18</v>
      </c>
      <c r="BD44" s="553"/>
      <c r="BE44" s="254"/>
      <c r="BF44" s="525"/>
      <c r="BG44" s="554">
        <f>SUM(BG28:BG43)</f>
        <v>32.46</v>
      </c>
      <c r="BH44" s="553"/>
      <c r="BI44" s="254"/>
      <c r="BJ44" s="525"/>
      <c r="BK44" s="554">
        <f>SUM(BK28:BK43)</f>
        <v>199.92</v>
      </c>
      <c r="BL44" s="553"/>
      <c r="BM44" s="254"/>
      <c r="BN44" s="525"/>
      <c r="BO44" s="554">
        <f>SUM(BO28:BO43)</f>
        <v>510.11</v>
      </c>
      <c r="BP44" s="553"/>
      <c r="BQ44" s="254"/>
      <c r="BR44" s="525"/>
      <c r="BS44" s="554">
        <f>SUM(BS28:BS43)</f>
        <v>739.1</v>
      </c>
      <c r="BT44" s="553"/>
      <c r="BU44" s="254"/>
      <c r="BV44" s="525"/>
      <c r="BW44" s="554">
        <f>SUM(BW28:BW43)</f>
        <v>135.59</v>
      </c>
      <c r="BX44" s="553"/>
      <c r="BY44" s="254"/>
      <c r="BZ44" s="525"/>
      <c r="CA44" s="554">
        <f>SUM(CA28:CA43)</f>
        <v>95.37</v>
      </c>
      <c r="CB44" s="553"/>
      <c r="CC44" s="254"/>
      <c r="CD44" s="525"/>
      <c r="CE44" s="554">
        <f>SUM(CE28:CE43)</f>
        <v>350.24</v>
      </c>
      <c r="CF44" s="553"/>
      <c r="CG44" s="254"/>
      <c r="CH44" s="525"/>
      <c r="CI44" s="554">
        <f>SUM(CI28:CI43)</f>
        <v>349.5</v>
      </c>
      <c r="CJ44" s="553"/>
      <c r="CK44" s="254"/>
      <c r="CL44" s="525"/>
      <c r="CM44" s="554">
        <f>SUM(CM28:CM43)</f>
        <v>325.39</v>
      </c>
      <c r="CN44" s="553"/>
      <c r="CO44" s="254"/>
      <c r="CP44" s="525"/>
      <c r="CQ44" s="554">
        <f>SUM(CQ28:CQ43)</f>
        <v>997.61000000000013</v>
      </c>
      <c r="CR44" s="553"/>
      <c r="CS44" s="254"/>
      <c r="CT44" s="525"/>
      <c r="CU44" s="554">
        <f>SUM(CU28:CU43)</f>
        <v>534.09</v>
      </c>
      <c r="CV44" s="553"/>
      <c r="CW44" s="254"/>
      <c r="CX44" s="525"/>
      <c r="CY44" s="554">
        <f>SUM(CY28:CY43)</f>
        <v>507.66</v>
      </c>
      <c r="CZ44" s="553"/>
      <c r="DA44" s="254"/>
      <c r="DB44" s="525"/>
      <c r="DC44" s="554">
        <f>SUM(DC28:DC43)</f>
        <v>244.00000000000003</v>
      </c>
      <c r="DD44" s="553"/>
      <c r="DE44" s="254"/>
      <c r="DF44" s="525"/>
      <c r="DG44" s="554">
        <f>SUM(DG28:DG43)</f>
        <v>344.42</v>
      </c>
      <c r="DH44" s="553"/>
      <c r="DI44" s="254"/>
      <c r="DJ44" s="525"/>
      <c r="DK44" s="554">
        <f>SUM(DK28:DK43)</f>
        <v>582.97</v>
      </c>
      <c r="DL44" s="553"/>
      <c r="DM44" s="254"/>
      <c r="DN44" s="525"/>
      <c r="DO44" s="554">
        <f>SUM(DO28:DO43)</f>
        <v>712.25</v>
      </c>
      <c r="DP44" s="553"/>
      <c r="DQ44" s="254"/>
      <c r="DR44" s="525"/>
      <c r="DS44" s="554">
        <f>SUM(DS28:DS43)</f>
        <v>1143.55</v>
      </c>
      <c r="DT44" s="553"/>
      <c r="DU44" s="254"/>
      <c r="DV44" s="525"/>
      <c r="DW44" s="554">
        <f>SUM(DW28:DW43)</f>
        <v>684.68</v>
      </c>
      <c r="DX44" s="553"/>
      <c r="DY44" s="254"/>
      <c r="DZ44" s="525"/>
      <c r="EA44" s="554">
        <f>SUM(EA28:EA43)</f>
        <v>1060.3400000000001</v>
      </c>
      <c r="EB44" s="553"/>
      <c r="EC44" s="254"/>
      <c r="ED44" s="525"/>
      <c r="EE44" s="554">
        <f>SUM(EE28:EE43)</f>
        <v>1296.74</v>
      </c>
      <c r="EF44" s="553"/>
      <c r="EG44" s="254"/>
      <c r="EH44" s="525"/>
      <c r="EI44" s="554">
        <f>SUM(EI28:EI43)</f>
        <v>338.90000000000003</v>
      </c>
      <c r="EJ44" s="553"/>
      <c r="EK44" s="254"/>
      <c r="EL44" s="525"/>
      <c r="EM44" s="554">
        <f>SUM(EM28:EM43)</f>
        <v>468.19999999999993</v>
      </c>
      <c r="EN44" s="553"/>
      <c r="EO44" s="254"/>
      <c r="EP44" s="525"/>
      <c r="EQ44" s="554">
        <f>SUM(EQ28:EQ43)</f>
        <v>81.150000000000006</v>
      </c>
      <c r="ER44" s="553"/>
      <c r="ES44" s="254"/>
      <c r="ET44" s="525"/>
      <c r="EU44" s="554">
        <f>SUM(EU28:EU43)</f>
        <v>805.71000000000015</v>
      </c>
      <c r="EV44" s="553"/>
      <c r="EW44" s="254"/>
      <c r="EX44" s="525"/>
      <c r="EY44" s="554">
        <f>SUM(EY28:EY43)</f>
        <v>832.25999999999988</v>
      </c>
      <c r="EZ44" s="553"/>
      <c r="FA44" s="254"/>
      <c r="FB44" s="525"/>
      <c r="FC44" s="554">
        <f>SUM(FC28:FC43)</f>
        <v>1023.2199999999999</v>
      </c>
      <c r="FD44" s="553"/>
      <c r="FE44" s="254"/>
      <c r="FF44" s="525"/>
      <c r="FG44" s="554">
        <f>SUM(FG28:FG43)</f>
        <v>281.96000000000004</v>
      </c>
      <c r="FH44" s="553"/>
      <c r="FI44" s="254"/>
      <c r="FJ44" s="525"/>
      <c r="FK44" s="554">
        <f>SUM(FK28:FK43)</f>
        <v>140.98000000000002</v>
      </c>
      <c r="FL44" s="553"/>
      <c r="FM44" s="254"/>
      <c r="FN44" s="525"/>
      <c r="FO44" s="554">
        <f>SUM(FO28:FO43)</f>
        <v>344.31</v>
      </c>
      <c r="FP44" s="553"/>
      <c r="FQ44" s="254"/>
      <c r="FR44" s="525"/>
      <c r="FS44" s="554">
        <f>SUM(FS28:FS43)</f>
        <v>413.16999999999996</v>
      </c>
      <c r="FT44" s="553"/>
      <c r="FU44" s="254"/>
      <c r="FV44" s="525"/>
      <c r="FW44" s="554">
        <f>SUM(FW28:FW43)</f>
        <v>87</v>
      </c>
      <c r="FX44" s="553"/>
      <c r="FY44" s="254"/>
      <c r="FZ44" s="525"/>
      <c r="GA44" s="554">
        <f>SUM(GA28:GA43)</f>
        <v>169.6</v>
      </c>
      <c r="GB44" s="553"/>
      <c r="GC44" s="254"/>
      <c r="GD44" s="525"/>
      <c r="GE44" s="554">
        <f>SUM(GE28:GE43)</f>
        <v>1007.3500000000001</v>
      </c>
      <c r="GF44" s="553"/>
      <c r="GG44" s="254"/>
      <c r="GH44" s="525"/>
      <c r="GI44" s="554">
        <f>SUM(GI28:GI43)</f>
        <v>312.74</v>
      </c>
      <c r="GJ44" s="553"/>
      <c r="GK44" s="254"/>
      <c r="GL44" s="525"/>
      <c r="GM44" s="554">
        <f>SUM(GM28:GM43)</f>
        <v>38.24</v>
      </c>
      <c r="GN44" s="553"/>
      <c r="GO44" s="254"/>
      <c r="GP44" s="525"/>
      <c r="GQ44" s="554">
        <f>SUM(GQ28:GQ43)</f>
        <v>22435.93</v>
      </c>
      <c r="GR44" s="553"/>
      <c r="GS44" s="533"/>
    </row>
    <row r="45" spans="2:201" x14ac:dyDescent="0.2">
      <c r="B45" s="526"/>
      <c r="C45" s="526"/>
      <c r="D45" s="526"/>
      <c r="E45" s="526"/>
      <c r="F45" s="525"/>
      <c r="G45" s="555"/>
      <c r="H45" s="553"/>
      <c r="I45" s="254"/>
      <c r="J45" s="525"/>
      <c r="K45" s="555"/>
      <c r="L45" s="553"/>
      <c r="M45" s="254"/>
      <c r="N45" s="525"/>
      <c r="O45" s="555"/>
      <c r="P45" s="553"/>
      <c r="Q45" s="254"/>
      <c r="R45" s="525"/>
      <c r="S45" s="555"/>
      <c r="T45" s="553"/>
      <c r="U45" s="254"/>
      <c r="V45" s="525"/>
      <c r="W45" s="555"/>
      <c r="X45" s="553"/>
      <c r="Y45" s="254"/>
      <c r="Z45" s="525"/>
      <c r="AA45" s="555"/>
      <c r="AB45" s="552"/>
      <c r="AC45" s="254"/>
      <c r="AD45" s="525"/>
      <c r="AE45" s="555"/>
      <c r="AF45" s="553"/>
      <c r="AG45" s="254"/>
      <c r="AH45" s="525"/>
      <c r="AI45" s="555"/>
      <c r="AJ45" s="553"/>
      <c r="AK45" s="254"/>
      <c r="AL45" s="525"/>
      <c r="AM45" s="555"/>
      <c r="AN45" s="553"/>
      <c r="AO45" s="254"/>
      <c r="AP45" s="525"/>
      <c r="AQ45" s="555"/>
      <c r="AR45" s="553"/>
      <c r="AS45" s="254"/>
      <c r="AT45" s="525"/>
      <c r="AU45" s="555"/>
      <c r="AV45" s="553"/>
      <c r="AW45" s="254"/>
      <c r="AX45" s="525"/>
      <c r="AY45" s="555"/>
      <c r="AZ45" s="553"/>
      <c r="BA45" s="254"/>
      <c r="BB45" s="525"/>
      <c r="BC45" s="555"/>
      <c r="BD45" s="553"/>
      <c r="BE45" s="254"/>
      <c r="BF45" s="525"/>
      <c r="BG45" s="555"/>
      <c r="BH45" s="553"/>
      <c r="BI45" s="254"/>
      <c r="BJ45" s="525"/>
      <c r="BK45" s="555"/>
      <c r="BL45" s="553"/>
      <c r="BM45" s="254"/>
      <c r="BN45" s="525"/>
      <c r="BO45" s="555"/>
      <c r="BP45" s="553"/>
      <c r="BQ45" s="254"/>
      <c r="BR45" s="525"/>
      <c r="BS45" s="555"/>
      <c r="BT45" s="553"/>
      <c r="BU45" s="254"/>
      <c r="BV45" s="525"/>
      <c r="BW45" s="555"/>
      <c r="BX45" s="553"/>
      <c r="BY45" s="254"/>
      <c r="BZ45" s="525"/>
      <c r="CA45" s="555"/>
      <c r="CB45" s="553"/>
      <c r="CC45" s="254"/>
      <c r="CD45" s="525"/>
      <c r="CE45" s="555"/>
      <c r="CF45" s="553"/>
      <c r="CG45" s="254"/>
      <c r="CH45" s="525"/>
      <c r="CI45" s="555"/>
      <c r="CJ45" s="553"/>
      <c r="CK45" s="254"/>
      <c r="CL45" s="525"/>
      <c r="CM45" s="555"/>
      <c r="CN45" s="553"/>
      <c r="CO45" s="254"/>
      <c r="CP45" s="525"/>
      <c r="CQ45" s="555"/>
      <c r="CR45" s="553"/>
      <c r="CS45" s="254"/>
      <c r="CT45" s="525"/>
      <c r="CU45" s="555"/>
      <c r="CV45" s="553"/>
      <c r="CW45" s="254"/>
      <c r="CX45" s="525"/>
      <c r="CY45" s="555"/>
      <c r="CZ45" s="553"/>
      <c r="DA45" s="254"/>
      <c r="DB45" s="525"/>
      <c r="DC45" s="555"/>
      <c r="DD45" s="553"/>
      <c r="DE45" s="254"/>
      <c r="DF45" s="525"/>
      <c r="DG45" s="555"/>
      <c r="DH45" s="553"/>
      <c r="DI45" s="254"/>
      <c r="DJ45" s="525"/>
      <c r="DK45" s="555"/>
      <c r="DL45" s="553"/>
      <c r="DM45" s="254"/>
      <c r="DN45" s="525"/>
      <c r="DO45" s="555"/>
      <c r="DP45" s="553"/>
      <c r="DQ45" s="254"/>
      <c r="DR45" s="525"/>
      <c r="DS45" s="555"/>
      <c r="DT45" s="553"/>
      <c r="DU45" s="254"/>
      <c r="DV45" s="525"/>
      <c r="DW45" s="555"/>
      <c r="DX45" s="553"/>
      <c r="DY45" s="254"/>
      <c r="DZ45" s="525"/>
      <c r="EA45" s="555"/>
      <c r="EB45" s="553"/>
      <c r="EC45" s="254"/>
      <c r="ED45" s="525"/>
      <c r="EE45" s="555"/>
      <c r="EF45" s="553"/>
      <c r="EG45" s="254"/>
      <c r="EH45" s="525"/>
      <c r="EI45" s="555"/>
      <c r="EJ45" s="553"/>
      <c r="EK45" s="254"/>
      <c r="EL45" s="525"/>
      <c r="EM45" s="555"/>
      <c r="EN45" s="553"/>
      <c r="EO45" s="254"/>
      <c r="EP45" s="525"/>
      <c r="EQ45" s="555"/>
      <c r="ER45" s="553"/>
      <c r="ES45" s="254"/>
      <c r="ET45" s="525"/>
      <c r="EU45" s="555"/>
      <c r="EV45" s="553"/>
      <c r="EW45" s="254"/>
      <c r="EX45" s="525"/>
      <c r="EY45" s="555"/>
      <c r="EZ45" s="553"/>
      <c r="FA45" s="254"/>
      <c r="FB45" s="525"/>
      <c r="FC45" s="555"/>
      <c r="FD45" s="553"/>
      <c r="FE45" s="254"/>
      <c r="FF45" s="525"/>
      <c r="FG45" s="555"/>
      <c r="FH45" s="553"/>
      <c r="FI45" s="254"/>
      <c r="FJ45" s="525"/>
      <c r="FK45" s="555"/>
      <c r="FL45" s="553"/>
      <c r="FM45" s="254"/>
      <c r="FN45" s="525"/>
      <c r="FO45" s="555"/>
      <c r="FP45" s="553"/>
      <c r="FQ45" s="254"/>
      <c r="FR45" s="525"/>
      <c r="FS45" s="555"/>
      <c r="FT45" s="553"/>
      <c r="FU45" s="254"/>
      <c r="FV45" s="525"/>
      <c r="FW45" s="555"/>
      <c r="FX45" s="553"/>
      <c r="FY45" s="254"/>
      <c r="FZ45" s="525"/>
      <c r="GA45" s="555"/>
      <c r="GB45" s="553"/>
      <c r="GC45" s="254"/>
      <c r="GD45" s="525"/>
      <c r="GE45" s="555"/>
      <c r="GF45" s="553"/>
      <c r="GG45" s="254"/>
      <c r="GH45" s="525"/>
      <c r="GI45" s="555"/>
      <c r="GJ45" s="553"/>
      <c r="GK45" s="254"/>
      <c r="GL45" s="525"/>
      <c r="GM45" s="555"/>
      <c r="GN45" s="553"/>
      <c r="GO45" s="254"/>
      <c r="GP45" s="525"/>
      <c r="GQ45" s="555"/>
      <c r="GR45" s="553"/>
      <c r="GS45" s="533"/>
    </row>
    <row r="46" spans="2:201" x14ac:dyDescent="0.2">
      <c r="B46" s="526"/>
      <c r="C46" s="526"/>
      <c r="D46" s="526"/>
      <c r="E46" s="526"/>
      <c r="F46" s="525"/>
      <c r="G46" s="555"/>
      <c r="H46" s="553"/>
      <c r="I46" s="254"/>
      <c r="J46" s="525"/>
      <c r="K46" s="555"/>
      <c r="L46" s="553"/>
      <c r="M46" s="254"/>
      <c r="N46" s="525"/>
      <c r="O46" s="555"/>
      <c r="P46" s="553"/>
      <c r="Q46" s="254"/>
      <c r="R46" s="525"/>
      <c r="S46" s="555"/>
      <c r="T46" s="553"/>
      <c r="U46" s="254"/>
      <c r="V46" s="525"/>
      <c r="W46" s="555"/>
      <c r="X46" s="553"/>
      <c r="Y46" s="254"/>
      <c r="Z46" s="525"/>
      <c r="AA46" s="555"/>
      <c r="AB46" s="556"/>
      <c r="AC46" s="254"/>
      <c r="AD46" s="557"/>
      <c r="AE46" s="555"/>
      <c r="AF46" s="553"/>
      <c r="AG46" s="254"/>
      <c r="AH46" s="525"/>
      <c r="AI46" s="555"/>
      <c r="AJ46" s="553"/>
      <c r="AK46" s="254"/>
      <c r="AL46" s="525"/>
      <c r="AM46" s="555"/>
      <c r="AN46" s="553"/>
      <c r="AO46" s="254"/>
      <c r="AP46" s="525"/>
      <c r="AQ46" s="555"/>
      <c r="AR46" s="553"/>
      <c r="AS46" s="254"/>
      <c r="AT46" s="525"/>
      <c r="AU46" s="555"/>
      <c r="AV46" s="553"/>
      <c r="AW46" s="254"/>
      <c r="AX46" s="525"/>
      <c r="AY46" s="555"/>
      <c r="AZ46" s="553"/>
      <c r="BA46" s="254"/>
      <c r="BB46" s="525"/>
      <c r="BC46" s="555"/>
      <c r="BD46" s="553"/>
      <c r="BE46" s="254"/>
      <c r="BF46" s="525"/>
      <c r="BG46" s="555"/>
      <c r="BH46" s="553"/>
      <c r="BI46" s="254"/>
      <c r="BJ46" s="525"/>
      <c r="BK46" s="555"/>
      <c r="BL46" s="553"/>
      <c r="BM46" s="254"/>
      <c r="BN46" s="525"/>
      <c r="BO46" s="555"/>
      <c r="BP46" s="553"/>
      <c r="BQ46" s="254"/>
      <c r="BR46" s="525"/>
      <c r="BS46" s="555"/>
      <c r="BT46" s="553"/>
      <c r="BU46" s="254"/>
      <c r="BV46" s="525"/>
      <c r="BW46" s="555"/>
      <c r="BX46" s="553"/>
      <c r="BY46" s="254"/>
      <c r="BZ46" s="525"/>
      <c r="CA46" s="555"/>
      <c r="CB46" s="553"/>
      <c r="CC46" s="254"/>
      <c r="CD46" s="525"/>
      <c r="CE46" s="555"/>
      <c r="CF46" s="553"/>
      <c r="CG46" s="254"/>
      <c r="CH46" s="525"/>
      <c r="CI46" s="555"/>
      <c r="CJ46" s="553"/>
      <c r="CK46" s="254"/>
      <c r="CL46" s="525"/>
      <c r="CM46" s="555"/>
      <c r="CN46" s="553"/>
      <c r="CO46" s="254"/>
      <c r="CP46" s="525"/>
      <c r="CQ46" s="555"/>
      <c r="CR46" s="553"/>
      <c r="CS46" s="254"/>
      <c r="CT46" s="525"/>
      <c r="CU46" s="555"/>
      <c r="CV46" s="553"/>
      <c r="CW46" s="254"/>
      <c r="CX46" s="525"/>
      <c r="CY46" s="555"/>
      <c r="CZ46" s="553"/>
      <c r="DA46" s="254"/>
      <c r="DB46" s="525"/>
      <c r="DC46" s="555"/>
      <c r="DD46" s="553"/>
      <c r="DE46" s="254"/>
      <c r="DF46" s="525"/>
      <c r="DG46" s="555"/>
      <c r="DH46" s="553"/>
      <c r="DI46" s="254"/>
      <c r="DJ46" s="525"/>
      <c r="DK46" s="555"/>
      <c r="DL46" s="553"/>
      <c r="DM46" s="254"/>
      <c r="DN46" s="525"/>
      <c r="DO46" s="555"/>
      <c r="DP46" s="553"/>
      <c r="DQ46" s="254"/>
      <c r="DR46" s="525"/>
      <c r="DS46" s="555"/>
      <c r="DT46" s="553"/>
      <c r="DU46" s="254"/>
      <c r="DV46" s="525"/>
      <c r="DW46" s="555"/>
      <c r="DX46" s="553"/>
      <c r="DY46" s="254"/>
      <c r="DZ46" s="525"/>
      <c r="EA46" s="555"/>
      <c r="EB46" s="553"/>
      <c r="EC46" s="254"/>
      <c r="ED46" s="525"/>
      <c r="EE46" s="555"/>
      <c r="EF46" s="553"/>
      <c r="EG46" s="254"/>
      <c r="EH46" s="525"/>
      <c r="EI46" s="555"/>
      <c r="EJ46" s="553"/>
      <c r="EK46" s="254"/>
      <c r="EL46" s="525"/>
      <c r="EM46" s="555"/>
      <c r="EN46" s="553"/>
      <c r="EO46" s="254"/>
      <c r="EP46" s="525"/>
      <c r="EQ46" s="555"/>
      <c r="ER46" s="553"/>
      <c r="ES46" s="254"/>
      <c r="ET46" s="525"/>
      <c r="EU46" s="555"/>
      <c r="EV46" s="553"/>
      <c r="EW46" s="254"/>
      <c r="EX46" s="525"/>
      <c r="EY46" s="555"/>
      <c r="EZ46" s="553"/>
      <c r="FA46" s="254"/>
      <c r="FB46" s="525"/>
      <c r="FC46" s="555"/>
      <c r="FD46" s="553"/>
      <c r="FE46" s="254"/>
      <c r="FF46" s="525"/>
      <c r="FG46" s="555"/>
      <c r="FH46" s="553"/>
      <c r="FI46" s="254"/>
      <c r="FJ46" s="525"/>
      <c r="FK46" s="555"/>
      <c r="FL46" s="553"/>
      <c r="FM46" s="254"/>
      <c r="FN46" s="525"/>
      <c r="FO46" s="555"/>
      <c r="FP46" s="553"/>
      <c r="FQ46" s="254"/>
      <c r="FR46" s="525"/>
      <c r="FS46" s="555"/>
      <c r="FT46" s="553"/>
      <c r="FU46" s="254"/>
      <c r="FV46" s="525"/>
      <c r="FW46" s="555"/>
      <c r="FX46" s="553"/>
      <c r="FY46" s="254"/>
      <c r="FZ46" s="525"/>
      <c r="GA46" s="555"/>
      <c r="GB46" s="553"/>
      <c r="GC46" s="254"/>
      <c r="GD46" s="525"/>
      <c r="GE46" s="555"/>
      <c r="GF46" s="553"/>
      <c r="GG46" s="254"/>
      <c r="GH46" s="525"/>
      <c r="GI46" s="555"/>
      <c r="GJ46" s="553"/>
      <c r="GK46" s="254"/>
      <c r="GL46" s="525"/>
      <c r="GM46" s="555"/>
      <c r="GN46" s="553"/>
      <c r="GO46" s="254"/>
      <c r="GP46" s="525"/>
      <c r="GQ46" s="555"/>
      <c r="GR46" s="553"/>
      <c r="GS46" s="533"/>
    </row>
    <row r="47" spans="2:201" x14ac:dyDescent="0.2">
      <c r="B47" s="526"/>
      <c r="C47" s="526"/>
      <c r="D47" s="526"/>
      <c r="E47" s="526"/>
      <c r="F47" s="577" t="s">
        <v>641</v>
      </c>
      <c r="G47" s="577"/>
      <c r="H47" s="577"/>
      <c r="I47" s="254"/>
      <c r="J47" s="577" t="s">
        <v>641</v>
      </c>
      <c r="K47" s="577"/>
      <c r="L47" s="577"/>
      <c r="M47" s="254"/>
      <c r="N47" s="577" t="s">
        <v>641</v>
      </c>
      <c r="O47" s="577"/>
      <c r="P47" s="577"/>
      <c r="Q47" s="254"/>
      <c r="R47" s="577" t="s">
        <v>641</v>
      </c>
      <c r="S47" s="577"/>
      <c r="T47" s="577"/>
      <c r="U47" s="254"/>
      <c r="V47" s="577" t="s">
        <v>641</v>
      </c>
      <c r="W47" s="577"/>
      <c r="X47" s="577"/>
      <c r="Y47" s="254"/>
      <c r="Z47" s="577" t="s">
        <v>641</v>
      </c>
      <c r="AA47" s="577"/>
      <c r="AB47" s="577"/>
      <c r="AC47" s="254"/>
      <c r="AD47" s="577" t="s">
        <v>641</v>
      </c>
      <c r="AE47" s="577"/>
      <c r="AF47" s="577"/>
      <c r="AG47" s="254"/>
      <c r="AH47" s="577" t="s">
        <v>641</v>
      </c>
      <c r="AI47" s="577"/>
      <c r="AJ47" s="577"/>
      <c r="AK47" s="254"/>
      <c r="AL47" s="577" t="s">
        <v>641</v>
      </c>
      <c r="AM47" s="577"/>
      <c r="AN47" s="577"/>
      <c r="AO47" s="254"/>
      <c r="AP47" s="577" t="s">
        <v>641</v>
      </c>
      <c r="AQ47" s="577"/>
      <c r="AR47" s="577"/>
      <c r="AS47" s="254"/>
      <c r="AT47" s="577" t="s">
        <v>641</v>
      </c>
      <c r="AU47" s="577"/>
      <c r="AV47" s="577"/>
      <c r="AW47" s="254"/>
      <c r="AX47" s="577" t="s">
        <v>641</v>
      </c>
      <c r="AY47" s="577"/>
      <c r="AZ47" s="577"/>
      <c r="BA47" s="254"/>
      <c r="BB47" s="577" t="s">
        <v>641</v>
      </c>
      <c r="BC47" s="577"/>
      <c r="BD47" s="577"/>
      <c r="BE47" s="254"/>
      <c r="BF47" s="577" t="s">
        <v>641</v>
      </c>
      <c r="BG47" s="577"/>
      <c r="BH47" s="577"/>
      <c r="BI47" s="254"/>
      <c r="BJ47" s="577" t="s">
        <v>641</v>
      </c>
      <c r="BK47" s="577"/>
      <c r="BL47" s="577"/>
      <c r="BM47" s="254"/>
      <c r="BN47" s="577" t="s">
        <v>641</v>
      </c>
      <c r="BO47" s="577"/>
      <c r="BP47" s="577"/>
      <c r="BQ47" s="254"/>
      <c r="BR47" s="577" t="s">
        <v>641</v>
      </c>
      <c r="BS47" s="577"/>
      <c r="BT47" s="577"/>
      <c r="BU47" s="254"/>
      <c r="BV47" s="577" t="s">
        <v>641</v>
      </c>
      <c r="BW47" s="577"/>
      <c r="BX47" s="577"/>
      <c r="BY47" s="254"/>
      <c r="BZ47" s="577" t="s">
        <v>641</v>
      </c>
      <c r="CA47" s="577"/>
      <c r="CB47" s="577"/>
      <c r="CC47" s="254"/>
      <c r="CD47" s="577" t="s">
        <v>641</v>
      </c>
      <c r="CE47" s="577"/>
      <c r="CF47" s="577"/>
      <c r="CG47" s="254"/>
      <c r="CH47" s="577" t="s">
        <v>641</v>
      </c>
      <c r="CI47" s="577"/>
      <c r="CJ47" s="577"/>
      <c r="CK47" s="254"/>
      <c r="CL47" s="577" t="s">
        <v>641</v>
      </c>
      <c r="CM47" s="577"/>
      <c r="CN47" s="577"/>
      <c r="CO47" s="254"/>
      <c r="CP47" s="577" t="s">
        <v>641</v>
      </c>
      <c r="CQ47" s="577"/>
      <c r="CR47" s="577"/>
      <c r="CS47" s="254"/>
      <c r="CT47" s="577" t="s">
        <v>641</v>
      </c>
      <c r="CU47" s="577"/>
      <c r="CV47" s="577"/>
      <c r="CW47" s="254"/>
      <c r="CX47" s="577" t="s">
        <v>641</v>
      </c>
      <c r="CY47" s="577"/>
      <c r="CZ47" s="577"/>
      <c r="DA47" s="254"/>
      <c r="DB47" s="577" t="s">
        <v>641</v>
      </c>
      <c r="DC47" s="577"/>
      <c r="DD47" s="577"/>
      <c r="DE47" s="254"/>
      <c r="DF47" s="577" t="s">
        <v>641</v>
      </c>
      <c r="DG47" s="577"/>
      <c r="DH47" s="577"/>
      <c r="DI47" s="254"/>
      <c r="DJ47" s="577" t="s">
        <v>641</v>
      </c>
      <c r="DK47" s="577"/>
      <c r="DL47" s="577"/>
      <c r="DM47" s="254"/>
      <c r="DN47" s="577" t="s">
        <v>641</v>
      </c>
      <c r="DO47" s="577"/>
      <c r="DP47" s="577"/>
      <c r="DQ47" s="254"/>
      <c r="DR47" s="577" t="s">
        <v>641</v>
      </c>
      <c r="DS47" s="577"/>
      <c r="DT47" s="577"/>
      <c r="DU47" s="254"/>
      <c r="DV47" s="577" t="s">
        <v>641</v>
      </c>
      <c r="DW47" s="577"/>
      <c r="DX47" s="577"/>
      <c r="DY47" s="254"/>
      <c r="DZ47" s="577" t="s">
        <v>641</v>
      </c>
      <c r="EA47" s="577"/>
      <c r="EB47" s="577"/>
      <c r="EC47" s="254"/>
      <c r="ED47" s="577" t="s">
        <v>641</v>
      </c>
      <c r="EE47" s="577"/>
      <c r="EF47" s="577"/>
      <c r="EG47" s="254"/>
      <c r="EH47" s="577" t="s">
        <v>641</v>
      </c>
      <c r="EI47" s="577"/>
      <c r="EJ47" s="577"/>
      <c r="EK47" s="254"/>
      <c r="EL47" s="577" t="s">
        <v>641</v>
      </c>
      <c r="EM47" s="577"/>
      <c r="EN47" s="577"/>
      <c r="EO47" s="254"/>
      <c r="EP47" s="577" t="s">
        <v>641</v>
      </c>
      <c r="EQ47" s="577"/>
      <c r="ER47" s="577"/>
      <c r="ES47" s="254"/>
      <c r="ET47" s="577" t="s">
        <v>641</v>
      </c>
      <c r="EU47" s="577"/>
      <c r="EV47" s="577"/>
      <c r="EW47" s="254"/>
      <c r="EX47" s="577" t="s">
        <v>641</v>
      </c>
      <c r="EY47" s="577"/>
      <c r="EZ47" s="577"/>
      <c r="FA47" s="254"/>
      <c r="FB47" s="577" t="s">
        <v>641</v>
      </c>
      <c r="FC47" s="577"/>
      <c r="FD47" s="577"/>
      <c r="FE47" s="254"/>
      <c r="FF47" s="577" t="s">
        <v>641</v>
      </c>
      <c r="FG47" s="577"/>
      <c r="FH47" s="577"/>
      <c r="FI47" s="254"/>
      <c r="FJ47" s="577" t="s">
        <v>641</v>
      </c>
      <c r="FK47" s="577"/>
      <c r="FL47" s="577"/>
      <c r="FM47" s="254"/>
      <c r="FN47" s="577" t="s">
        <v>641</v>
      </c>
      <c r="FO47" s="577"/>
      <c r="FP47" s="577"/>
      <c r="FQ47" s="254"/>
      <c r="FR47" s="577" t="s">
        <v>641</v>
      </c>
      <c r="FS47" s="577"/>
      <c r="FT47" s="577"/>
      <c r="FU47" s="254"/>
      <c r="FV47" s="577" t="s">
        <v>641</v>
      </c>
      <c r="FW47" s="577"/>
      <c r="FX47" s="577"/>
      <c r="FY47" s="254"/>
      <c r="FZ47" s="577" t="s">
        <v>641</v>
      </c>
      <c r="GA47" s="577"/>
      <c r="GB47" s="577"/>
      <c r="GC47" s="254"/>
      <c r="GD47" s="577" t="s">
        <v>641</v>
      </c>
      <c r="GE47" s="577"/>
      <c r="GF47" s="577"/>
      <c r="GG47" s="254"/>
      <c r="GH47" s="577" t="s">
        <v>641</v>
      </c>
      <c r="GI47" s="577"/>
      <c r="GJ47" s="577"/>
      <c r="GK47" s="254"/>
      <c r="GL47" s="577" t="s">
        <v>641</v>
      </c>
      <c r="GM47" s="577"/>
      <c r="GN47" s="577"/>
      <c r="GO47" s="254"/>
      <c r="GP47" s="577" t="s">
        <v>641</v>
      </c>
      <c r="GQ47" s="577"/>
      <c r="GR47" s="577"/>
      <c r="GS47" s="533"/>
    </row>
    <row r="48" spans="2:201" x14ac:dyDescent="0.2">
      <c r="B48" s="526"/>
      <c r="C48" s="526"/>
      <c r="D48" s="526"/>
      <c r="E48" s="526"/>
      <c r="F48" s="580" t="s">
        <v>642</v>
      </c>
      <c r="G48" s="580"/>
      <c r="H48" s="558" t="s">
        <v>643</v>
      </c>
      <c r="I48" s="254"/>
      <c r="J48" s="580" t="s">
        <v>642</v>
      </c>
      <c r="K48" s="580"/>
      <c r="L48" s="558" t="s">
        <v>643</v>
      </c>
      <c r="M48" s="254"/>
      <c r="N48" s="580" t="s">
        <v>642</v>
      </c>
      <c r="O48" s="580"/>
      <c r="P48" s="558" t="s">
        <v>643</v>
      </c>
      <c r="Q48" s="254"/>
      <c r="R48" s="580" t="s">
        <v>642</v>
      </c>
      <c r="S48" s="580"/>
      <c r="T48" s="558" t="s">
        <v>643</v>
      </c>
      <c r="U48" s="254"/>
      <c r="V48" s="580" t="s">
        <v>642</v>
      </c>
      <c r="W48" s="580"/>
      <c r="X48" s="558" t="s">
        <v>643</v>
      </c>
      <c r="Y48" s="254"/>
      <c r="Z48" s="580" t="s">
        <v>642</v>
      </c>
      <c r="AA48" s="580"/>
      <c r="AB48" s="558" t="s">
        <v>643</v>
      </c>
      <c r="AC48" s="254"/>
      <c r="AD48" s="580" t="s">
        <v>642</v>
      </c>
      <c r="AE48" s="580"/>
      <c r="AF48" s="558" t="s">
        <v>643</v>
      </c>
      <c r="AG48" s="254"/>
      <c r="AH48" s="580" t="s">
        <v>642</v>
      </c>
      <c r="AI48" s="580"/>
      <c r="AJ48" s="558" t="s">
        <v>643</v>
      </c>
      <c r="AK48" s="254"/>
      <c r="AL48" s="580" t="s">
        <v>642</v>
      </c>
      <c r="AM48" s="580"/>
      <c r="AN48" s="558" t="s">
        <v>643</v>
      </c>
      <c r="AO48" s="254"/>
      <c r="AP48" s="580" t="s">
        <v>642</v>
      </c>
      <c r="AQ48" s="580"/>
      <c r="AR48" s="558" t="s">
        <v>643</v>
      </c>
      <c r="AS48" s="254"/>
      <c r="AT48" s="580" t="s">
        <v>642</v>
      </c>
      <c r="AU48" s="580"/>
      <c r="AV48" s="558" t="s">
        <v>643</v>
      </c>
      <c r="AW48" s="254"/>
      <c r="AX48" s="580" t="s">
        <v>642</v>
      </c>
      <c r="AY48" s="580"/>
      <c r="AZ48" s="558" t="s">
        <v>643</v>
      </c>
      <c r="BA48" s="254"/>
      <c r="BB48" s="580" t="s">
        <v>642</v>
      </c>
      <c r="BC48" s="580"/>
      <c r="BD48" s="558" t="s">
        <v>643</v>
      </c>
      <c r="BE48" s="254"/>
      <c r="BF48" s="580" t="s">
        <v>642</v>
      </c>
      <c r="BG48" s="580"/>
      <c r="BH48" s="558" t="s">
        <v>643</v>
      </c>
      <c r="BI48" s="254"/>
      <c r="BJ48" s="580" t="s">
        <v>642</v>
      </c>
      <c r="BK48" s="580"/>
      <c r="BL48" s="558" t="s">
        <v>643</v>
      </c>
      <c r="BM48" s="254"/>
      <c r="BN48" s="580" t="s">
        <v>642</v>
      </c>
      <c r="BO48" s="580"/>
      <c r="BP48" s="558" t="s">
        <v>643</v>
      </c>
      <c r="BQ48" s="254"/>
      <c r="BR48" s="580" t="s">
        <v>642</v>
      </c>
      <c r="BS48" s="580"/>
      <c r="BT48" s="558" t="s">
        <v>643</v>
      </c>
      <c r="BU48" s="254"/>
      <c r="BV48" s="580" t="s">
        <v>642</v>
      </c>
      <c r="BW48" s="580"/>
      <c r="BX48" s="558" t="s">
        <v>643</v>
      </c>
      <c r="BY48" s="254"/>
      <c r="BZ48" s="580" t="s">
        <v>642</v>
      </c>
      <c r="CA48" s="580"/>
      <c r="CB48" s="558" t="s">
        <v>643</v>
      </c>
      <c r="CC48" s="254"/>
      <c r="CD48" s="580" t="s">
        <v>642</v>
      </c>
      <c r="CE48" s="580"/>
      <c r="CF48" s="558" t="s">
        <v>643</v>
      </c>
      <c r="CG48" s="254"/>
      <c r="CH48" s="580" t="s">
        <v>642</v>
      </c>
      <c r="CI48" s="580"/>
      <c r="CJ48" s="558" t="s">
        <v>643</v>
      </c>
      <c r="CK48" s="254"/>
      <c r="CL48" s="580" t="s">
        <v>642</v>
      </c>
      <c r="CM48" s="580"/>
      <c r="CN48" s="558" t="s">
        <v>643</v>
      </c>
      <c r="CO48" s="254"/>
      <c r="CP48" s="580" t="s">
        <v>642</v>
      </c>
      <c r="CQ48" s="580"/>
      <c r="CR48" s="558" t="s">
        <v>643</v>
      </c>
      <c r="CS48" s="254"/>
      <c r="CT48" s="580" t="s">
        <v>642</v>
      </c>
      <c r="CU48" s="580"/>
      <c r="CV48" s="558" t="s">
        <v>643</v>
      </c>
      <c r="CW48" s="254"/>
      <c r="CX48" s="580" t="s">
        <v>642</v>
      </c>
      <c r="CY48" s="580"/>
      <c r="CZ48" s="558" t="s">
        <v>643</v>
      </c>
      <c r="DA48" s="254"/>
      <c r="DB48" s="580" t="s">
        <v>642</v>
      </c>
      <c r="DC48" s="580"/>
      <c r="DD48" s="558" t="s">
        <v>643</v>
      </c>
      <c r="DE48" s="254"/>
      <c r="DF48" s="580" t="s">
        <v>642</v>
      </c>
      <c r="DG48" s="580"/>
      <c r="DH48" s="558" t="s">
        <v>643</v>
      </c>
      <c r="DI48" s="254"/>
      <c r="DJ48" s="580" t="s">
        <v>642</v>
      </c>
      <c r="DK48" s="580"/>
      <c r="DL48" s="558" t="s">
        <v>643</v>
      </c>
      <c r="DM48" s="254"/>
      <c r="DN48" s="580" t="s">
        <v>642</v>
      </c>
      <c r="DO48" s="580"/>
      <c r="DP48" s="558" t="s">
        <v>643</v>
      </c>
      <c r="DQ48" s="254"/>
      <c r="DR48" s="580" t="s">
        <v>642</v>
      </c>
      <c r="DS48" s="580"/>
      <c r="DT48" s="558" t="s">
        <v>643</v>
      </c>
      <c r="DU48" s="254"/>
      <c r="DV48" s="580" t="s">
        <v>642</v>
      </c>
      <c r="DW48" s="580"/>
      <c r="DX48" s="558" t="s">
        <v>643</v>
      </c>
      <c r="DY48" s="254"/>
      <c r="DZ48" s="580" t="s">
        <v>642</v>
      </c>
      <c r="EA48" s="580"/>
      <c r="EB48" s="558" t="s">
        <v>643</v>
      </c>
      <c r="EC48" s="254"/>
      <c r="ED48" s="580" t="s">
        <v>642</v>
      </c>
      <c r="EE48" s="580"/>
      <c r="EF48" s="558" t="s">
        <v>643</v>
      </c>
      <c r="EG48" s="254"/>
      <c r="EH48" s="580" t="s">
        <v>642</v>
      </c>
      <c r="EI48" s="580"/>
      <c r="EJ48" s="558" t="s">
        <v>643</v>
      </c>
      <c r="EK48" s="254"/>
      <c r="EL48" s="580" t="s">
        <v>642</v>
      </c>
      <c r="EM48" s="580"/>
      <c r="EN48" s="558" t="s">
        <v>643</v>
      </c>
      <c r="EO48" s="254"/>
      <c r="EP48" s="580" t="s">
        <v>642</v>
      </c>
      <c r="EQ48" s="580"/>
      <c r="ER48" s="558" t="s">
        <v>643</v>
      </c>
      <c r="ES48" s="254"/>
      <c r="ET48" s="580" t="s">
        <v>642</v>
      </c>
      <c r="EU48" s="580"/>
      <c r="EV48" s="558" t="s">
        <v>643</v>
      </c>
      <c r="EW48" s="254"/>
      <c r="EX48" s="580" t="s">
        <v>642</v>
      </c>
      <c r="EY48" s="580"/>
      <c r="EZ48" s="558" t="s">
        <v>643</v>
      </c>
      <c r="FA48" s="254"/>
      <c r="FB48" s="580" t="s">
        <v>642</v>
      </c>
      <c r="FC48" s="580"/>
      <c r="FD48" s="558" t="s">
        <v>643</v>
      </c>
      <c r="FE48" s="254"/>
      <c r="FF48" s="580" t="s">
        <v>642</v>
      </c>
      <c r="FG48" s="580"/>
      <c r="FH48" s="558" t="s">
        <v>643</v>
      </c>
      <c r="FI48" s="254"/>
      <c r="FJ48" s="580" t="s">
        <v>642</v>
      </c>
      <c r="FK48" s="580"/>
      <c r="FL48" s="558" t="s">
        <v>643</v>
      </c>
      <c r="FM48" s="254"/>
      <c r="FN48" s="580" t="s">
        <v>642</v>
      </c>
      <c r="FO48" s="580"/>
      <c r="FP48" s="558" t="s">
        <v>643</v>
      </c>
      <c r="FQ48" s="254"/>
      <c r="FR48" s="580" t="s">
        <v>642</v>
      </c>
      <c r="FS48" s="580"/>
      <c r="FT48" s="558" t="s">
        <v>643</v>
      </c>
      <c r="FU48" s="254"/>
      <c r="FV48" s="580" t="s">
        <v>642</v>
      </c>
      <c r="FW48" s="580"/>
      <c r="FX48" s="558" t="s">
        <v>643</v>
      </c>
      <c r="FY48" s="254"/>
      <c r="FZ48" s="580" t="s">
        <v>642</v>
      </c>
      <c r="GA48" s="580"/>
      <c r="GB48" s="558" t="s">
        <v>643</v>
      </c>
      <c r="GC48" s="254"/>
      <c r="GD48" s="580" t="s">
        <v>642</v>
      </c>
      <c r="GE48" s="580"/>
      <c r="GF48" s="558" t="s">
        <v>643</v>
      </c>
      <c r="GG48" s="254"/>
      <c r="GH48" s="580" t="s">
        <v>642</v>
      </c>
      <c r="GI48" s="580"/>
      <c r="GJ48" s="558" t="s">
        <v>643</v>
      </c>
      <c r="GK48" s="254"/>
      <c r="GL48" s="580" t="s">
        <v>642</v>
      </c>
      <c r="GM48" s="580"/>
      <c r="GN48" s="558" t="s">
        <v>643</v>
      </c>
      <c r="GO48" s="254"/>
      <c r="GP48" s="580" t="s">
        <v>642</v>
      </c>
      <c r="GQ48" s="580"/>
      <c r="GR48" s="558" t="s">
        <v>643</v>
      </c>
      <c r="GS48" s="533"/>
    </row>
    <row r="49" spans="2:201" s="559" customFormat="1" x14ac:dyDescent="0.2">
      <c r="C49" s="560" t="s">
        <v>644</v>
      </c>
      <c r="D49" s="561">
        <v>251</v>
      </c>
      <c r="E49" s="569">
        <v>1047</v>
      </c>
      <c r="F49" s="562">
        <v>5.5600000000000005</v>
      </c>
      <c r="G49" s="563">
        <f t="shared" ref="G49:G57" si="100">ROUND($E49*F49,2)</f>
        <v>5821.32</v>
      </c>
      <c r="H49" s="553"/>
      <c r="I49" s="254"/>
      <c r="J49" s="562">
        <v>0</v>
      </c>
      <c r="K49" s="563">
        <f t="shared" ref="K49:K57" si="101">ROUND($E49*J49,2)</f>
        <v>0</v>
      </c>
      <c r="L49" s="553"/>
      <c r="M49" s="254"/>
      <c r="N49" s="562">
        <v>0</v>
      </c>
      <c r="O49" s="563">
        <f t="shared" ref="O49:O57" si="102">ROUND($E49*N49,2)</f>
        <v>0</v>
      </c>
      <c r="P49" s="553"/>
      <c r="Q49" s="254"/>
      <c r="R49" s="562">
        <v>0</v>
      </c>
      <c r="S49" s="563">
        <f t="shared" ref="S49:S57" si="103">ROUND($E49*R49,2)</f>
        <v>0</v>
      </c>
      <c r="T49" s="553"/>
      <c r="U49" s="254"/>
      <c r="V49" s="562">
        <v>0</v>
      </c>
      <c r="W49" s="563">
        <f t="shared" ref="W49:W57" si="104">ROUND($E49*V49,2)</f>
        <v>0</v>
      </c>
      <c r="X49" s="553"/>
      <c r="Y49" s="254"/>
      <c r="Z49" s="562"/>
      <c r="AA49" s="563">
        <f t="shared" ref="AA49:AA57" si="105">ROUND($E49*Z49,2)</f>
        <v>0</v>
      </c>
      <c r="AB49" s="553"/>
      <c r="AC49" s="254"/>
      <c r="AD49" s="564">
        <v>39</v>
      </c>
      <c r="AE49" s="563">
        <f t="shared" ref="AE49:AE57" si="106">ROUND($E49*AD49,2)</f>
        <v>40833</v>
      </c>
      <c r="AF49" s="553"/>
      <c r="AG49" s="254"/>
      <c r="AH49" s="562">
        <v>24.47</v>
      </c>
      <c r="AI49" s="563">
        <f t="shared" ref="AI49:AI57" si="107">ROUND($E49*AH49,2)</f>
        <v>25620.09</v>
      </c>
      <c r="AJ49" s="553"/>
      <c r="AK49" s="254"/>
      <c r="AL49" s="562">
        <v>0</v>
      </c>
      <c r="AM49" s="563">
        <f t="shared" ref="AM49:AM57" si="108">ROUND($E49*AL49,2)</f>
        <v>0</v>
      </c>
      <c r="AN49" s="553"/>
      <c r="AO49" s="254"/>
      <c r="AP49" s="562">
        <v>0</v>
      </c>
      <c r="AQ49" s="563">
        <f t="shared" ref="AQ49:AQ57" si="109">ROUND($E49*AP49,2)</f>
        <v>0</v>
      </c>
      <c r="AR49" s="553"/>
      <c r="AS49" s="254"/>
      <c r="AT49" s="562">
        <v>0</v>
      </c>
      <c r="AU49" s="563">
        <f t="shared" ref="AU49:AU57" si="110">ROUND($E49*AT49,2)</f>
        <v>0</v>
      </c>
      <c r="AV49" s="553"/>
      <c r="AW49" s="254"/>
      <c r="AX49" s="562">
        <v>71.349999999999994</v>
      </c>
      <c r="AY49" s="563">
        <f t="shared" ref="AY49:AY57" si="111">ROUND($E49*AX49,2)</f>
        <v>74703.45</v>
      </c>
      <c r="AZ49" s="553"/>
      <c r="BA49" s="254"/>
      <c r="BB49" s="562">
        <v>14.91</v>
      </c>
      <c r="BC49" s="563">
        <f t="shared" ref="BC49:BC57" si="112">ROUND($E49*BB49,2)</f>
        <v>15610.77</v>
      </c>
      <c r="BD49" s="553"/>
      <c r="BE49" s="254"/>
      <c r="BF49" s="562">
        <v>0</v>
      </c>
      <c r="BG49" s="563">
        <f t="shared" ref="BG49:BG57" si="113">ROUND($E49*BF49,2)</f>
        <v>0</v>
      </c>
      <c r="BH49" s="553"/>
      <c r="BI49" s="254"/>
      <c r="BJ49" s="562">
        <v>16.5</v>
      </c>
      <c r="BK49" s="563">
        <f t="shared" ref="BK49:BK57" si="114">ROUND($E49*BJ49,2)</f>
        <v>17275.5</v>
      </c>
      <c r="BL49" s="553"/>
      <c r="BM49" s="254"/>
      <c r="BN49" s="562">
        <v>20.5</v>
      </c>
      <c r="BO49" s="563">
        <f t="shared" ref="BO49:BO57" si="115">ROUND($E49*BN49,2)</f>
        <v>21463.5</v>
      </c>
      <c r="BP49" s="553"/>
      <c r="BQ49" s="254"/>
      <c r="BR49" s="562">
        <v>0</v>
      </c>
      <c r="BS49" s="563">
        <f t="shared" ref="BS49:BS57" si="116">ROUND($E49*BR49,2)</f>
        <v>0</v>
      </c>
      <c r="BT49" s="553"/>
      <c r="BU49" s="254"/>
      <c r="BV49" s="562">
        <v>0</v>
      </c>
      <c r="BW49" s="563">
        <f t="shared" ref="BW49:BW57" si="117">ROUND($E49*BV49,2)</f>
        <v>0</v>
      </c>
      <c r="BX49" s="553"/>
      <c r="BY49" s="254"/>
      <c r="BZ49" s="562">
        <v>0</v>
      </c>
      <c r="CA49" s="563">
        <f t="shared" ref="CA49:CA57" si="118">ROUND($E49*BZ49,2)</f>
        <v>0</v>
      </c>
      <c r="CB49" s="553"/>
      <c r="CC49" s="254"/>
      <c r="CD49" s="562">
        <v>0</v>
      </c>
      <c r="CE49" s="563">
        <f t="shared" ref="CE49:CE57" si="119">ROUND($E49*CD49,2)</f>
        <v>0</v>
      </c>
      <c r="CF49" s="553"/>
      <c r="CG49" s="254"/>
      <c r="CH49" s="562">
        <v>34.61</v>
      </c>
      <c r="CI49" s="563">
        <f t="shared" ref="CI49:CI57" si="120">ROUND($E49*CH49,2)</f>
        <v>36236.67</v>
      </c>
      <c r="CJ49" s="553"/>
      <c r="CK49" s="254"/>
      <c r="CL49" s="562">
        <v>0</v>
      </c>
      <c r="CM49" s="563">
        <f t="shared" ref="CM49:CM57" si="121">ROUND($E49*CL49,2)</f>
        <v>0</v>
      </c>
      <c r="CN49" s="553"/>
      <c r="CO49" s="254"/>
      <c r="CP49" s="562">
        <v>40.590000000000003</v>
      </c>
      <c r="CQ49" s="563">
        <f t="shared" ref="CQ49:CQ57" si="122">ROUND($E49*CP49,2)</f>
        <v>42497.73</v>
      </c>
      <c r="CR49" s="553"/>
      <c r="CS49" s="254"/>
      <c r="CT49" s="562">
        <v>0</v>
      </c>
      <c r="CU49" s="563">
        <f t="shared" ref="CU49:CU57" si="123">ROUND($E49*CT49,2)</f>
        <v>0</v>
      </c>
      <c r="CV49" s="553"/>
      <c r="CW49" s="254"/>
      <c r="CX49" s="562">
        <v>0</v>
      </c>
      <c r="CY49" s="563">
        <f t="shared" ref="CY49:CY57" si="124">ROUND($E49*CX49,2)</f>
        <v>0</v>
      </c>
      <c r="CZ49" s="553"/>
      <c r="DA49" s="254"/>
      <c r="DB49" s="562">
        <v>30.990000000000002</v>
      </c>
      <c r="DC49" s="563">
        <f t="shared" ref="DC49:DC57" si="125">ROUND($E49*DB49,2)</f>
        <v>32446.53</v>
      </c>
      <c r="DD49" s="553"/>
      <c r="DE49" s="254"/>
      <c r="DF49" s="562">
        <v>6.58</v>
      </c>
      <c r="DG49" s="563">
        <f t="shared" ref="DG49:DG57" si="126">ROUND($E49*DF49,2)</f>
        <v>6889.26</v>
      </c>
      <c r="DH49" s="553"/>
      <c r="DI49" s="254"/>
      <c r="DJ49" s="562">
        <v>0</v>
      </c>
      <c r="DK49" s="563">
        <f t="shared" ref="DK49:DK57" si="127">ROUND($E49*DJ49,2)</f>
        <v>0</v>
      </c>
      <c r="DL49" s="553"/>
      <c r="DM49" s="254"/>
      <c r="DN49" s="562">
        <v>19.04</v>
      </c>
      <c r="DO49" s="563">
        <f t="shared" ref="DO49:DO57" si="128">ROUND($E49*DN49,2)</f>
        <v>19934.88</v>
      </c>
      <c r="DP49" s="553"/>
      <c r="DQ49" s="254"/>
      <c r="DR49" s="562">
        <v>33.03</v>
      </c>
      <c r="DS49" s="563">
        <f t="shared" ref="DS49:DS57" si="129">ROUND($E49*DR49,2)</f>
        <v>34582.410000000003</v>
      </c>
      <c r="DT49" s="553"/>
      <c r="DU49" s="254"/>
      <c r="DV49" s="562">
        <v>0</v>
      </c>
      <c r="DW49" s="563">
        <f t="shared" ref="DW49:DW57" si="130">ROUND($E49*DV49,2)</f>
        <v>0</v>
      </c>
      <c r="DX49" s="553"/>
      <c r="DY49" s="254"/>
      <c r="DZ49" s="562">
        <v>0</v>
      </c>
      <c r="EA49" s="563">
        <f t="shared" ref="EA49:EA57" si="131">ROUND($E49*DZ49,2)</f>
        <v>0</v>
      </c>
      <c r="EB49" s="553"/>
      <c r="EC49" s="254"/>
      <c r="ED49" s="562">
        <v>41.04</v>
      </c>
      <c r="EE49" s="563">
        <f t="shared" ref="EE49:EE57" si="132">ROUND($E49*ED49,2)</f>
        <v>42968.88</v>
      </c>
      <c r="EF49" s="553"/>
      <c r="EG49" s="254"/>
      <c r="EH49" s="562">
        <v>5.91</v>
      </c>
      <c r="EI49" s="563">
        <f t="shared" ref="EI49:EI57" si="133">ROUND($E49*EH49,2)</f>
        <v>6187.77</v>
      </c>
      <c r="EJ49" s="553"/>
      <c r="EK49" s="254"/>
      <c r="EL49" s="562">
        <v>8.48</v>
      </c>
      <c r="EM49" s="563">
        <f t="shared" ref="EM49:EM57" si="134">ROUND($E49*EL49,2)</f>
        <v>8878.56</v>
      </c>
      <c r="EN49" s="553"/>
      <c r="EO49" s="254"/>
      <c r="EP49" s="562">
        <v>0</v>
      </c>
      <c r="EQ49" s="563">
        <f t="shared" ref="EQ49:EQ57" si="135">ROUND($E49*EP49,2)</f>
        <v>0</v>
      </c>
      <c r="ER49" s="553"/>
      <c r="ES49" s="254"/>
      <c r="ET49" s="562">
        <v>13.559999999999999</v>
      </c>
      <c r="EU49" s="563">
        <f t="shared" ref="EU49:EU57" si="136">ROUND($E49*ET49,2)</f>
        <v>14197.32</v>
      </c>
      <c r="EV49" s="553"/>
      <c r="EW49" s="254"/>
      <c r="EX49" s="562">
        <v>36.15</v>
      </c>
      <c r="EY49" s="563">
        <f t="shared" ref="EY49:EY57" si="137">ROUND($E49*EX49,2)</f>
        <v>37849.050000000003</v>
      </c>
      <c r="EZ49" s="553"/>
      <c r="FA49" s="254"/>
      <c r="FB49" s="562">
        <v>22.96</v>
      </c>
      <c r="FC49" s="563">
        <f t="shared" ref="FC49:FC57" si="138">ROUND($E49*FB49,2)</f>
        <v>24039.119999999999</v>
      </c>
      <c r="FD49" s="553"/>
      <c r="FE49" s="254"/>
      <c r="FF49" s="562">
        <v>7.72</v>
      </c>
      <c r="FG49" s="563">
        <f t="shared" ref="FG49:FG57" si="139">ROUND($E49*FF49,2)</f>
        <v>8082.84</v>
      </c>
      <c r="FH49" s="553"/>
      <c r="FI49" s="254"/>
      <c r="FJ49" s="562">
        <v>0</v>
      </c>
      <c r="FK49" s="563">
        <f t="shared" ref="FK49:FK57" si="140">ROUND($E49*FJ49,2)</f>
        <v>0</v>
      </c>
      <c r="FL49" s="553"/>
      <c r="FM49" s="254"/>
      <c r="FN49" s="562">
        <v>0</v>
      </c>
      <c r="FO49" s="563">
        <f t="shared" ref="FO49:FO57" si="141">ROUND($E49*FN49,2)</f>
        <v>0</v>
      </c>
      <c r="FP49" s="553"/>
      <c r="FQ49" s="254"/>
      <c r="FR49" s="562">
        <v>13.07</v>
      </c>
      <c r="FS49" s="563">
        <f t="shared" ref="FS49:FS57" si="142">ROUND($E49*FR49,2)</f>
        <v>13684.29</v>
      </c>
      <c r="FT49" s="553"/>
      <c r="FU49" s="254"/>
      <c r="FV49" s="562">
        <v>0</v>
      </c>
      <c r="FW49" s="563">
        <f t="shared" ref="FW49:FW57" si="143">ROUND($E49*FV49,2)</f>
        <v>0</v>
      </c>
      <c r="FX49" s="553"/>
      <c r="FY49" s="254"/>
      <c r="FZ49" s="562">
        <v>8.15</v>
      </c>
      <c r="GA49" s="563">
        <f t="shared" ref="GA49:GA57" si="144">ROUND($E49*FZ49,2)</f>
        <v>8533.0499999999993</v>
      </c>
      <c r="GB49" s="553"/>
      <c r="GC49" s="254"/>
      <c r="GD49" s="562">
        <v>0</v>
      </c>
      <c r="GE49" s="563">
        <f t="shared" ref="GE49:GE57" si="145">ROUND($E49*GD49,2)</f>
        <v>0</v>
      </c>
      <c r="GF49" s="553"/>
      <c r="GG49" s="254"/>
      <c r="GH49" s="562">
        <v>0</v>
      </c>
      <c r="GI49" s="563">
        <f t="shared" ref="GI49:GI57" si="146">ROUND($E49*GH49,2)</f>
        <v>0</v>
      </c>
      <c r="GJ49" s="553"/>
      <c r="GK49" s="254"/>
      <c r="GL49" s="562">
        <v>0</v>
      </c>
      <c r="GM49" s="563">
        <f t="shared" ref="GM49:GM57" si="147">ROUND($E49*GL49,2)</f>
        <v>0</v>
      </c>
      <c r="GN49" s="553"/>
      <c r="GO49" s="254"/>
      <c r="GP49" s="562">
        <v>514.17000000000007</v>
      </c>
      <c r="GQ49" s="563">
        <f t="shared" ref="GQ49:GQ57" si="148">ROUND($E49*GP49,2)</f>
        <v>538335.99</v>
      </c>
      <c r="GR49" s="553"/>
      <c r="GS49" s="533"/>
    </row>
    <row r="50" spans="2:201" x14ac:dyDescent="0.2">
      <c r="C50" s="560" t="s">
        <v>644</v>
      </c>
      <c r="D50" s="561">
        <v>252</v>
      </c>
      <c r="E50" s="569">
        <v>3380</v>
      </c>
      <c r="F50" s="562">
        <v>0.91999999999999993</v>
      </c>
      <c r="G50" s="563">
        <f t="shared" si="100"/>
        <v>3109.6</v>
      </c>
      <c r="H50" s="553"/>
      <c r="I50" s="254"/>
      <c r="J50" s="562">
        <v>0</v>
      </c>
      <c r="K50" s="563">
        <f t="shared" si="101"/>
        <v>0</v>
      </c>
      <c r="L50" s="553"/>
      <c r="M50" s="254"/>
      <c r="N50" s="562">
        <v>0</v>
      </c>
      <c r="O50" s="563">
        <f t="shared" si="102"/>
        <v>0</v>
      </c>
      <c r="P50" s="553"/>
      <c r="Q50" s="254"/>
      <c r="R50" s="562">
        <v>0</v>
      </c>
      <c r="S50" s="563">
        <f t="shared" si="103"/>
        <v>0</v>
      </c>
      <c r="T50" s="553"/>
      <c r="U50" s="254"/>
      <c r="V50" s="562">
        <v>0</v>
      </c>
      <c r="W50" s="563">
        <f t="shared" si="104"/>
        <v>0</v>
      </c>
      <c r="X50" s="553"/>
      <c r="Y50" s="254"/>
      <c r="Z50" s="562"/>
      <c r="AA50" s="563">
        <f t="shared" si="105"/>
        <v>0</v>
      </c>
      <c r="AB50" s="553"/>
      <c r="AC50" s="254"/>
      <c r="AD50" s="562">
        <v>9.5</v>
      </c>
      <c r="AE50" s="563">
        <f t="shared" si="106"/>
        <v>32110</v>
      </c>
      <c r="AF50" s="553"/>
      <c r="AG50" s="254"/>
      <c r="AH50" s="562">
        <v>6.02</v>
      </c>
      <c r="AI50" s="563">
        <f t="shared" si="107"/>
        <v>20347.599999999999</v>
      </c>
      <c r="AJ50" s="553"/>
      <c r="AK50" s="254"/>
      <c r="AL50" s="562">
        <v>0</v>
      </c>
      <c r="AM50" s="563">
        <f t="shared" si="108"/>
        <v>0</v>
      </c>
      <c r="AN50" s="553"/>
      <c r="AO50" s="254"/>
      <c r="AP50" s="562">
        <v>0</v>
      </c>
      <c r="AQ50" s="563">
        <f t="shared" si="109"/>
        <v>0</v>
      </c>
      <c r="AR50" s="553"/>
      <c r="AS50" s="254"/>
      <c r="AT50" s="562">
        <v>0</v>
      </c>
      <c r="AU50" s="563">
        <f t="shared" si="110"/>
        <v>0</v>
      </c>
      <c r="AV50" s="553"/>
      <c r="AW50" s="254"/>
      <c r="AX50" s="562">
        <v>4.42</v>
      </c>
      <c r="AY50" s="563">
        <f t="shared" si="111"/>
        <v>14939.6</v>
      </c>
      <c r="AZ50" s="553"/>
      <c r="BA50" s="254"/>
      <c r="BB50" s="562">
        <v>0</v>
      </c>
      <c r="BC50" s="563">
        <f t="shared" si="112"/>
        <v>0</v>
      </c>
      <c r="BD50" s="553"/>
      <c r="BE50" s="254"/>
      <c r="BF50" s="562">
        <v>0</v>
      </c>
      <c r="BG50" s="563">
        <f t="shared" si="113"/>
        <v>0</v>
      </c>
      <c r="BH50" s="553"/>
      <c r="BI50" s="254"/>
      <c r="BJ50" s="562">
        <v>1</v>
      </c>
      <c r="BK50" s="563">
        <f t="shared" si="114"/>
        <v>3380</v>
      </c>
      <c r="BL50" s="553"/>
      <c r="BM50" s="254"/>
      <c r="BN50" s="562">
        <v>0</v>
      </c>
      <c r="BO50" s="563">
        <f t="shared" si="115"/>
        <v>0</v>
      </c>
      <c r="BP50" s="553"/>
      <c r="BQ50" s="254"/>
      <c r="BR50" s="562">
        <v>0</v>
      </c>
      <c r="BS50" s="563">
        <f t="shared" si="116"/>
        <v>0</v>
      </c>
      <c r="BT50" s="553"/>
      <c r="BU50" s="254"/>
      <c r="BV50" s="562">
        <v>0</v>
      </c>
      <c r="BW50" s="563">
        <f t="shared" si="117"/>
        <v>0</v>
      </c>
      <c r="BX50" s="553"/>
      <c r="BY50" s="254"/>
      <c r="BZ50" s="562">
        <v>0</v>
      </c>
      <c r="CA50" s="563">
        <f t="shared" si="118"/>
        <v>0</v>
      </c>
      <c r="CB50" s="553"/>
      <c r="CC50" s="254"/>
      <c r="CD50" s="562">
        <v>0</v>
      </c>
      <c r="CE50" s="563">
        <f t="shared" si="119"/>
        <v>0</v>
      </c>
      <c r="CF50" s="553"/>
      <c r="CG50" s="254"/>
      <c r="CH50" s="562">
        <v>1.9100000000000001</v>
      </c>
      <c r="CI50" s="563">
        <f t="shared" si="120"/>
        <v>6455.8</v>
      </c>
      <c r="CJ50" s="553"/>
      <c r="CK50" s="254"/>
      <c r="CL50" s="562">
        <v>0</v>
      </c>
      <c r="CM50" s="563">
        <f t="shared" si="121"/>
        <v>0</v>
      </c>
      <c r="CN50" s="553"/>
      <c r="CO50" s="254"/>
      <c r="CP50" s="562">
        <v>6.91</v>
      </c>
      <c r="CQ50" s="563">
        <f t="shared" si="122"/>
        <v>23355.8</v>
      </c>
      <c r="CR50" s="553"/>
      <c r="CS50" s="254"/>
      <c r="CT50" s="562">
        <v>0</v>
      </c>
      <c r="CU50" s="563">
        <f t="shared" si="123"/>
        <v>0</v>
      </c>
      <c r="CV50" s="553"/>
      <c r="CW50" s="254"/>
      <c r="CX50" s="562">
        <v>0</v>
      </c>
      <c r="CY50" s="563">
        <f t="shared" si="124"/>
        <v>0</v>
      </c>
      <c r="CZ50" s="553"/>
      <c r="DA50" s="254"/>
      <c r="DB50" s="562">
        <v>6.01</v>
      </c>
      <c r="DC50" s="563">
        <f t="shared" si="125"/>
        <v>20313.8</v>
      </c>
      <c r="DD50" s="553"/>
      <c r="DE50" s="254"/>
      <c r="DF50" s="562">
        <v>2.42</v>
      </c>
      <c r="DG50" s="563">
        <f t="shared" si="126"/>
        <v>8179.6</v>
      </c>
      <c r="DH50" s="553"/>
      <c r="DI50" s="254"/>
      <c r="DJ50" s="562">
        <v>0</v>
      </c>
      <c r="DK50" s="563">
        <f t="shared" si="127"/>
        <v>0</v>
      </c>
      <c r="DL50" s="553"/>
      <c r="DM50" s="254"/>
      <c r="DN50" s="562">
        <v>0.5</v>
      </c>
      <c r="DO50" s="563">
        <f t="shared" si="128"/>
        <v>1690</v>
      </c>
      <c r="DP50" s="553"/>
      <c r="DQ50" s="254"/>
      <c r="DR50" s="562">
        <v>9.01</v>
      </c>
      <c r="DS50" s="563">
        <f t="shared" si="129"/>
        <v>30453.8</v>
      </c>
      <c r="DT50" s="553"/>
      <c r="DU50" s="254"/>
      <c r="DV50" s="562">
        <v>0</v>
      </c>
      <c r="DW50" s="563">
        <f t="shared" si="130"/>
        <v>0</v>
      </c>
      <c r="DX50" s="553"/>
      <c r="DY50" s="254"/>
      <c r="DZ50" s="562">
        <v>0</v>
      </c>
      <c r="EA50" s="563">
        <f t="shared" si="131"/>
        <v>0</v>
      </c>
      <c r="EB50" s="553"/>
      <c r="EC50" s="254"/>
      <c r="ED50" s="562">
        <v>4</v>
      </c>
      <c r="EE50" s="563">
        <f t="shared" si="132"/>
        <v>13520</v>
      </c>
      <c r="EF50" s="553"/>
      <c r="EG50" s="254"/>
      <c r="EH50" s="562">
        <v>1</v>
      </c>
      <c r="EI50" s="563">
        <f t="shared" si="133"/>
        <v>3380</v>
      </c>
      <c r="EJ50" s="553"/>
      <c r="EK50" s="254"/>
      <c r="EL50" s="562">
        <v>1.51</v>
      </c>
      <c r="EM50" s="563">
        <f t="shared" si="134"/>
        <v>5103.8</v>
      </c>
      <c r="EN50" s="553"/>
      <c r="EO50" s="254"/>
      <c r="EP50" s="562">
        <v>0</v>
      </c>
      <c r="EQ50" s="563">
        <f t="shared" si="135"/>
        <v>0</v>
      </c>
      <c r="ER50" s="553"/>
      <c r="ES50" s="254"/>
      <c r="ET50" s="562">
        <v>1</v>
      </c>
      <c r="EU50" s="563">
        <f t="shared" si="136"/>
        <v>3380</v>
      </c>
      <c r="EV50" s="553"/>
      <c r="EW50" s="254"/>
      <c r="EX50" s="562">
        <v>1</v>
      </c>
      <c r="EY50" s="563">
        <f t="shared" si="137"/>
        <v>3380</v>
      </c>
      <c r="EZ50" s="553"/>
      <c r="FA50" s="254"/>
      <c r="FB50" s="562">
        <v>11.530000000000001</v>
      </c>
      <c r="FC50" s="563">
        <f t="shared" si="138"/>
        <v>38971.4</v>
      </c>
      <c r="FD50" s="553"/>
      <c r="FE50" s="254"/>
      <c r="FF50" s="562">
        <v>2.04</v>
      </c>
      <c r="FG50" s="563">
        <f t="shared" si="139"/>
        <v>6895.2</v>
      </c>
      <c r="FH50" s="553"/>
      <c r="FI50" s="254"/>
      <c r="FJ50" s="562">
        <v>0</v>
      </c>
      <c r="FK50" s="563">
        <f t="shared" si="140"/>
        <v>0</v>
      </c>
      <c r="FL50" s="553"/>
      <c r="FM50" s="254"/>
      <c r="FN50" s="562">
        <v>0</v>
      </c>
      <c r="FO50" s="563">
        <f t="shared" si="141"/>
        <v>0</v>
      </c>
      <c r="FP50" s="553"/>
      <c r="FQ50" s="254"/>
      <c r="FR50" s="562">
        <v>1.01</v>
      </c>
      <c r="FS50" s="563">
        <f t="shared" si="142"/>
        <v>3413.8</v>
      </c>
      <c r="FT50" s="553"/>
      <c r="FU50" s="254"/>
      <c r="FV50" s="562">
        <v>0</v>
      </c>
      <c r="FW50" s="563">
        <f t="shared" si="143"/>
        <v>0</v>
      </c>
      <c r="FX50" s="553"/>
      <c r="FY50" s="254"/>
      <c r="FZ50" s="562">
        <v>0</v>
      </c>
      <c r="GA50" s="563">
        <f t="shared" si="144"/>
        <v>0</v>
      </c>
      <c r="GB50" s="553"/>
      <c r="GC50" s="254"/>
      <c r="GD50" s="562">
        <v>0</v>
      </c>
      <c r="GE50" s="563">
        <f t="shared" si="145"/>
        <v>0</v>
      </c>
      <c r="GF50" s="553"/>
      <c r="GG50" s="254"/>
      <c r="GH50" s="562">
        <v>0</v>
      </c>
      <c r="GI50" s="563">
        <f t="shared" si="146"/>
        <v>0</v>
      </c>
      <c r="GJ50" s="553"/>
      <c r="GK50" s="254"/>
      <c r="GL50" s="562">
        <v>0</v>
      </c>
      <c r="GM50" s="563">
        <f t="shared" si="147"/>
        <v>0</v>
      </c>
      <c r="GN50" s="553"/>
      <c r="GO50" s="254"/>
      <c r="GP50" s="562">
        <v>71.710000000000008</v>
      </c>
      <c r="GQ50" s="563">
        <f t="shared" si="148"/>
        <v>242379.8</v>
      </c>
      <c r="GR50" s="553"/>
      <c r="GS50" s="533"/>
    </row>
    <row r="51" spans="2:201" x14ac:dyDescent="0.2">
      <c r="C51" s="560" t="s">
        <v>644</v>
      </c>
      <c r="D51" s="561">
        <v>253</v>
      </c>
      <c r="E51" s="569">
        <v>6896</v>
      </c>
      <c r="F51" s="562">
        <v>0</v>
      </c>
      <c r="G51" s="563">
        <f t="shared" si="100"/>
        <v>0</v>
      </c>
      <c r="H51" s="553"/>
      <c r="I51" s="254"/>
      <c r="J51" s="562">
        <v>0</v>
      </c>
      <c r="K51" s="563">
        <f t="shared" si="101"/>
        <v>0</v>
      </c>
      <c r="L51" s="553"/>
      <c r="M51" s="254"/>
      <c r="N51" s="562">
        <v>0</v>
      </c>
      <c r="O51" s="563">
        <f t="shared" si="102"/>
        <v>0</v>
      </c>
      <c r="P51" s="553"/>
      <c r="Q51" s="254"/>
      <c r="R51" s="562">
        <v>0</v>
      </c>
      <c r="S51" s="563">
        <f t="shared" si="103"/>
        <v>0</v>
      </c>
      <c r="T51" s="553"/>
      <c r="U51" s="254"/>
      <c r="V51" s="562">
        <v>1.05</v>
      </c>
      <c r="W51" s="563">
        <f t="shared" si="104"/>
        <v>7240.8</v>
      </c>
      <c r="X51" s="553"/>
      <c r="Y51" s="254"/>
      <c r="Z51" s="562"/>
      <c r="AA51" s="563">
        <f t="shared" si="105"/>
        <v>0</v>
      </c>
      <c r="AB51" s="553"/>
      <c r="AC51" s="254"/>
      <c r="AD51" s="562">
        <v>1</v>
      </c>
      <c r="AE51" s="563">
        <f t="shared" si="106"/>
        <v>6896</v>
      </c>
      <c r="AF51" s="553"/>
      <c r="AG51" s="254"/>
      <c r="AH51" s="562">
        <v>0</v>
      </c>
      <c r="AI51" s="563">
        <f t="shared" si="107"/>
        <v>0</v>
      </c>
      <c r="AJ51" s="553"/>
      <c r="AK51" s="254"/>
      <c r="AL51" s="562">
        <v>10.75</v>
      </c>
      <c r="AM51" s="563">
        <f t="shared" si="108"/>
        <v>74132</v>
      </c>
      <c r="AN51" s="553"/>
      <c r="AO51" s="254"/>
      <c r="AP51" s="562">
        <v>0</v>
      </c>
      <c r="AQ51" s="563">
        <f t="shared" si="109"/>
        <v>0</v>
      </c>
      <c r="AR51" s="553"/>
      <c r="AS51" s="254"/>
      <c r="AT51" s="562">
        <v>0</v>
      </c>
      <c r="AU51" s="563">
        <f t="shared" si="110"/>
        <v>0</v>
      </c>
      <c r="AV51" s="553"/>
      <c r="AW51" s="254"/>
      <c r="AX51" s="562">
        <v>0</v>
      </c>
      <c r="AY51" s="563">
        <f t="shared" si="111"/>
        <v>0</v>
      </c>
      <c r="AZ51" s="553"/>
      <c r="BA51" s="254"/>
      <c r="BB51" s="562">
        <v>0</v>
      </c>
      <c r="BC51" s="563">
        <f t="shared" si="112"/>
        <v>0</v>
      </c>
      <c r="BD51" s="553"/>
      <c r="BE51" s="254"/>
      <c r="BF51" s="562">
        <v>0</v>
      </c>
      <c r="BG51" s="563">
        <f t="shared" si="113"/>
        <v>0</v>
      </c>
      <c r="BH51" s="553"/>
      <c r="BI51" s="254"/>
      <c r="BJ51" s="562">
        <v>0</v>
      </c>
      <c r="BK51" s="563">
        <f t="shared" si="114"/>
        <v>0</v>
      </c>
      <c r="BL51" s="553"/>
      <c r="BM51" s="254"/>
      <c r="BN51" s="562">
        <v>0</v>
      </c>
      <c r="BO51" s="563">
        <f t="shared" si="115"/>
        <v>0</v>
      </c>
      <c r="BP51" s="553"/>
      <c r="BQ51" s="254"/>
      <c r="BR51" s="562">
        <v>0</v>
      </c>
      <c r="BS51" s="563">
        <f t="shared" si="116"/>
        <v>0</v>
      </c>
      <c r="BT51" s="553"/>
      <c r="BU51" s="254"/>
      <c r="BV51" s="562">
        <v>0</v>
      </c>
      <c r="BW51" s="563">
        <f t="shared" si="117"/>
        <v>0</v>
      </c>
      <c r="BX51" s="553"/>
      <c r="BY51" s="254"/>
      <c r="BZ51" s="562">
        <v>0</v>
      </c>
      <c r="CA51" s="563">
        <f t="shared" si="118"/>
        <v>0</v>
      </c>
      <c r="CB51" s="553"/>
      <c r="CC51" s="254"/>
      <c r="CD51" s="562">
        <v>0</v>
      </c>
      <c r="CE51" s="563">
        <f t="shared" si="119"/>
        <v>0</v>
      </c>
      <c r="CF51" s="553"/>
      <c r="CG51" s="254"/>
      <c r="CH51" s="562">
        <v>0</v>
      </c>
      <c r="CI51" s="563">
        <f t="shared" si="120"/>
        <v>0</v>
      </c>
      <c r="CJ51" s="553"/>
      <c r="CK51" s="254"/>
      <c r="CL51" s="562">
        <v>0</v>
      </c>
      <c r="CM51" s="563">
        <f t="shared" si="121"/>
        <v>0</v>
      </c>
      <c r="CN51" s="553"/>
      <c r="CO51" s="254"/>
      <c r="CP51" s="562">
        <v>0</v>
      </c>
      <c r="CQ51" s="563">
        <f t="shared" si="122"/>
        <v>0</v>
      </c>
      <c r="CR51" s="553"/>
      <c r="CS51" s="254"/>
      <c r="CT51" s="562">
        <v>0</v>
      </c>
      <c r="CU51" s="563">
        <f t="shared" si="123"/>
        <v>0</v>
      </c>
      <c r="CV51" s="553"/>
      <c r="CW51" s="254"/>
      <c r="CX51" s="562">
        <v>0</v>
      </c>
      <c r="CY51" s="563">
        <f t="shared" si="124"/>
        <v>0</v>
      </c>
      <c r="CZ51" s="553"/>
      <c r="DA51" s="254"/>
      <c r="DB51" s="562">
        <v>0</v>
      </c>
      <c r="DC51" s="563">
        <f t="shared" si="125"/>
        <v>0</v>
      </c>
      <c r="DD51" s="553"/>
      <c r="DE51" s="254"/>
      <c r="DF51" s="562">
        <v>0</v>
      </c>
      <c r="DG51" s="563">
        <f t="shared" si="126"/>
        <v>0</v>
      </c>
      <c r="DH51" s="553"/>
      <c r="DI51" s="254"/>
      <c r="DJ51" s="562">
        <v>0</v>
      </c>
      <c r="DK51" s="563">
        <f t="shared" si="127"/>
        <v>0</v>
      </c>
      <c r="DL51" s="553"/>
      <c r="DM51" s="254"/>
      <c r="DN51" s="562">
        <v>0.5</v>
      </c>
      <c r="DO51" s="563">
        <f t="shared" si="128"/>
        <v>3448</v>
      </c>
      <c r="DP51" s="553"/>
      <c r="DQ51" s="254"/>
      <c r="DR51" s="562">
        <v>0.5</v>
      </c>
      <c r="DS51" s="563">
        <f t="shared" si="129"/>
        <v>3448</v>
      </c>
      <c r="DT51" s="553"/>
      <c r="DU51" s="254"/>
      <c r="DV51" s="562">
        <v>0</v>
      </c>
      <c r="DW51" s="563">
        <f t="shared" si="130"/>
        <v>0</v>
      </c>
      <c r="DX51" s="553"/>
      <c r="DY51" s="254"/>
      <c r="DZ51" s="562">
        <v>0</v>
      </c>
      <c r="EA51" s="563">
        <f t="shared" si="131"/>
        <v>0</v>
      </c>
      <c r="EB51" s="553"/>
      <c r="EC51" s="254"/>
      <c r="ED51" s="562">
        <v>0</v>
      </c>
      <c r="EE51" s="563">
        <f t="shared" si="132"/>
        <v>0</v>
      </c>
      <c r="EF51" s="553"/>
      <c r="EG51" s="254"/>
      <c r="EH51" s="562">
        <v>0</v>
      </c>
      <c r="EI51" s="563">
        <f t="shared" si="133"/>
        <v>0</v>
      </c>
      <c r="EJ51" s="553"/>
      <c r="EK51" s="254"/>
      <c r="EL51" s="562">
        <v>1.01</v>
      </c>
      <c r="EM51" s="563">
        <f t="shared" si="134"/>
        <v>6964.96</v>
      </c>
      <c r="EN51" s="553"/>
      <c r="EO51" s="254"/>
      <c r="EP51" s="562">
        <v>0</v>
      </c>
      <c r="EQ51" s="563">
        <f t="shared" si="135"/>
        <v>0</v>
      </c>
      <c r="ER51" s="553"/>
      <c r="ES51" s="254"/>
      <c r="ET51" s="562">
        <v>1.41</v>
      </c>
      <c r="EU51" s="563">
        <f t="shared" si="136"/>
        <v>9723.36</v>
      </c>
      <c r="EV51" s="553"/>
      <c r="EW51" s="254"/>
      <c r="EX51" s="562">
        <v>0</v>
      </c>
      <c r="EY51" s="563">
        <f t="shared" si="137"/>
        <v>0</v>
      </c>
      <c r="EZ51" s="553"/>
      <c r="FA51" s="254"/>
      <c r="FB51" s="562">
        <v>0</v>
      </c>
      <c r="FC51" s="563">
        <f t="shared" si="138"/>
        <v>0</v>
      </c>
      <c r="FD51" s="553"/>
      <c r="FE51" s="254"/>
      <c r="FF51" s="562">
        <v>0</v>
      </c>
      <c r="FG51" s="563">
        <f t="shared" si="139"/>
        <v>0</v>
      </c>
      <c r="FH51" s="553"/>
      <c r="FI51" s="254"/>
      <c r="FJ51" s="562">
        <v>0</v>
      </c>
      <c r="FK51" s="563">
        <f t="shared" si="140"/>
        <v>0</v>
      </c>
      <c r="FL51" s="553"/>
      <c r="FM51" s="254"/>
      <c r="FN51" s="562">
        <v>0</v>
      </c>
      <c r="FO51" s="563">
        <f t="shared" si="141"/>
        <v>0</v>
      </c>
      <c r="FP51" s="553"/>
      <c r="FQ51" s="254"/>
      <c r="FR51" s="562">
        <v>0</v>
      </c>
      <c r="FS51" s="563">
        <f t="shared" si="142"/>
        <v>0</v>
      </c>
      <c r="FT51" s="553"/>
      <c r="FU51" s="254"/>
      <c r="FV51" s="562">
        <v>0</v>
      </c>
      <c r="FW51" s="563">
        <f t="shared" si="143"/>
        <v>0</v>
      </c>
      <c r="FX51" s="553"/>
      <c r="FY51" s="254"/>
      <c r="FZ51" s="562">
        <v>0.5</v>
      </c>
      <c r="GA51" s="563">
        <f t="shared" si="144"/>
        <v>3448</v>
      </c>
      <c r="GB51" s="553"/>
      <c r="GC51" s="254"/>
      <c r="GD51" s="562">
        <v>0</v>
      </c>
      <c r="GE51" s="563">
        <f t="shared" si="145"/>
        <v>0</v>
      </c>
      <c r="GF51" s="553"/>
      <c r="GG51" s="254"/>
      <c r="GH51" s="562">
        <v>0</v>
      </c>
      <c r="GI51" s="563">
        <f t="shared" si="146"/>
        <v>0</v>
      </c>
      <c r="GJ51" s="553"/>
      <c r="GK51" s="254"/>
      <c r="GL51" s="562">
        <v>0</v>
      </c>
      <c r="GM51" s="563">
        <f t="shared" si="147"/>
        <v>0</v>
      </c>
      <c r="GN51" s="553"/>
      <c r="GO51" s="254"/>
      <c r="GP51" s="562">
        <v>16.72</v>
      </c>
      <c r="GQ51" s="563">
        <f t="shared" si="148"/>
        <v>115301.12</v>
      </c>
      <c r="GR51" s="553"/>
      <c r="GS51" s="533"/>
    </row>
    <row r="52" spans="2:201" x14ac:dyDescent="0.2">
      <c r="C52" s="560" t="s">
        <v>13</v>
      </c>
      <c r="D52" s="561">
        <v>251</v>
      </c>
      <c r="E52" s="569">
        <v>1173</v>
      </c>
      <c r="F52" s="562">
        <v>5</v>
      </c>
      <c r="G52" s="563">
        <f t="shared" si="100"/>
        <v>5865</v>
      </c>
      <c r="H52" s="553"/>
      <c r="I52" s="254"/>
      <c r="J52" s="562">
        <v>0</v>
      </c>
      <c r="K52" s="563">
        <f t="shared" si="101"/>
        <v>0</v>
      </c>
      <c r="L52" s="553"/>
      <c r="M52" s="254"/>
      <c r="N52" s="562">
        <v>0</v>
      </c>
      <c r="O52" s="563">
        <f t="shared" si="102"/>
        <v>0</v>
      </c>
      <c r="P52" s="553"/>
      <c r="Q52" s="254"/>
      <c r="R52" s="562">
        <v>0</v>
      </c>
      <c r="S52" s="563">
        <f t="shared" si="103"/>
        <v>0</v>
      </c>
      <c r="T52" s="553"/>
      <c r="U52" s="254"/>
      <c r="V52" s="562">
        <v>0</v>
      </c>
      <c r="W52" s="563">
        <f t="shared" si="104"/>
        <v>0</v>
      </c>
      <c r="X52" s="553"/>
      <c r="Y52" s="254"/>
      <c r="Z52" s="562"/>
      <c r="AA52" s="563">
        <f t="shared" si="105"/>
        <v>0</v>
      </c>
      <c r="AB52" s="553"/>
      <c r="AC52" s="254"/>
      <c r="AD52" s="562">
        <v>27.58</v>
      </c>
      <c r="AE52" s="563">
        <f t="shared" si="106"/>
        <v>32351.34</v>
      </c>
      <c r="AF52" s="553"/>
      <c r="AG52" s="254"/>
      <c r="AH52" s="562">
        <v>62.11</v>
      </c>
      <c r="AI52" s="563">
        <f t="shared" si="107"/>
        <v>72855.03</v>
      </c>
      <c r="AJ52" s="553"/>
      <c r="AK52" s="254"/>
      <c r="AL52" s="562">
        <v>0</v>
      </c>
      <c r="AM52" s="563">
        <f t="shared" si="108"/>
        <v>0</v>
      </c>
      <c r="AN52" s="553"/>
      <c r="AO52" s="254"/>
      <c r="AP52" s="562">
        <v>0</v>
      </c>
      <c r="AQ52" s="563">
        <f t="shared" si="109"/>
        <v>0</v>
      </c>
      <c r="AR52" s="553"/>
      <c r="AS52" s="254"/>
      <c r="AT52" s="562">
        <v>0</v>
      </c>
      <c r="AU52" s="563">
        <f t="shared" si="110"/>
        <v>0</v>
      </c>
      <c r="AV52" s="553"/>
      <c r="AW52" s="254"/>
      <c r="AX52" s="562">
        <v>108.43</v>
      </c>
      <c r="AY52" s="563">
        <f t="shared" si="111"/>
        <v>127188.39</v>
      </c>
      <c r="AZ52" s="553"/>
      <c r="BA52" s="254"/>
      <c r="BB52" s="562">
        <v>23</v>
      </c>
      <c r="BC52" s="563">
        <f t="shared" si="112"/>
        <v>26979</v>
      </c>
      <c r="BD52" s="553"/>
      <c r="BE52" s="254"/>
      <c r="BF52" s="562">
        <v>0</v>
      </c>
      <c r="BG52" s="563">
        <f t="shared" si="113"/>
        <v>0</v>
      </c>
      <c r="BH52" s="553"/>
      <c r="BI52" s="254"/>
      <c r="BJ52" s="562">
        <v>9.02</v>
      </c>
      <c r="BK52" s="563">
        <f t="shared" si="114"/>
        <v>10580.46</v>
      </c>
      <c r="BL52" s="553"/>
      <c r="BM52" s="254"/>
      <c r="BN52" s="562">
        <v>38.5</v>
      </c>
      <c r="BO52" s="563">
        <f t="shared" si="115"/>
        <v>45160.5</v>
      </c>
      <c r="BP52" s="553"/>
      <c r="BQ52" s="254"/>
      <c r="BR52" s="562">
        <v>0</v>
      </c>
      <c r="BS52" s="563">
        <f t="shared" si="116"/>
        <v>0</v>
      </c>
      <c r="BT52" s="553"/>
      <c r="BU52" s="254"/>
      <c r="BV52" s="562">
        <v>3.5</v>
      </c>
      <c r="BW52" s="563">
        <f t="shared" si="117"/>
        <v>4105.5</v>
      </c>
      <c r="BX52" s="553"/>
      <c r="BY52" s="254"/>
      <c r="BZ52" s="562">
        <v>0</v>
      </c>
      <c r="CA52" s="563">
        <f t="shared" si="118"/>
        <v>0</v>
      </c>
      <c r="CB52" s="553"/>
      <c r="CC52" s="254"/>
      <c r="CD52" s="562">
        <v>0</v>
      </c>
      <c r="CE52" s="563">
        <f t="shared" si="119"/>
        <v>0</v>
      </c>
      <c r="CF52" s="553"/>
      <c r="CG52" s="254"/>
      <c r="CH52" s="562">
        <v>24.08</v>
      </c>
      <c r="CI52" s="563">
        <f t="shared" si="120"/>
        <v>28245.84</v>
      </c>
      <c r="CJ52" s="553"/>
      <c r="CK52" s="254"/>
      <c r="CL52" s="562">
        <v>0</v>
      </c>
      <c r="CM52" s="563">
        <f t="shared" si="121"/>
        <v>0</v>
      </c>
      <c r="CN52" s="553"/>
      <c r="CO52" s="254"/>
      <c r="CP52" s="562">
        <v>51.980000000000004</v>
      </c>
      <c r="CQ52" s="563">
        <f t="shared" si="122"/>
        <v>60972.54</v>
      </c>
      <c r="CR52" s="553"/>
      <c r="CS52" s="254"/>
      <c r="CT52" s="562">
        <v>82.960000000000008</v>
      </c>
      <c r="CU52" s="563">
        <f t="shared" si="123"/>
        <v>97312.08</v>
      </c>
      <c r="CV52" s="553"/>
      <c r="CW52" s="254"/>
      <c r="CX52" s="562">
        <v>42</v>
      </c>
      <c r="CY52" s="563">
        <f t="shared" si="124"/>
        <v>49266</v>
      </c>
      <c r="CZ52" s="553"/>
      <c r="DA52" s="254"/>
      <c r="DB52" s="562">
        <v>15.5</v>
      </c>
      <c r="DC52" s="563">
        <f t="shared" si="125"/>
        <v>18181.5</v>
      </c>
      <c r="DD52" s="553"/>
      <c r="DE52" s="254"/>
      <c r="DF52" s="562">
        <v>26.21</v>
      </c>
      <c r="DG52" s="563">
        <f t="shared" si="126"/>
        <v>30744.33</v>
      </c>
      <c r="DH52" s="553"/>
      <c r="DI52" s="254"/>
      <c r="DJ52" s="562">
        <v>0</v>
      </c>
      <c r="DK52" s="563">
        <f t="shared" si="127"/>
        <v>0</v>
      </c>
      <c r="DL52" s="553"/>
      <c r="DM52" s="254"/>
      <c r="DN52" s="562">
        <v>41.5</v>
      </c>
      <c r="DO52" s="563">
        <f t="shared" si="128"/>
        <v>48679.5</v>
      </c>
      <c r="DP52" s="553"/>
      <c r="DQ52" s="254"/>
      <c r="DR52" s="562">
        <v>55.61</v>
      </c>
      <c r="DS52" s="563">
        <f t="shared" si="129"/>
        <v>65230.53</v>
      </c>
      <c r="DT52" s="553"/>
      <c r="DU52" s="254"/>
      <c r="DV52" s="562">
        <v>122.50999999999999</v>
      </c>
      <c r="DW52" s="563">
        <f t="shared" si="130"/>
        <v>143704.23000000001</v>
      </c>
      <c r="DX52" s="553"/>
      <c r="DY52" s="254"/>
      <c r="DZ52" s="562">
        <v>0</v>
      </c>
      <c r="EA52" s="563">
        <f t="shared" si="131"/>
        <v>0</v>
      </c>
      <c r="EB52" s="553"/>
      <c r="EC52" s="254"/>
      <c r="ED52" s="562">
        <v>64.91</v>
      </c>
      <c r="EE52" s="563">
        <f t="shared" si="132"/>
        <v>76139.429999999993</v>
      </c>
      <c r="EF52" s="553"/>
      <c r="EG52" s="254"/>
      <c r="EH52" s="562">
        <v>3</v>
      </c>
      <c r="EI52" s="563">
        <f t="shared" si="133"/>
        <v>3519</v>
      </c>
      <c r="EJ52" s="553"/>
      <c r="EK52" s="254"/>
      <c r="EL52" s="562">
        <v>33.909999999999997</v>
      </c>
      <c r="EM52" s="563">
        <f t="shared" si="134"/>
        <v>39776.43</v>
      </c>
      <c r="EN52" s="553"/>
      <c r="EO52" s="254"/>
      <c r="EP52" s="562">
        <v>12.2</v>
      </c>
      <c r="EQ52" s="563">
        <f t="shared" si="135"/>
        <v>14310.6</v>
      </c>
      <c r="ER52" s="553"/>
      <c r="ES52" s="254"/>
      <c r="ET52" s="562">
        <v>44.04</v>
      </c>
      <c r="EU52" s="563">
        <f t="shared" si="136"/>
        <v>51658.92</v>
      </c>
      <c r="EV52" s="553"/>
      <c r="EW52" s="254"/>
      <c r="EX52" s="562">
        <v>50.25</v>
      </c>
      <c r="EY52" s="563">
        <f t="shared" si="137"/>
        <v>58943.25</v>
      </c>
      <c r="EZ52" s="553"/>
      <c r="FA52" s="254"/>
      <c r="FB52" s="562">
        <v>51.92</v>
      </c>
      <c r="FC52" s="563">
        <f t="shared" si="138"/>
        <v>60902.16</v>
      </c>
      <c r="FD52" s="553"/>
      <c r="FE52" s="254"/>
      <c r="FF52" s="562">
        <v>19.93</v>
      </c>
      <c r="FG52" s="563">
        <f t="shared" si="139"/>
        <v>23377.89</v>
      </c>
      <c r="FH52" s="553"/>
      <c r="FI52" s="254"/>
      <c r="FJ52" s="562">
        <v>0</v>
      </c>
      <c r="FK52" s="563">
        <f t="shared" si="140"/>
        <v>0</v>
      </c>
      <c r="FL52" s="553"/>
      <c r="FM52" s="254"/>
      <c r="FN52" s="562">
        <v>45.45</v>
      </c>
      <c r="FO52" s="563">
        <f t="shared" si="141"/>
        <v>53312.85</v>
      </c>
      <c r="FP52" s="553"/>
      <c r="FQ52" s="254"/>
      <c r="FR52" s="562">
        <v>18.59</v>
      </c>
      <c r="FS52" s="563">
        <f t="shared" si="142"/>
        <v>21806.07</v>
      </c>
      <c r="FT52" s="553"/>
      <c r="FU52" s="254"/>
      <c r="FV52" s="562">
        <v>0</v>
      </c>
      <c r="FW52" s="563">
        <f t="shared" si="143"/>
        <v>0</v>
      </c>
      <c r="FX52" s="553"/>
      <c r="FY52" s="254"/>
      <c r="FZ52" s="562">
        <v>8</v>
      </c>
      <c r="GA52" s="563">
        <f t="shared" si="144"/>
        <v>9384</v>
      </c>
      <c r="GB52" s="553"/>
      <c r="GC52" s="254"/>
      <c r="GD52" s="562">
        <v>57.22</v>
      </c>
      <c r="GE52" s="563">
        <f t="shared" si="145"/>
        <v>67119.06</v>
      </c>
      <c r="GF52" s="553"/>
      <c r="GG52" s="254"/>
      <c r="GH52" s="562">
        <v>0</v>
      </c>
      <c r="GI52" s="563">
        <f t="shared" si="146"/>
        <v>0</v>
      </c>
      <c r="GJ52" s="553"/>
      <c r="GK52" s="254"/>
      <c r="GL52" s="562">
        <v>0</v>
      </c>
      <c r="GM52" s="563">
        <f t="shared" si="147"/>
        <v>0</v>
      </c>
      <c r="GN52" s="553"/>
      <c r="GO52" s="254"/>
      <c r="GP52" s="562">
        <v>1148.9099999999999</v>
      </c>
      <c r="GQ52" s="563">
        <f t="shared" si="148"/>
        <v>1347671.43</v>
      </c>
      <c r="GR52" s="553"/>
      <c r="GS52" s="533"/>
    </row>
    <row r="53" spans="2:201" x14ac:dyDescent="0.2">
      <c r="C53" s="560" t="s">
        <v>13</v>
      </c>
      <c r="D53" s="561">
        <v>252</v>
      </c>
      <c r="E53" s="569">
        <v>3506</v>
      </c>
      <c r="F53" s="562">
        <v>0</v>
      </c>
      <c r="G53" s="563">
        <f t="shared" si="100"/>
        <v>0</v>
      </c>
      <c r="H53" s="553"/>
      <c r="I53" s="254"/>
      <c r="J53" s="562">
        <v>0</v>
      </c>
      <c r="K53" s="563">
        <f t="shared" si="101"/>
        <v>0</v>
      </c>
      <c r="L53" s="553"/>
      <c r="M53" s="254"/>
      <c r="N53" s="562">
        <v>0</v>
      </c>
      <c r="O53" s="563">
        <f t="shared" si="102"/>
        <v>0</v>
      </c>
      <c r="P53" s="553"/>
      <c r="Q53" s="254"/>
      <c r="R53" s="562">
        <v>0</v>
      </c>
      <c r="S53" s="563">
        <f t="shared" si="103"/>
        <v>0</v>
      </c>
      <c r="T53" s="553"/>
      <c r="U53" s="254"/>
      <c r="V53" s="562">
        <v>0</v>
      </c>
      <c r="W53" s="563">
        <f t="shared" si="104"/>
        <v>0</v>
      </c>
      <c r="X53" s="553"/>
      <c r="Y53" s="254"/>
      <c r="Z53" s="562"/>
      <c r="AA53" s="563">
        <f t="shared" si="105"/>
        <v>0</v>
      </c>
      <c r="AB53" s="553"/>
      <c r="AC53" s="254"/>
      <c r="AD53" s="562">
        <v>0.9</v>
      </c>
      <c r="AE53" s="563">
        <f t="shared" si="106"/>
        <v>3155.4</v>
      </c>
      <c r="AF53" s="553"/>
      <c r="AG53" s="254"/>
      <c r="AH53" s="562">
        <v>6.92</v>
      </c>
      <c r="AI53" s="563">
        <f t="shared" si="107"/>
        <v>24261.52</v>
      </c>
      <c r="AJ53" s="553"/>
      <c r="AK53" s="254"/>
      <c r="AL53" s="562">
        <v>0</v>
      </c>
      <c r="AM53" s="563">
        <f t="shared" si="108"/>
        <v>0</v>
      </c>
      <c r="AN53" s="553"/>
      <c r="AO53" s="254"/>
      <c r="AP53" s="562">
        <v>0</v>
      </c>
      <c r="AQ53" s="563">
        <f t="shared" si="109"/>
        <v>0</v>
      </c>
      <c r="AR53" s="553"/>
      <c r="AS53" s="254"/>
      <c r="AT53" s="562">
        <v>0</v>
      </c>
      <c r="AU53" s="563">
        <f t="shared" si="110"/>
        <v>0</v>
      </c>
      <c r="AV53" s="553"/>
      <c r="AW53" s="254"/>
      <c r="AX53" s="562">
        <v>3.9</v>
      </c>
      <c r="AY53" s="563">
        <f t="shared" si="111"/>
        <v>13673.4</v>
      </c>
      <c r="AZ53" s="553"/>
      <c r="BA53" s="254"/>
      <c r="BB53" s="562">
        <v>0</v>
      </c>
      <c r="BC53" s="563">
        <f t="shared" si="112"/>
        <v>0</v>
      </c>
      <c r="BD53" s="553"/>
      <c r="BE53" s="254"/>
      <c r="BF53" s="562">
        <v>0</v>
      </c>
      <c r="BG53" s="563">
        <f t="shared" si="113"/>
        <v>0</v>
      </c>
      <c r="BH53" s="553"/>
      <c r="BI53" s="254"/>
      <c r="BJ53" s="562">
        <v>1.42</v>
      </c>
      <c r="BK53" s="563">
        <f t="shared" si="114"/>
        <v>4978.5200000000004</v>
      </c>
      <c r="BL53" s="553"/>
      <c r="BM53" s="254"/>
      <c r="BN53" s="562">
        <v>0</v>
      </c>
      <c r="BO53" s="563">
        <f t="shared" si="115"/>
        <v>0</v>
      </c>
      <c r="BP53" s="553"/>
      <c r="BQ53" s="254"/>
      <c r="BR53" s="562">
        <v>0</v>
      </c>
      <c r="BS53" s="563">
        <f t="shared" si="116"/>
        <v>0</v>
      </c>
      <c r="BT53" s="553"/>
      <c r="BU53" s="254"/>
      <c r="BV53" s="562">
        <v>0</v>
      </c>
      <c r="BW53" s="563">
        <f t="shared" si="117"/>
        <v>0</v>
      </c>
      <c r="BX53" s="553"/>
      <c r="BY53" s="254"/>
      <c r="BZ53" s="562">
        <v>0</v>
      </c>
      <c r="CA53" s="563">
        <f t="shared" si="118"/>
        <v>0</v>
      </c>
      <c r="CB53" s="553"/>
      <c r="CC53" s="254"/>
      <c r="CD53" s="562">
        <v>0</v>
      </c>
      <c r="CE53" s="563">
        <f t="shared" si="119"/>
        <v>0</v>
      </c>
      <c r="CF53" s="553"/>
      <c r="CG53" s="254"/>
      <c r="CH53" s="562">
        <v>0.41</v>
      </c>
      <c r="CI53" s="563">
        <f t="shared" si="120"/>
        <v>1437.46</v>
      </c>
      <c r="CJ53" s="553"/>
      <c r="CK53" s="254"/>
      <c r="CL53" s="562">
        <v>0</v>
      </c>
      <c r="CM53" s="563">
        <f t="shared" si="121"/>
        <v>0</v>
      </c>
      <c r="CN53" s="553"/>
      <c r="CO53" s="254"/>
      <c r="CP53" s="562">
        <v>8.01</v>
      </c>
      <c r="CQ53" s="563">
        <f t="shared" si="122"/>
        <v>28083.06</v>
      </c>
      <c r="CR53" s="553"/>
      <c r="CS53" s="254"/>
      <c r="CT53" s="562">
        <v>1</v>
      </c>
      <c r="CU53" s="563">
        <f t="shared" si="123"/>
        <v>3506</v>
      </c>
      <c r="CV53" s="553"/>
      <c r="CW53" s="254"/>
      <c r="CX53" s="562">
        <v>3</v>
      </c>
      <c r="CY53" s="563">
        <f t="shared" si="124"/>
        <v>10518</v>
      </c>
      <c r="CZ53" s="553"/>
      <c r="DA53" s="254"/>
      <c r="DB53" s="562">
        <v>1</v>
      </c>
      <c r="DC53" s="563">
        <f t="shared" si="125"/>
        <v>3506</v>
      </c>
      <c r="DD53" s="553"/>
      <c r="DE53" s="254"/>
      <c r="DF53" s="562">
        <v>0.90999999999999992</v>
      </c>
      <c r="DG53" s="563">
        <f t="shared" si="126"/>
        <v>3190.46</v>
      </c>
      <c r="DH53" s="553"/>
      <c r="DI53" s="254"/>
      <c r="DJ53" s="562">
        <v>0</v>
      </c>
      <c r="DK53" s="563">
        <f t="shared" si="127"/>
        <v>0</v>
      </c>
      <c r="DL53" s="553"/>
      <c r="DM53" s="254"/>
      <c r="DN53" s="562">
        <v>0.5</v>
      </c>
      <c r="DO53" s="563">
        <f t="shared" si="128"/>
        <v>1753</v>
      </c>
      <c r="DP53" s="553"/>
      <c r="DQ53" s="254"/>
      <c r="DR53" s="562">
        <v>8.5399999999999991</v>
      </c>
      <c r="DS53" s="563">
        <f t="shared" si="129"/>
        <v>29941.24</v>
      </c>
      <c r="DT53" s="553"/>
      <c r="DU53" s="254"/>
      <c r="DV53" s="562">
        <v>4</v>
      </c>
      <c r="DW53" s="563">
        <f t="shared" si="130"/>
        <v>14024</v>
      </c>
      <c r="DX53" s="553"/>
      <c r="DY53" s="254"/>
      <c r="DZ53" s="562">
        <v>0</v>
      </c>
      <c r="EA53" s="563">
        <f t="shared" si="131"/>
        <v>0</v>
      </c>
      <c r="EB53" s="553"/>
      <c r="EC53" s="254"/>
      <c r="ED53" s="562">
        <v>9.5</v>
      </c>
      <c r="EE53" s="563">
        <f t="shared" si="132"/>
        <v>33307</v>
      </c>
      <c r="EF53" s="553"/>
      <c r="EG53" s="254"/>
      <c r="EH53" s="562">
        <v>0</v>
      </c>
      <c r="EI53" s="563">
        <f t="shared" si="133"/>
        <v>0</v>
      </c>
      <c r="EJ53" s="553"/>
      <c r="EK53" s="254"/>
      <c r="EL53" s="562">
        <v>3.9299999999999997</v>
      </c>
      <c r="EM53" s="563">
        <f t="shared" si="134"/>
        <v>13778.58</v>
      </c>
      <c r="EN53" s="553"/>
      <c r="EO53" s="254"/>
      <c r="EP53" s="562">
        <v>2.02</v>
      </c>
      <c r="EQ53" s="563">
        <f t="shared" si="135"/>
        <v>7082.12</v>
      </c>
      <c r="ER53" s="553"/>
      <c r="ES53" s="254"/>
      <c r="ET53" s="562">
        <v>0.4</v>
      </c>
      <c r="EU53" s="563">
        <f t="shared" si="136"/>
        <v>1402.4</v>
      </c>
      <c r="EV53" s="553"/>
      <c r="EW53" s="254"/>
      <c r="EX53" s="562">
        <v>2.5099999999999998</v>
      </c>
      <c r="EY53" s="563">
        <f t="shared" si="137"/>
        <v>8800.06</v>
      </c>
      <c r="EZ53" s="553"/>
      <c r="FA53" s="254"/>
      <c r="FB53" s="562">
        <v>19.98</v>
      </c>
      <c r="FC53" s="563">
        <f t="shared" si="138"/>
        <v>70049.88</v>
      </c>
      <c r="FD53" s="553"/>
      <c r="FE53" s="254"/>
      <c r="FF53" s="562">
        <v>2</v>
      </c>
      <c r="FG53" s="563">
        <f t="shared" si="139"/>
        <v>7012</v>
      </c>
      <c r="FH53" s="553"/>
      <c r="FI53" s="254"/>
      <c r="FJ53" s="562">
        <v>0</v>
      </c>
      <c r="FK53" s="563">
        <f t="shared" si="140"/>
        <v>0</v>
      </c>
      <c r="FL53" s="553"/>
      <c r="FM53" s="254"/>
      <c r="FN53" s="562">
        <v>1.9</v>
      </c>
      <c r="FO53" s="563">
        <f t="shared" si="141"/>
        <v>6661.4</v>
      </c>
      <c r="FP53" s="553"/>
      <c r="FQ53" s="254"/>
      <c r="FR53" s="562">
        <v>0.5</v>
      </c>
      <c r="FS53" s="563">
        <f t="shared" si="142"/>
        <v>1753</v>
      </c>
      <c r="FT53" s="553"/>
      <c r="FU53" s="254"/>
      <c r="FV53" s="562">
        <v>0</v>
      </c>
      <c r="FW53" s="563">
        <f t="shared" si="143"/>
        <v>0</v>
      </c>
      <c r="FX53" s="553"/>
      <c r="FY53" s="254"/>
      <c r="FZ53" s="562">
        <v>4.5</v>
      </c>
      <c r="GA53" s="563">
        <f t="shared" si="144"/>
        <v>15777</v>
      </c>
      <c r="GB53" s="553"/>
      <c r="GC53" s="254"/>
      <c r="GD53" s="562">
        <v>3.5</v>
      </c>
      <c r="GE53" s="563">
        <f t="shared" si="145"/>
        <v>12271</v>
      </c>
      <c r="GF53" s="553"/>
      <c r="GG53" s="254"/>
      <c r="GH53" s="562">
        <v>0</v>
      </c>
      <c r="GI53" s="563">
        <f t="shared" si="146"/>
        <v>0</v>
      </c>
      <c r="GJ53" s="553"/>
      <c r="GK53" s="254"/>
      <c r="GL53" s="562">
        <v>0</v>
      </c>
      <c r="GM53" s="563">
        <f t="shared" si="147"/>
        <v>0</v>
      </c>
      <c r="GN53" s="553"/>
      <c r="GO53" s="254"/>
      <c r="GP53" s="562">
        <v>91.250000000000014</v>
      </c>
      <c r="GQ53" s="563">
        <f t="shared" si="148"/>
        <v>319922.5</v>
      </c>
      <c r="GR53" s="553"/>
      <c r="GS53" s="533"/>
    </row>
    <row r="54" spans="2:201" x14ac:dyDescent="0.2">
      <c r="C54" s="560" t="s">
        <v>13</v>
      </c>
      <c r="D54" s="561">
        <v>253</v>
      </c>
      <c r="E54" s="569">
        <v>7023</v>
      </c>
      <c r="F54" s="562">
        <v>0</v>
      </c>
      <c r="G54" s="563">
        <f t="shared" si="100"/>
        <v>0</v>
      </c>
      <c r="H54" s="553"/>
      <c r="I54" s="254"/>
      <c r="J54" s="562">
        <v>0</v>
      </c>
      <c r="K54" s="563">
        <f t="shared" si="101"/>
        <v>0</v>
      </c>
      <c r="L54" s="553"/>
      <c r="M54" s="254"/>
      <c r="N54" s="562">
        <v>0</v>
      </c>
      <c r="O54" s="563">
        <f t="shared" si="102"/>
        <v>0</v>
      </c>
      <c r="P54" s="553"/>
      <c r="Q54" s="254"/>
      <c r="R54" s="562">
        <v>0</v>
      </c>
      <c r="S54" s="563">
        <f t="shared" si="103"/>
        <v>0</v>
      </c>
      <c r="T54" s="553"/>
      <c r="U54" s="254"/>
      <c r="V54" s="562">
        <v>0</v>
      </c>
      <c r="W54" s="563">
        <f t="shared" si="104"/>
        <v>0</v>
      </c>
      <c r="X54" s="553"/>
      <c r="Y54" s="254"/>
      <c r="Z54" s="562"/>
      <c r="AA54" s="563">
        <f t="shared" si="105"/>
        <v>0</v>
      </c>
      <c r="AB54" s="553"/>
      <c r="AC54" s="254"/>
      <c r="AD54" s="562">
        <v>0</v>
      </c>
      <c r="AE54" s="563">
        <f t="shared" si="106"/>
        <v>0</v>
      </c>
      <c r="AF54" s="553"/>
      <c r="AG54" s="254"/>
      <c r="AH54" s="562">
        <v>0</v>
      </c>
      <c r="AI54" s="563">
        <f t="shared" si="107"/>
        <v>0</v>
      </c>
      <c r="AJ54" s="553"/>
      <c r="AK54" s="254"/>
      <c r="AL54" s="562">
        <v>21.5</v>
      </c>
      <c r="AM54" s="563">
        <f t="shared" si="108"/>
        <v>150994.5</v>
      </c>
      <c r="AN54" s="553"/>
      <c r="AO54" s="254"/>
      <c r="AP54" s="562">
        <v>0</v>
      </c>
      <c r="AQ54" s="563">
        <f t="shared" si="109"/>
        <v>0</v>
      </c>
      <c r="AR54" s="553"/>
      <c r="AS54" s="254"/>
      <c r="AT54" s="562">
        <v>0</v>
      </c>
      <c r="AU54" s="563">
        <f t="shared" si="110"/>
        <v>0</v>
      </c>
      <c r="AV54" s="553"/>
      <c r="AW54" s="254"/>
      <c r="AX54" s="562">
        <v>0</v>
      </c>
      <c r="AY54" s="563">
        <f t="shared" si="111"/>
        <v>0</v>
      </c>
      <c r="AZ54" s="553"/>
      <c r="BA54" s="254"/>
      <c r="BB54" s="562">
        <v>0</v>
      </c>
      <c r="BC54" s="563">
        <f t="shared" si="112"/>
        <v>0</v>
      </c>
      <c r="BD54" s="553"/>
      <c r="BE54" s="254"/>
      <c r="BF54" s="562">
        <v>2.5</v>
      </c>
      <c r="BG54" s="563">
        <f t="shared" si="113"/>
        <v>17557.5</v>
      </c>
      <c r="BH54" s="553"/>
      <c r="BI54" s="254"/>
      <c r="BJ54" s="562">
        <v>0</v>
      </c>
      <c r="BK54" s="563">
        <f t="shared" si="114"/>
        <v>0</v>
      </c>
      <c r="BL54" s="553"/>
      <c r="BM54" s="254"/>
      <c r="BN54" s="562">
        <v>0.5</v>
      </c>
      <c r="BO54" s="563">
        <f t="shared" si="115"/>
        <v>3511.5</v>
      </c>
      <c r="BP54" s="553"/>
      <c r="BQ54" s="254"/>
      <c r="BR54" s="562">
        <v>0</v>
      </c>
      <c r="BS54" s="563">
        <f t="shared" si="116"/>
        <v>0</v>
      </c>
      <c r="BT54" s="553"/>
      <c r="BU54" s="254"/>
      <c r="BV54" s="562">
        <v>0</v>
      </c>
      <c r="BW54" s="563">
        <f t="shared" si="117"/>
        <v>0</v>
      </c>
      <c r="BX54" s="553"/>
      <c r="BY54" s="254"/>
      <c r="BZ54" s="562">
        <v>0</v>
      </c>
      <c r="CA54" s="563">
        <f t="shared" si="118"/>
        <v>0</v>
      </c>
      <c r="CB54" s="553"/>
      <c r="CC54" s="254"/>
      <c r="CD54" s="562">
        <v>0</v>
      </c>
      <c r="CE54" s="563">
        <f t="shared" si="119"/>
        <v>0</v>
      </c>
      <c r="CF54" s="553"/>
      <c r="CG54" s="254"/>
      <c r="CH54" s="562">
        <v>0</v>
      </c>
      <c r="CI54" s="563">
        <f t="shared" si="120"/>
        <v>0</v>
      </c>
      <c r="CJ54" s="553"/>
      <c r="CK54" s="254"/>
      <c r="CL54" s="562">
        <v>0</v>
      </c>
      <c r="CM54" s="563">
        <f t="shared" si="121"/>
        <v>0</v>
      </c>
      <c r="CN54" s="553"/>
      <c r="CO54" s="254"/>
      <c r="CP54" s="562">
        <v>0</v>
      </c>
      <c r="CQ54" s="563">
        <f t="shared" si="122"/>
        <v>0</v>
      </c>
      <c r="CR54" s="553"/>
      <c r="CS54" s="254"/>
      <c r="CT54" s="562">
        <v>0</v>
      </c>
      <c r="CU54" s="563">
        <f t="shared" si="123"/>
        <v>0</v>
      </c>
      <c r="CV54" s="553"/>
      <c r="CW54" s="254"/>
      <c r="CX54" s="562">
        <v>0.5</v>
      </c>
      <c r="CY54" s="563">
        <f t="shared" si="124"/>
        <v>3511.5</v>
      </c>
      <c r="CZ54" s="553"/>
      <c r="DA54" s="254"/>
      <c r="DB54" s="562">
        <v>1</v>
      </c>
      <c r="DC54" s="563">
        <f t="shared" si="125"/>
        <v>7023</v>
      </c>
      <c r="DD54" s="553"/>
      <c r="DE54" s="254"/>
      <c r="DF54" s="562">
        <v>0</v>
      </c>
      <c r="DG54" s="563">
        <f t="shared" si="126"/>
        <v>0</v>
      </c>
      <c r="DH54" s="553"/>
      <c r="DI54" s="254"/>
      <c r="DJ54" s="562">
        <v>0</v>
      </c>
      <c r="DK54" s="563">
        <f t="shared" si="127"/>
        <v>0</v>
      </c>
      <c r="DL54" s="553"/>
      <c r="DM54" s="254"/>
      <c r="DN54" s="562">
        <v>0</v>
      </c>
      <c r="DO54" s="563">
        <f t="shared" si="128"/>
        <v>0</v>
      </c>
      <c r="DP54" s="553"/>
      <c r="DQ54" s="254"/>
      <c r="DR54" s="562">
        <v>0</v>
      </c>
      <c r="DS54" s="563">
        <f t="shared" si="129"/>
        <v>0</v>
      </c>
      <c r="DT54" s="553"/>
      <c r="DU54" s="254"/>
      <c r="DV54" s="562">
        <v>0</v>
      </c>
      <c r="DW54" s="563">
        <f t="shared" si="130"/>
        <v>0</v>
      </c>
      <c r="DX54" s="553"/>
      <c r="DY54" s="254"/>
      <c r="DZ54" s="562">
        <v>0</v>
      </c>
      <c r="EA54" s="563">
        <f t="shared" si="131"/>
        <v>0</v>
      </c>
      <c r="EB54" s="553"/>
      <c r="EC54" s="254"/>
      <c r="ED54" s="562">
        <v>0</v>
      </c>
      <c r="EE54" s="563">
        <f t="shared" si="132"/>
        <v>0</v>
      </c>
      <c r="EF54" s="553"/>
      <c r="EG54" s="254"/>
      <c r="EH54" s="562">
        <v>0</v>
      </c>
      <c r="EI54" s="563">
        <f t="shared" si="133"/>
        <v>0</v>
      </c>
      <c r="EJ54" s="553"/>
      <c r="EK54" s="254"/>
      <c r="EL54" s="562">
        <v>0</v>
      </c>
      <c r="EM54" s="563">
        <f t="shared" si="134"/>
        <v>0</v>
      </c>
      <c r="EN54" s="553"/>
      <c r="EO54" s="254"/>
      <c r="EP54" s="562">
        <v>0</v>
      </c>
      <c r="EQ54" s="563">
        <f t="shared" si="135"/>
        <v>0</v>
      </c>
      <c r="ER54" s="553"/>
      <c r="ES54" s="254"/>
      <c r="ET54" s="562">
        <v>0</v>
      </c>
      <c r="EU54" s="563">
        <f t="shared" si="136"/>
        <v>0</v>
      </c>
      <c r="EV54" s="553"/>
      <c r="EW54" s="254"/>
      <c r="EX54" s="562">
        <v>0</v>
      </c>
      <c r="EY54" s="563">
        <f t="shared" si="137"/>
        <v>0</v>
      </c>
      <c r="EZ54" s="553"/>
      <c r="FA54" s="254"/>
      <c r="FB54" s="562">
        <v>0</v>
      </c>
      <c r="FC54" s="563">
        <f t="shared" si="138"/>
        <v>0</v>
      </c>
      <c r="FD54" s="553"/>
      <c r="FE54" s="254"/>
      <c r="FF54" s="562">
        <v>0</v>
      </c>
      <c r="FG54" s="563">
        <f t="shared" si="139"/>
        <v>0</v>
      </c>
      <c r="FH54" s="553"/>
      <c r="FI54" s="254"/>
      <c r="FJ54" s="562">
        <v>0</v>
      </c>
      <c r="FK54" s="563">
        <f t="shared" si="140"/>
        <v>0</v>
      </c>
      <c r="FL54" s="553"/>
      <c r="FM54" s="254"/>
      <c r="FN54" s="562">
        <v>0</v>
      </c>
      <c r="FO54" s="563">
        <f t="shared" si="141"/>
        <v>0</v>
      </c>
      <c r="FP54" s="553"/>
      <c r="FQ54" s="254"/>
      <c r="FR54" s="562">
        <v>0</v>
      </c>
      <c r="FS54" s="563">
        <f t="shared" si="142"/>
        <v>0</v>
      </c>
      <c r="FT54" s="553"/>
      <c r="FU54" s="254"/>
      <c r="FV54" s="562">
        <v>2.5</v>
      </c>
      <c r="FW54" s="563">
        <f t="shared" si="143"/>
        <v>17557.5</v>
      </c>
      <c r="FX54" s="553"/>
      <c r="FY54" s="254"/>
      <c r="FZ54" s="562">
        <v>0</v>
      </c>
      <c r="GA54" s="563">
        <f t="shared" si="144"/>
        <v>0</v>
      </c>
      <c r="GB54" s="553"/>
      <c r="GC54" s="254"/>
      <c r="GD54" s="562">
        <v>0.5</v>
      </c>
      <c r="GE54" s="563">
        <f t="shared" si="145"/>
        <v>3511.5</v>
      </c>
      <c r="GF54" s="553"/>
      <c r="GG54" s="254"/>
      <c r="GH54" s="562">
        <v>0</v>
      </c>
      <c r="GI54" s="563">
        <f t="shared" si="146"/>
        <v>0</v>
      </c>
      <c r="GJ54" s="553"/>
      <c r="GK54" s="254"/>
      <c r="GL54" s="562">
        <v>0</v>
      </c>
      <c r="GM54" s="563">
        <f t="shared" si="147"/>
        <v>0</v>
      </c>
      <c r="GN54" s="553"/>
      <c r="GO54" s="254"/>
      <c r="GP54" s="562">
        <v>29</v>
      </c>
      <c r="GQ54" s="563">
        <f t="shared" si="148"/>
        <v>203667</v>
      </c>
      <c r="GR54" s="553"/>
      <c r="GS54" s="533"/>
    </row>
    <row r="55" spans="2:201" x14ac:dyDescent="0.2">
      <c r="C55" s="565" t="s">
        <v>14</v>
      </c>
      <c r="D55" s="561">
        <v>251</v>
      </c>
      <c r="E55" s="570">
        <v>835</v>
      </c>
      <c r="F55" s="562">
        <v>0</v>
      </c>
      <c r="G55" s="563">
        <f t="shared" si="100"/>
        <v>0</v>
      </c>
      <c r="H55" s="553"/>
      <c r="I55" s="254"/>
      <c r="J55" s="562">
        <v>72.960000000000008</v>
      </c>
      <c r="K55" s="563">
        <f t="shared" si="101"/>
        <v>60921.599999999999</v>
      </c>
      <c r="L55" s="553"/>
      <c r="M55" s="254"/>
      <c r="N55" s="562">
        <v>208.03</v>
      </c>
      <c r="O55" s="563">
        <f t="shared" si="102"/>
        <v>173705.05</v>
      </c>
      <c r="P55" s="553"/>
      <c r="Q55" s="254"/>
      <c r="R55" s="562">
        <v>0</v>
      </c>
      <c r="S55" s="563">
        <f t="shared" si="103"/>
        <v>0</v>
      </c>
      <c r="T55" s="553"/>
      <c r="U55" s="254"/>
      <c r="V55" s="562">
        <v>0</v>
      </c>
      <c r="W55" s="563">
        <f t="shared" si="104"/>
        <v>0</v>
      </c>
      <c r="X55" s="553"/>
      <c r="Y55" s="254"/>
      <c r="Z55" s="562"/>
      <c r="AA55" s="563">
        <f t="shared" si="105"/>
        <v>0</v>
      </c>
      <c r="AB55" s="553"/>
      <c r="AC55" s="254"/>
      <c r="AD55" s="562">
        <v>0</v>
      </c>
      <c r="AE55" s="563">
        <f t="shared" si="106"/>
        <v>0</v>
      </c>
      <c r="AF55" s="553"/>
      <c r="AG55" s="254"/>
      <c r="AH55" s="562">
        <v>0</v>
      </c>
      <c r="AI55" s="563">
        <f t="shared" si="107"/>
        <v>0</v>
      </c>
      <c r="AJ55" s="553"/>
      <c r="AK55" s="254"/>
      <c r="AL55" s="562">
        <v>0</v>
      </c>
      <c r="AM55" s="563">
        <f t="shared" si="108"/>
        <v>0</v>
      </c>
      <c r="AN55" s="553"/>
      <c r="AO55" s="254"/>
      <c r="AP55" s="562">
        <v>0</v>
      </c>
      <c r="AQ55" s="563">
        <f t="shared" si="109"/>
        <v>0</v>
      </c>
      <c r="AR55" s="553"/>
      <c r="AS55" s="254"/>
      <c r="AT55" s="562">
        <v>0</v>
      </c>
      <c r="AU55" s="563">
        <f t="shared" si="110"/>
        <v>0</v>
      </c>
      <c r="AV55" s="553"/>
      <c r="AW55" s="254"/>
      <c r="AX55" s="562">
        <v>0</v>
      </c>
      <c r="AY55" s="563">
        <f t="shared" si="111"/>
        <v>0</v>
      </c>
      <c r="AZ55" s="553"/>
      <c r="BA55" s="254"/>
      <c r="BB55" s="562">
        <v>0</v>
      </c>
      <c r="BC55" s="563">
        <f t="shared" si="112"/>
        <v>0</v>
      </c>
      <c r="BD55" s="553"/>
      <c r="BE55" s="254"/>
      <c r="BF55" s="562">
        <v>0</v>
      </c>
      <c r="BG55" s="563">
        <f t="shared" si="113"/>
        <v>0</v>
      </c>
      <c r="BH55" s="553"/>
      <c r="BI55" s="254"/>
      <c r="BJ55" s="562">
        <v>0</v>
      </c>
      <c r="BK55" s="563">
        <f t="shared" si="114"/>
        <v>0</v>
      </c>
      <c r="BL55" s="553"/>
      <c r="BM55" s="254"/>
      <c r="BN55" s="562">
        <v>0</v>
      </c>
      <c r="BO55" s="563">
        <f t="shared" si="115"/>
        <v>0</v>
      </c>
      <c r="BP55" s="553"/>
      <c r="BQ55" s="254"/>
      <c r="BR55" s="562">
        <v>80.400000000000006</v>
      </c>
      <c r="BS55" s="563">
        <f t="shared" si="116"/>
        <v>67134</v>
      </c>
      <c r="BT55" s="553"/>
      <c r="BU55" s="254"/>
      <c r="BV55" s="562">
        <v>26.4</v>
      </c>
      <c r="BW55" s="563">
        <f t="shared" si="117"/>
        <v>22044</v>
      </c>
      <c r="BX55" s="553"/>
      <c r="BY55" s="254"/>
      <c r="BZ55" s="562">
        <v>0</v>
      </c>
      <c r="CA55" s="563">
        <f t="shared" si="118"/>
        <v>0</v>
      </c>
      <c r="CB55" s="553"/>
      <c r="CC55" s="254"/>
      <c r="CD55" s="562">
        <v>49.79</v>
      </c>
      <c r="CE55" s="563">
        <f t="shared" si="119"/>
        <v>41574.65</v>
      </c>
      <c r="CF55" s="553"/>
      <c r="CG55" s="254"/>
      <c r="CH55" s="562">
        <v>0</v>
      </c>
      <c r="CI55" s="563">
        <f t="shared" si="120"/>
        <v>0</v>
      </c>
      <c r="CJ55" s="553"/>
      <c r="CK55" s="254"/>
      <c r="CL55" s="562">
        <v>38.97</v>
      </c>
      <c r="CM55" s="563">
        <f t="shared" si="121"/>
        <v>32539.95</v>
      </c>
      <c r="CN55" s="553"/>
      <c r="CO55" s="254"/>
      <c r="CP55" s="562">
        <v>0</v>
      </c>
      <c r="CQ55" s="563">
        <f t="shared" si="122"/>
        <v>0</v>
      </c>
      <c r="CR55" s="553"/>
      <c r="CS55" s="254"/>
      <c r="CT55" s="562">
        <v>0</v>
      </c>
      <c r="CU55" s="563">
        <f t="shared" si="123"/>
        <v>0</v>
      </c>
      <c r="CV55" s="553"/>
      <c r="CW55" s="254"/>
      <c r="CX55" s="562">
        <v>31.93</v>
      </c>
      <c r="CY55" s="563">
        <f t="shared" si="124"/>
        <v>26661.55</v>
      </c>
      <c r="CZ55" s="553"/>
      <c r="DA55" s="254"/>
      <c r="DB55" s="562">
        <v>0</v>
      </c>
      <c r="DC55" s="563">
        <f t="shared" si="125"/>
        <v>0</v>
      </c>
      <c r="DD55" s="553"/>
      <c r="DE55" s="254"/>
      <c r="DF55" s="562">
        <v>0</v>
      </c>
      <c r="DG55" s="563">
        <f t="shared" si="126"/>
        <v>0</v>
      </c>
      <c r="DH55" s="553"/>
      <c r="DI55" s="254"/>
      <c r="DJ55" s="562">
        <v>109.77000000000001</v>
      </c>
      <c r="DK55" s="563">
        <f t="shared" si="127"/>
        <v>91657.95</v>
      </c>
      <c r="DL55" s="553"/>
      <c r="DM55" s="254"/>
      <c r="DN55" s="562">
        <v>0</v>
      </c>
      <c r="DO55" s="563">
        <f t="shared" si="128"/>
        <v>0</v>
      </c>
      <c r="DP55" s="553"/>
      <c r="DQ55" s="254"/>
      <c r="DR55" s="562">
        <v>0</v>
      </c>
      <c r="DS55" s="563">
        <f t="shared" si="129"/>
        <v>0</v>
      </c>
      <c r="DT55" s="553"/>
      <c r="DU55" s="254"/>
      <c r="DV55" s="562">
        <v>0</v>
      </c>
      <c r="DW55" s="563">
        <f t="shared" si="130"/>
        <v>0</v>
      </c>
      <c r="DX55" s="553"/>
      <c r="DY55" s="254"/>
      <c r="DZ55" s="562">
        <v>79.680000000000007</v>
      </c>
      <c r="EA55" s="563">
        <f t="shared" si="131"/>
        <v>66532.800000000003</v>
      </c>
      <c r="EB55" s="553"/>
      <c r="EC55" s="254"/>
      <c r="ED55" s="562">
        <v>0</v>
      </c>
      <c r="EE55" s="563">
        <f t="shared" si="132"/>
        <v>0</v>
      </c>
      <c r="EF55" s="553"/>
      <c r="EG55" s="254"/>
      <c r="EH55" s="562">
        <v>0</v>
      </c>
      <c r="EI55" s="563">
        <f t="shared" si="133"/>
        <v>0</v>
      </c>
      <c r="EJ55" s="553"/>
      <c r="EK55" s="254"/>
      <c r="EL55" s="562">
        <v>0</v>
      </c>
      <c r="EM55" s="563">
        <f t="shared" si="134"/>
        <v>0</v>
      </c>
      <c r="EN55" s="553"/>
      <c r="EO55" s="254"/>
      <c r="EP55" s="562">
        <v>0</v>
      </c>
      <c r="EQ55" s="563">
        <f t="shared" si="135"/>
        <v>0</v>
      </c>
      <c r="ER55" s="553"/>
      <c r="ES55" s="254"/>
      <c r="ET55" s="562">
        <v>0</v>
      </c>
      <c r="EU55" s="563">
        <f t="shared" si="136"/>
        <v>0</v>
      </c>
      <c r="EV55" s="553"/>
      <c r="EW55" s="254"/>
      <c r="EX55" s="562">
        <v>0</v>
      </c>
      <c r="EY55" s="563">
        <f t="shared" si="137"/>
        <v>0</v>
      </c>
      <c r="EZ55" s="553"/>
      <c r="FA55" s="254"/>
      <c r="FB55" s="562">
        <v>0</v>
      </c>
      <c r="FC55" s="563">
        <f t="shared" si="138"/>
        <v>0</v>
      </c>
      <c r="FD55" s="553"/>
      <c r="FE55" s="254"/>
      <c r="FF55" s="562">
        <v>0</v>
      </c>
      <c r="FG55" s="563">
        <f t="shared" si="139"/>
        <v>0</v>
      </c>
      <c r="FH55" s="553"/>
      <c r="FI55" s="254"/>
      <c r="FJ55" s="562">
        <v>27.65</v>
      </c>
      <c r="FK55" s="563">
        <f t="shared" si="140"/>
        <v>23087.75</v>
      </c>
      <c r="FL55" s="553"/>
      <c r="FM55" s="254"/>
      <c r="FN55" s="562">
        <v>0</v>
      </c>
      <c r="FO55" s="563">
        <f t="shared" si="141"/>
        <v>0</v>
      </c>
      <c r="FP55" s="553"/>
      <c r="FQ55" s="254"/>
      <c r="FR55" s="562">
        <v>0</v>
      </c>
      <c r="FS55" s="563">
        <f t="shared" si="142"/>
        <v>0</v>
      </c>
      <c r="FT55" s="553"/>
      <c r="FU55" s="254"/>
      <c r="FV55" s="562">
        <v>0</v>
      </c>
      <c r="FW55" s="563">
        <f t="shared" si="143"/>
        <v>0</v>
      </c>
      <c r="FX55" s="553"/>
      <c r="FY55" s="254"/>
      <c r="FZ55" s="562">
        <v>0</v>
      </c>
      <c r="GA55" s="563">
        <f t="shared" si="144"/>
        <v>0</v>
      </c>
      <c r="GB55" s="553"/>
      <c r="GC55" s="254"/>
      <c r="GD55" s="562">
        <v>32.54</v>
      </c>
      <c r="GE55" s="563">
        <f t="shared" si="145"/>
        <v>27170.9</v>
      </c>
      <c r="GF55" s="553"/>
      <c r="GG55" s="254"/>
      <c r="GH55" s="562">
        <v>46.55</v>
      </c>
      <c r="GI55" s="563">
        <f t="shared" si="146"/>
        <v>38869.25</v>
      </c>
      <c r="GJ55" s="553"/>
      <c r="GK55" s="254"/>
      <c r="GL55" s="562">
        <v>2</v>
      </c>
      <c r="GM55" s="563">
        <f t="shared" si="147"/>
        <v>1670</v>
      </c>
      <c r="GN55" s="553"/>
      <c r="GO55" s="254"/>
      <c r="GP55" s="562">
        <v>806.67</v>
      </c>
      <c r="GQ55" s="563">
        <f t="shared" si="148"/>
        <v>673569.45</v>
      </c>
      <c r="GR55" s="553"/>
      <c r="GS55" s="533"/>
    </row>
    <row r="56" spans="2:201" x14ac:dyDescent="0.2">
      <c r="C56" s="560" t="s">
        <v>14</v>
      </c>
      <c r="D56" s="561">
        <v>252</v>
      </c>
      <c r="E56" s="569">
        <v>3168</v>
      </c>
      <c r="F56" s="562">
        <v>0</v>
      </c>
      <c r="G56" s="563">
        <f t="shared" si="100"/>
        <v>0</v>
      </c>
      <c r="H56" s="553"/>
      <c r="I56" s="254"/>
      <c r="J56" s="562">
        <v>1.9100000000000001</v>
      </c>
      <c r="K56" s="563">
        <f t="shared" si="101"/>
        <v>6050.88</v>
      </c>
      <c r="L56" s="553"/>
      <c r="M56" s="254"/>
      <c r="N56" s="562">
        <v>13.41</v>
      </c>
      <c r="O56" s="563">
        <f t="shared" si="102"/>
        <v>42482.879999999997</v>
      </c>
      <c r="P56" s="553"/>
      <c r="Q56" s="254"/>
      <c r="R56" s="562">
        <v>1.91</v>
      </c>
      <c r="S56" s="563">
        <f t="shared" si="103"/>
        <v>6050.88</v>
      </c>
      <c r="T56" s="553"/>
      <c r="U56" s="254"/>
      <c r="V56" s="562">
        <v>0</v>
      </c>
      <c r="W56" s="563">
        <f t="shared" si="104"/>
        <v>0</v>
      </c>
      <c r="X56" s="553"/>
      <c r="Y56" s="254"/>
      <c r="Z56" s="562"/>
      <c r="AA56" s="563">
        <f t="shared" si="105"/>
        <v>0</v>
      </c>
      <c r="AB56" s="553"/>
      <c r="AC56" s="254"/>
      <c r="AD56" s="562">
        <v>0</v>
      </c>
      <c r="AE56" s="563">
        <f t="shared" si="106"/>
        <v>0</v>
      </c>
      <c r="AF56" s="553"/>
      <c r="AG56" s="254"/>
      <c r="AH56" s="562">
        <v>0</v>
      </c>
      <c r="AI56" s="563">
        <f t="shared" si="107"/>
        <v>0</v>
      </c>
      <c r="AJ56" s="553"/>
      <c r="AK56" s="254"/>
      <c r="AL56" s="562">
        <v>1.9100000000000001</v>
      </c>
      <c r="AM56" s="563">
        <f t="shared" si="108"/>
        <v>6050.88</v>
      </c>
      <c r="AN56" s="553"/>
      <c r="AO56" s="254"/>
      <c r="AP56" s="562">
        <v>0</v>
      </c>
      <c r="AQ56" s="563">
        <f t="shared" si="109"/>
        <v>0</v>
      </c>
      <c r="AR56" s="553"/>
      <c r="AS56" s="254"/>
      <c r="AT56" s="562">
        <v>5.5</v>
      </c>
      <c r="AU56" s="563">
        <f t="shared" si="110"/>
        <v>17424</v>
      </c>
      <c r="AV56" s="553"/>
      <c r="AW56" s="254"/>
      <c r="AX56" s="562">
        <v>0</v>
      </c>
      <c r="AY56" s="563">
        <f t="shared" si="111"/>
        <v>0</v>
      </c>
      <c r="AZ56" s="553"/>
      <c r="BA56" s="254"/>
      <c r="BB56" s="562">
        <v>0</v>
      </c>
      <c r="BC56" s="563">
        <f t="shared" si="112"/>
        <v>0</v>
      </c>
      <c r="BD56" s="553"/>
      <c r="BE56" s="254"/>
      <c r="BF56" s="562">
        <v>2.41</v>
      </c>
      <c r="BG56" s="563">
        <f t="shared" si="113"/>
        <v>7634.88</v>
      </c>
      <c r="BH56" s="553"/>
      <c r="BI56" s="254"/>
      <c r="BJ56" s="562">
        <v>0</v>
      </c>
      <c r="BK56" s="563">
        <f t="shared" si="114"/>
        <v>0</v>
      </c>
      <c r="BL56" s="553"/>
      <c r="BM56" s="254"/>
      <c r="BN56" s="562">
        <v>0</v>
      </c>
      <c r="BO56" s="563">
        <f t="shared" si="115"/>
        <v>0</v>
      </c>
      <c r="BP56" s="553"/>
      <c r="BQ56" s="254"/>
      <c r="BR56" s="562">
        <v>3.5</v>
      </c>
      <c r="BS56" s="563">
        <f t="shared" si="116"/>
        <v>11088</v>
      </c>
      <c r="BT56" s="553"/>
      <c r="BU56" s="254"/>
      <c r="BV56" s="562">
        <v>0</v>
      </c>
      <c r="BW56" s="563">
        <f t="shared" si="117"/>
        <v>0</v>
      </c>
      <c r="BX56" s="553"/>
      <c r="BY56" s="254"/>
      <c r="BZ56" s="562">
        <v>51.6</v>
      </c>
      <c r="CA56" s="563">
        <f t="shared" si="118"/>
        <v>163468.79999999999</v>
      </c>
      <c r="CB56" s="553"/>
      <c r="CC56" s="254"/>
      <c r="CD56" s="562">
        <v>2.91</v>
      </c>
      <c r="CE56" s="563">
        <f t="shared" si="119"/>
        <v>9218.8799999999992</v>
      </c>
      <c r="CF56" s="553"/>
      <c r="CG56" s="254"/>
      <c r="CH56" s="562">
        <v>0</v>
      </c>
      <c r="CI56" s="563">
        <f t="shared" si="120"/>
        <v>0</v>
      </c>
      <c r="CJ56" s="553"/>
      <c r="CK56" s="254"/>
      <c r="CL56" s="562">
        <v>3.92</v>
      </c>
      <c r="CM56" s="563">
        <f t="shared" si="121"/>
        <v>12418.56</v>
      </c>
      <c r="CN56" s="553"/>
      <c r="CO56" s="254"/>
      <c r="CP56" s="562">
        <v>0</v>
      </c>
      <c r="CQ56" s="563">
        <f t="shared" si="122"/>
        <v>0</v>
      </c>
      <c r="CR56" s="553"/>
      <c r="CS56" s="254"/>
      <c r="CT56" s="562">
        <v>0</v>
      </c>
      <c r="CU56" s="563">
        <f t="shared" si="123"/>
        <v>0</v>
      </c>
      <c r="CV56" s="553"/>
      <c r="CW56" s="254"/>
      <c r="CX56" s="562">
        <v>2.0099999999999998</v>
      </c>
      <c r="CY56" s="563">
        <f t="shared" si="124"/>
        <v>6367.68</v>
      </c>
      <c r="CZ56" s="553"/>
      <c r="DA56" s="254"/>
      <c r="DB56" s="562">
        <v>0</v>
      </c>
      <c r="DC56" s="563">
        <f t="shared" si="125"/>
        <v>0</v>
      </c>
      <c r="DD56" s="553"/>
      <c r="DE56" s="254"/>
      <c r="DF56" s="562">
        <v>0</v>
      </c>
      <c r="DG56" s="563">
        <f t="shared" si="126"/>
        <v>0</v>
      </c>
      <c r="DH56" s="553"/>
      <c r="DI56" s="254"/>
      <c r="DJ56" s="562">
        <v>1.3</v>
      </c>
      <c r="DK56" s="563">
        <f t="shared" si="127"/>
        <v>4118.3999999999996</v>
      </c>
      <c r="DL56" s="553"/>
      <c r="DM56" s="254"/>
      <c r="DN56" s="562">
        <v>0</v>
      </c>
      <c r="DO56" s="563">
        <f t="shared" si="128"/>
        <v>0</v>
      </c>
      <c r="DP56" s="553"/>
      <c r="DQ56" s="254"/>
      <c r="DR56" s="562">
        <v>0</v>
      </c>
      <c r="DS56" s="563">
        <f t="shared" si="129"/>
        <v>0</v>
      </c>
      <c r="DT56" s="553"/>
      <c r="DU56" s="254"/>
      <c r="DV56" s="562">
        <v>0</v>
      </c>
      <c r="DW56" s="563">
        <f t="shared" si="130"/>
        <v>0</v>
      </c>
      <c r="DX56" s="553"/>
      <c r="DY56" s="254"/>
      <c r="DZ56" s="562">
        <v>0.9</v>
      </c>
      <c r="EA56" s="563">
        <f t="shared" si="131"/>
        <v>2851.2</v>
      </c>
      <c r="EB56" s="553"/>
      <c r="EC56" s="254"/>
      <c r="ED56" s="562">
        <v>0</v>
      </c>
      <c r="EE56" s="563">
        <f t="shared" si="132"/>
        <v>0</v>
      </c>
      <c r="EF56" s="553"/>
      <c r="EG56" s="254"/>
      <c r="EH56" s="562">
        <v>0</v>
      </c>
      <c r="EI56" s="563">
        <f t="shared" si="133"/>
        <v>0</v>
      </c>
      <c r="EJ56" s="553"/>
      <c r="EK56" s="254"/>
      <c r="EL56" s="562">
        <v>0</v>
      </c>
      <c r="EM56" s="563">
        <f t="shared" si="134"/>
        <v>0</v>
      </c>
      <c r="EN56" s="553"/>
      <c r="EO56" s="254"/>
      <c r="EP56" s="562">
        <v>0</v>
      </c>
      <c r="EQ56" s="563">
        <f t="shared" si="135"/>
        <v>0</v>
      </c>
      <c r="ER56" s="553"/>
      <c r="ES56" s="254"/>
      <c r="ET56" s="562">
        <v>0</v>
      </c>
      <c r="EU56" s="563">
        <f t="shared" si="136"/>
        <v>0</v>
      </c>
      <c r="EV56" s="553"/>
      <c r="EW56" s="254"/>
      <c r="EX56" s="562">
        <v>0</v>
      </c>
      <c r="EY56" s="563">
        <f t="shared" si="137"/>
        <v>0</v>
      </c>
      <c r="EZ56" s="553"/>
      <c r="FA56" s="254"/>
      <c r="FB56" s="562">
        <v>0</v>
      </c>
      <c r="FC56" s="563">
        <f t="shared" si="138"/>
        <v>0</v>
      </c>
      <c r="FD56" s="553"/>
      <c r="FE56" s="254"/>
      <c r="FF56" s="562">
        <v>0</v>
      </c>
      <c r="FG56" s="563">
        <f t="shared" si="139"/>
        <v>0</v>
      </c>
      <c r="FH56" s="553"/>
      <c r="FI56" s="254"/>
      <c r="FJ56" s="562">
        <v>2</v>
      </c>
      <c r="FK56" s="563">
        <f t="shared" si="140"/>
        <v>6336</v>
      </c>
      <c r="FL56" s="553"/>
      <c r="FM56" s="254"/>
      <c r="FN56" s="562">
        <v>0</v>
      </c>
      <c r="FO56" s="563">
        <f t="shared" si="141"/>
        <v>0</v>
      </c>
      <c r="FP56" s="553"/>
      <c r="FQ56" s="254"/>
      <c r="FR56" s="562">
        <v>0</v>
      </c>
      <c r="FS56" s="563">
        <f t="shared" si="142"/>
        <v>0</v>
      </c>
      <c r="FT56" s="553"/>
      <c r="FU56" s="254"/>
      <c r="FV56" s="562">
        <v>0</v>
      </c>
      <c r="FW56" s="563">
        <f t="shared" si="143"/>
        <v>0</v>
      </c>
      <c r="FX56" s="553"/>
      <c r="FY56" s="254"/>
      <c r="FZ56" s="562">
        <v>0</v>
      </c>
      <c r="GA56" s="563">
        <f t="shared" si="144"/>
        <v>0</v>
      </c>
      <c r="GB56" s="553"/>
      <c r="GC56" s="254"/>
      <c r="GD56" s="562">
        <v>4</v>
      </c>
      <c r="GE56" s="563">
        <f t="shared" si="145"/>
        <v>12672</v>
      </c>
      <c r="GF56" s="553"/>
      <c r="GG56" s="254"/>
      <c r="GH56" s="562">
        <v>2.5</v>
      </c>
      <c r="GI56" s="563">
        <f t="shared" si="146"/>
        <v>7920</v>
      </c>
      <c r="GJ56" s="553"/>
      <c r="GK56" s="254"/>
      <c r="GL56" s="562">
        <v>2</v>
      </c>
      <c r="GM56" s="563">
        <f t="shared" si="147"/>
        <v>6336</v>
      </c>
      <c r="GN56" s="553"/>
      <c r="GO56" s="254"/>
      <c r="GP56" s="562">
        <v>103.69000000000001</v>
      </c>
      <c r="GQ56" s="563">
        <f t="shared" si="148"/>
        <v>328489.92</v>
      </c>
      <c r="GR56" s="553"/>
      <c r="GS56" s="533"/>
    </row>
    <row r="57" spans="2:201" x14ac:dyDescent="0.2">
      <c r="C57" s="560" t="s">
        <v>14</v>
      </c>
      <c r="D57" s="561">
        <v>253</v>
      </c>
      <c r="E57" s="569">
        <v>6685</v>
      </c>
      <c r="F57" s="566">
        <v>0</v>
      </c>
      <c r="G57" s="567">
        <f t="shared" si="100"/>
        <v>0</v>
      </c>
      <c r="H57" s="553"/>
      <c r="I57" s="254"/>
      <c r="J57" s="566">
        <v>0</v>
      </c>
      <c r="K57" s="567">
        <f t="shared" si="101"/>
        <v>0</v>
      </c>
      <c r="L57" s="553"/>
      <c r="M57" s="254"/>
      <c r="N57" s="566">
        <v>0</v>
      </c>
      <c r="O57" s="567">
        <f t="shared" si="102"/>
        <v>0</v>
      </c>
      <c r="P57" s="553"/>
      <c r="Q57" s="254"/>
      <c r="R57" s="566">
        <v>43.53</v>
      </c>
      <c r="S57" s="567">
        <f t="shared" si="103"/>
        <v>290998.05</v>
      </c>
      <c r="T57" s="553"/>
      <c r="U57" s="254"/>
      <c r="V57" s="566">
        <v>0</v>
      </c>
      <c r="W57" s="567">
        <f t="shared" si="104"/>
        <v>0</v>
      </c>
      <c r="X57" s="553"/>
      <c r="Y57" s="254"/>
      <c r="Z57" s="566"/>
      <c r="AA57" s="567">
        <f t="shared" si="105"/>
        <v>0</v>
      </c>
      <c r="AB57" s="553"/>
      <c r="AC57" s="254"/>
      <c r="AD57" s="566">
        <v>0</v>
      </c>
      <c r="AE57" s="567">
        <f t="shared" si="106"/>
        <v>0</v>
      </c>
      <c r="AF57" s="553"/>
      <c r="AG57" s="254"/>
      <c r="AH57" s="566">
        <v>0</v>
      </c>
      <c r="AI57" s="567">
        <f t="shared" si="107"/>
        <v>0</v>
      </c>
      <c r="AJ57" s="553"/>
      <c r="AK57" s="254"/>
      <c r="AL57" s="566">
        <v>44.91</v>
      </c>
      <c r="AM57" s="567">
        <f t="shared" si="108"/>
        <v>300223.34999999998</v>
      </c>
      <c r="AN57" s="553"/>
      <c r="AO57" s="254"/>
      <c r="AP57" s="566">
        <v>10.5</v>
      </c>
      <c r="AQ57" s="567">
        <f t="shared" si="109"/>
        <v>70192.5</v>
      </c>
      <c r="AR57" s="553"/>
      <c r="AS57" s="254"/>
      <c r="AT57" s="566">
        <v>43.94</v>
      </c>
      <c r="AU57" s="567">
        <f t="shared" si="110"/>
        <v>293738.90000000002</v>
      </c>
      <c r="AV57" s="553"/>
      <c r="AW57" s="254"/>
      <c r="AX57" s="566">
        <v>0</v>
      </c>
      <c r="AY57" s="567">
        <f t="shared" si="111"/>
        <v>0</v>
      </c>
      <c r="AZ57" s="553"/>
      <c r="BA57" s="254"/>
      <c r="BB57" s="566">
        <v>0</v>
      </c>
      <c r="BC57" s="567">
        <f t="shared" si="112"/>
        <v>0</v>
      </c>
      <c r="BD57" s="553"/>
      <c r="BE57" s="254"/>
      <c r="BF57" s="566">
        <v>27.55</v>
      </c>
      <c r="BG57" s="567">
        <f t="shared" si="113"/>
        <v>184171.75</v>
      </c>
      <c r="BH57" s="553"/>
      <c r="BI57" s="254"/>
      <c r="BJ57" s="566">
        <v>0</v>
      </c>
      <c r="BK57" s="567">
        <f t="shared" si="114"/>
        <v>0</v>
      </c>
      <c r="BL57" s="553"/>
      <c r="BM57" s="254"/>
      <c r="BN57" s="566">
        <v>0</v>
      </c>
      <c r="BO57" s="567">
        <f t="shared" si="115"/>
        <v>0</v>
      </c>
      <c r="BP57" s="553"/>
      <c r="BQ57" s="254"/>
      <c r="BR57" s="566">
        <v>0</v>
      </c>
      <c r="BS57" s="567">
        <f t="shared" si="116"/>
        <v>0</v>
      </c>
      <c r="BT57" s="553"/>
      <c r="BU57" s="254"/>
      <c r="BV57" s="566">
        <v>0</v>
      </c>
      <c r="BW57" s="567">
        <f t="shared" si="117"/>
        <v>0</v>
      </c>
      <c r="BX57" s="553"/>
      <c r="BY57" s="254"/>
      <c r="BZ57" s="566">
        <v>43.77</v>
      </c>
      <c r="CA57" s="567">
        <f t="shared" si="118"/>
        <v>292602.45</v>
      </c>
      <c r="CB57" s="553"/>
      <c r="CC57" s="254"/>
      <c r="CD57" s="566">
        <v>0.5</v>
      </c>
      <c r="CE57" s="567">
        <f t="shared" si="119"/>
        <v>3342.5</v>
      </c>
      <c r="CF57" s="553"/>
      <c r="CG57" s="254"/>
      <c r="CH57" s="566">
        <v>0</v>
      </c>
      <c r="CI57" s="567">
        <f t="shared" si="120"/>
        <v>0</v>
      </c>
      <c r="CJ57" s="553"/>
      <c r="CK57" s="254"/>
      <c r="CL57" s="566">
        <v>0</v>
      </c>
      <c r="CM57" s="567">
        <f t="shared" si="121"/>
        <v>0</v>
      </c>
      <c r="CN57" s="553"/>
      <c r="CO57" s="254"/>
      <c r="CP57" s="566">
        <v>0</v>
      </c>
      <c r="CQ57" s="567">
        <f t="shared" si="122"/>
        <v>0</v>
      </c>
      <c r="CR57" s="553"/>
      <c r="CS57" s="254"/>
      <c r="CT57" s="566">
        <v>0</v>
      </c>
      <c r="CU57" s="567">
        <f t="shared" si="123"/>
        <v>0</v>
      </c>
      <c r="CV57" s="553"/>
      <c r="CW57" s="254"/>
      <c r="CX57" s="566">
        <v>0</v>
      </c>
      <c r="CY57" s="567">
        <f t="shared" si="124"/>
        <v>0</v>
      </c>
      <c r="CZ57" s="553"/>
      <c r="DA57" s="254"/>
      <c r="DB57" s="566">
        <v>0</v>
      </c>
      <c r="DC57" s="567">
        <f t="shared" si="125"/>
        <v>0</v>
      </c>
      <c r="DD57" s="553"/>
      <c r="DE57" s="254"/>
      <c r="DF57" s="566">
        <v>0</v>
      </c>
      <c r="DG57" s="567">
        <f t="shared" si="126"/>
        <v>0</v>
      </c>
      <c r="DH57" s="553"/>
      <c r="DI57" s="254"/>
      <c r="DJ57" s="566">
        <v>0</v>
      </c>
      <c r="DK57" s="567">
        <f t="shared" si="127"/>
        <v>0</v>
      </c>
      <c r="DL57" s="553"/>
      <c r="DM57" s="254"/>
      <c r="DN57" s="566">
        <v>0</v>
      </c>
      <c r="DO57" s="567">
        <f t="shared" si="128"/>
        <v>0</v>
      </c>
      <c r="DP57" s="553"/>
      <c r="DQ57" s="254"/>
      <c r="DR57" s="566">
        <v>0</v>
      </c>
      <c r="DS57" s="567">
        <f t="shared" si="129"/>
        <v>0</v>
      </c>
      <c r="DT57" s="553"/>
      <c r="DU57" s="254"/>
      <c r="DV57" s="566">
        <v>0</v>
      </c>
      <c r="DW57" s="567">
        <f t="shared" si="130"/>
        <v>0</v>
      </c>
      <c r="DX57" s="553"/>
      <c r="DY57" s="254"/>
      <c r="DZ57" s="566">
        <v>0</v>
      </c>
      <c r="EA57" s="567">
        <f t="shared" si="131"/>
        <v>0</v>
      </c>
      <c r="EB57" s="553"/>
      <c r="EC57" s="254"/>
      <c r="ED57" s="566">
        <v>0</v>
      </c>
      <c r="EE57" s="567">
        <f t="shared" si="132"/>
        <v>0</v>
      </c>
      <c r="EF57" s="553"/>
      <c r="EG57" s="254"/>
      <c r="EH57" s="566">
        <v>0</v>
      </c>
      <c r="EI57" s="567">
        <f t="shared" si="133"/>
        <v>0</v>
      </c>
      <c r="EJ57" s="553"/>
      <c r="EK57" s="254"/>
      <c r="EL57" s="566">
        <v>0</v>
      </c>
      <c r="EM57" s="567">
        <f t="shared" si="134"/>
        <v>0</v>
      </c>
      <c r="EN57" s="553"/>
      <c r="EO57" s="254"/>
      <c r="EP57" s="566">
        <v>0</v>
      </c>
      <c r="EQ57" s="567">
        <f t="shared" si="135"/>
        <v>0</v>
      </c>
      <c r="ER57" s="553"/>
      <c r="ES57" s="254"/>
      <c r="ET57" s="566">
        <v>0</v>
      </c>
      <c r="EU57" s="567">
        <f t="shared" si="136"/>
        <v>0</v>
      </c>
      <c r="EV57" s="553"/>
      <c r="EW57" s="254"/>
      <c r="EX57" s="566">
        <v>0</v>
      </c>
      <c r="EY57" s="567">
        <f t="shared" si="137"/>
        <v>0</v>
      </c>
      <c r="EZ57" s="553"/>
      <c r="FA57" s="254"/>
      <c r="FB57" s="566">
        <v>0</v>
      </c>
      <c r="FC57" s="567">
        <f t="shared" si="138"/>
        <v>0</v>
      </c>
      <c r="FD57" s="553"/>
      <c r="FE57" s="254"/>
      <c r="FF57" s="566">
        <v>0</v>
      </c>
      <c r="FG57" s="567">
        <f t="shared" si="139"/>
        <v>0</v>
      </c>
      <c r="FH57" s="553"/>
      <c r="FI57" s="254"/>
      <c r="FJ57" s="566">
        <v>0</v>
      </c>
      <c r="FK57" s="567">
        <f t="shared" si="140"/>
        <v>0</v>
      </c>
      <c r="FL57" s="553"/>
      <c r="FM57" s="254"/>
      <c r="FN57" s="566">
        <v>0</v>
      </c>
      <c r="FO57" s="567">
        <f t="shared" si="141"/>
        <v>0</v>
      </c>
      <c r="FP57" s="553"/>
      <c r="FQ57" s="254"/>
      <c r="FR57" s="566">
        <v>0</v>
      </c>
      <c r="FS57" s="567">
        <f t="shared" si="142"/>
        <v>0</v>
      </c>
      <c r="FT57" s="553"/>
      <c r="FU57" s="254"/>
      <c r="FV57" s="566">
        <v>0</v>
      </c>
      <c r="FW57" s="567">
        <f t="shared" si="143"/>
        <v>0</v>
      </c>
      <c r="FX57" s="553"/>
      <c r="FY57" s="254"/>
      <c r="FZ57" s="566">
        <v>0</v>
      </c>
      <c r="GA57" s="567">
        <f t="shared" si="144"/>
        <v>0</v>
      </c>
      <c r="GB57" s="553"/>
      <c r="GC57" s="254"/>
      <c r="GD57" s="566">
        <v>0</v>
      </c>
      <c r="GE57" s="567">
        <f t="shared" si="145"/>
        <v>0</v>
      </c>
      <c r="GF57" s="553"/>
      <c r="GG57" s="254"/>
      <c r="GH57" s="566">
        <v>0</v>
      </c>
      <c r="GI57" s="567">
        <f t="shared" si="146"/>
        <v>0</v>
      </c>
      <c r="GJ57" s="553"/>
      <c r="GK57" s="254"/>
      <c r="GL57" s="566">
        <v>0</v>
      </c>
      <c r="GM57" s="567">
        <f t="shared" si="147"/>
        <v>0</v>
      </c>
      <c r="GN57" s="553"/>
      <c r="GO57" s="254"/>
      <c r="GP57" s="566">
        <v>214.70000000000002</v>
      </c>
      <c r="GQ57" s="567">
        <f t="shared" si="148"/>
        <v>1435269.5</v>
      </c>
      <c r="GR57" s="553"/>
      <c r="GS57" s="533"/>
    </row>
    <row r="58" spans="2:201" x14ac:dyDescent="0.2">
      <c r="B58" s="224"/>
      <c r="C58" s="224"/>
      <c r="D58" s="224"/>
      <c r="E58" s="568" t="s">
        <v>645</v>
      </c>
      <c r="F58" s="525">
        <f>SUM(F49:F57)</f>
        <v>11.48</v>
      </c>
      <c r="G58" s="555">
        <f>SUM(G49:G57)</f>
        <v>14795.92</v>
      </c>
      <c r="H58" s="553">
        <f>ROUND(F58*1951.26,2)</f>
        <v>22400.46</v>
      </c>
      <c r="I58" s="254"/>
      <c r="J58" s="525">
        <f>SUM(J49:J57)</f>
        <v>74.87</v>
      </c>
      <c r="K58" s="555">
        <f>SUM(K49:K57)</f>
        <v>66972.479999999996</v>
      </c>
      <c r="L58" s="553">
        <f>ROUND(J58*1951.26,2)</f>
        <v>146090.84</v>
      </c>
      <c r="M58" s="254"/>
      <c r="N58" s="525">
        <f>SUM(N49:N57)</f>
        <v>221.44</v>
      </c>
      <c r="O58" s="555">
        <f>SUM(O49:O57)</f>
        <v>216187.93</v>
      </c>
      <c r="P58" s="553">
        <f>ROUND(N58*1951.26,2)</f>
        <v>432087.01</v>
      </c>
      <c r="Q58" s="254"/>
      <c r="R58" s="525">
        <f>SUM(R49:R57)</f>
        <v>45.44</v>
      </c>
      <c r="S58" s="555">
        <f>SUM(S49:S57)</f>
        <v>297048.93</v>
      </c>
      <c r="T58" s="553">
        <f>ROUND(R58*1951.26,2)</f>
        <v>88665.25</v>
      </c>
      <c r="U58" s="254"/>
      <c r="V58" s="525">
        <f>SUM(V49:V57)</f>
        <v>1.05</v>
      </c>
      <c r="W58" s="555">
        <f>SUM(W49:W57)</f>
        <v>7240.8</v>
      </c>
      <c r="X58" s="553">
        <f>ROUND(V58*1951.26,2)</f>
        <v>2048.8200000000002</v>
      </c>
      <c r="Y58" s="254"/>
      <c r="Z58" s="525">
        <f>SUM(Z49:Z57)</f>
        <v>0</v>
      </c>
      <c r="AA58" s="555">
        <f>SUM(AA49:AA57)</f>
        <v>0</v>
      </c>
      <c r="AB58" s="553">
        <f>ROUND(Z58*1951.26,2)</f>
        <v>0</v>
      </c>
      <c r="AC58" s="254"/>
      <c r="AD58" s="525">
        <f>SUM(AD49:AD57)</f>
        <v>77.98</v>
      </c>
      <c r="AE58" s="555">
        <f>SUM(AE49:AE57)</f>
        <v>115345.73999999999</v>
      </c>
      <c r="AF58" s="553">
        <f>ROUND(AD58*1951.26,2)</f>
        <v>152159.25</v>
      </c>
      <c r="AG58" s="254"/>
      <c r="AH58" s="525">
        <f>SUM(AH49:AH57)</f>
        <v>99.52</v>
      </c>
      <c r="AI58" s="555">
        <f>SUM(AI49:AI57)</f>
        <v>143084.24</v>
      </c>
      <c r="AJ58" s="553">
        <f>ROUND(AH58*1951.26,2)</f>
        <v>194189.4</v>
      </c>
      <c r="AK58" s="254"/>
      <c r="AL58" s="525">
        <f>SUM(AL49:AL57)</f>
        <v>79.069999999999993</v>
      </c>
      <c r="AM58" s="555">
        <f>SUM(AM49:AM57)</f>
        <v>531400.73</v>
      </c>
      <c r="AN58" s="553">
        <f>ROUND(AL58*1951.26,2)</f>
        <v>154286.13</v>
      </c>
      <c r="AO58" s="254"/>
      <c r="AP58" s="525">
        <f>SUM(AP49:AP57)</f>
        <v>10.5</v>
      </c>
      <c r="AQ58" s="555">
        <f>SUM(AQ49:AQ57)</f>
        <v>70192.5</v>
      </c>
      <c r="AR58" s="553">
        <f>ROUND(AP58*1951.26,2)</f>
        <v>20488.23</v>
      </c>
      <c r="AS58" s="254"/>
      <c r="AT58" s="525">
        <f>SUM(AT49:AT57)</f>
        <v>49.44</v>
      </c>
      <c r="AU58" s="555">
        <f>SUM(AU49:AU57)</f>
        <v>311162.90000000002</v>
      </c>
      <c r="AV58" s="553">
        <f>ROUND(AT58*1951.26,2)</f>
        <v>96470.29</v>
      </c>
      <c r="AW58" s="254"/>
      <c r="AX58" s="525">
        <f>SUM(AX49:AX57)</f>
        <v>188.1</v>
      </c>
      <c r="AY58" s="555">
        <f>SUM(AY49:AY57)</f>
        <v>230504.84</v>
      </c>
      <c r="AZ58" s="553">
        <f>ROUND(AX58*1951.26,2)</f>
        <v>367032.01</v>
      </c>
      <c r="BA58" s="254"/>
      <c r="BB58" s="525">
        <f>SUM(BB49:BB57)</f>
        <v>37.909999999999997</v>
      </c>
      <c r="BC58" s="555">
        <f>SUM(BC49:BC57)</f>
        <v>42589.770000000004</v>
      </c>
      <c r="BD58" s="553">
        <f>ROUND(BB58*1951.26,2)</f>
        <v>73972.27</v>
      </c>
      <c r="BE58" s="254"/>
      <c r="BF58" s="525">
        <f>SUM(BF49:BF57)</f>
        <v>32.46</v>
      </c>
      <c r="BG58" s="555">
        <f>SUM(BG49:BG57)</f>
        <v>209364.13</v>
      </c>
      <c r="BH58" s="553">
        <f>ROUND(BF58*1951.26,2)</f>
        <v>63337.9</v>
      </c>
      <c r="BI58" s="254"/>
      <c r="BJ58" s="525">
        <f>SUM(BJ49:BJ57)</f>
        <v>27.939999999999998</v>
      </c>
      <c r="BK58" s="555">
        <f>SUM(BK49:BK57)</f>
        <v>36214.479999999996</v>
      </c>
      <c r="BL58" s="553">
        <f>ROUND(BJ58*1951.26,2)</f>
        <v>54518.2</v>
      </c>
      <c r="BM58" s="254"/>
      <c r="BN58" s="525">
        <f>SUM(BN49:BN57)</f>
        <v>59.5</v>
      </c>
      <c r="BO58" s="555">
        <f>SUM(BO49:BO57)</f>
        <v>70135.5</v>
      </c>
      <c r="BP58" s="553">
        <f>ROUND(BN58*1951.26,2)</f>
        <v>116099.97</v>
      </c>
      <c r="BQ58" s="254"/>
      <c r="BR58" s="525">
        <f>SUM(BR49:BR57)</f>
        <v>83.9</v>
      </c>
      <c r="BS58" s="555">
        <f>SUM(BS49:BS57)</f>
        <v>78222</v>
      </c>
      <c r="BT58" s="553">
        <f>ROUND(BR58*1951.26,2)</f>
        <v>163710.71</v>
      </c>
      <c r="BU58" s="254"/>
      <c r="BV58" s="525">
        <f>SUM(BV49:BV57)</f>
        <v>29.9</v>
      </c>
      <c r="BW58" s="555">
        <f>SUM(BW49:BW57)</f>
        <v>26149.5</v>
      </c>
      <c r="BX58" s="553">
        <f>ROUND(BV58*1951.26,2)</f>
        <v>58342.67</v>
      </c>
      <c r="BY58" s="254"/>
      <c r="BZ58" s="525">
        <f>SUM(BZ49:BZ57)</f>
        <v>95.37</v>
      </c>
      <c r="CA58" s="555">
        <f>SUM(CA49:CA57)</f>
        <v>456071.25</v>
      </c>
      <c r="CB58" s="553">
        <f>ROUND(BZ58*1951.26,2)</f>
        <v>186091.67</v>
      </c>
      <c r="CC58" s="254"/>
      <c r="CD58" s="525">
        <f>SUM(CD49:CD57)</f>
        <v>53.2</v>
      </c>
      <c r="CE58" s="555">
        <f>SUM(CE49:CE57)</f>
        <v>54136.03</v>
      </c>
      <c r="CF58" s="553">
        <f>ROUND(CD58*1951.26,2)</f>
        <v>103807.03</v>
      </c>
      <c r="CG58" s="254"/>
      <c r="CH58" s="525">
        <f>SUM(CH49:CH57)</f>
        <v>61.009999999999991</v>
      </c>
      <c r="CI58" s="555">
        <f>SUM(CI49:CI57)</f>
        <v>72375.77</v>
      </c>
      <c r="CJ58" s="553">
        <f>ROUND(CH58*1951.26,2)</f>
        <v>119046.37</v>
      </c>
      <c r="CK58" s="254"/>
      <c r="CL58" s="525">
        <f>SUM(CL49:CL57)</f>
        <v>42.89</v>
      </c>
      <c r="CM58" s="555">
        <f>SUM(CM49:CM57)</f>
        <v>44958.51</v>
      </c>
      <c r="CN58" s="553">
        <f>ROUND(CL58*1951.26,2)</f>
        <v>83689.539999999994</v>
      </c>
      <c r="CO58" s="254"/>
      <c r="CP58" s="525">
        <f>SUM(CP49:CP57)</f>
        <v>107.49000000000001</v>
      </c>
      <c r="CQ58" s="555">
        <f>SUM(CQ49:CQ57)</f>
        <v>154909.13</v>
      </c>
      <c r="CR58" s="553">
        <f>ROUND(CP58*1951.26,2)</f>
        <v>209740.94</v>
      </c>
      <c r="CS58" s="254"/>
      <c r="CT58" s="525">
        <f>SUM(CT49:CT57)</f>
        <v>83.960000000000008</v>
      </c>
      <c r="CU58" s="555">
        <f>SUM(CU49:CU57)</f>
        <v>100818.08</v>
      </c>
      <c r="CV58" s="553">
        <f>ROUND(CT58*1951.26,2)</f>
        <v>163827.79</v>
      </c>
      <c r="CW58" s="254"/>
      <c r="CX58" s="525">
        <f>SUM(CX49:CX57)</f>
        <v>79.440000000000012</v>
      </c>
      <c r="CY58" s="555">
        <f>SUM(CY49:CY57)</f>
        <v>96324.73000000001</v>
      </c>
      <c r="CZ58" s="553">
        <f>ROUND(CX58*1951.26,2)</f>
        <v>155008.09</v>
      </c>
      <c r="DA58" s="254"/>
      <c r="DB58" s="525">
        <f>SUM(DB49:DB57)</f>
        <v>54.5</v>
      </c>
      <c r="DC58" s="555">
        <f>SUM(DC49:DC57)</f>
        <v>81470.83</v>
      </c>
      <c r="DD58" s="553">
        <f>ROUND(DB58*1951.26,2)</f>
        <v>106343.67</v>
      </c>
      <c r="DE58" s="254"/>
      <c r="DF58" s="525">
        <f>SUM(DF49:DF57)</f>
        <v>36.119999999999997</v>
      </c>
      <c r="DG58" s="555">
        <f>SUM(DG49:DG57)</f>
        <v>49003.65</v>
      </c>
      <c r="DH58" s="553">
        <f>ROUND(DF58*1951.26,2)</f>
        <v>70479.509999999995</v>
      </c>
      <c r="DI58" s="254"/>
      <c r="DJ58" s="525">
        <f>SUM(DJ49:DJ57)</f>
        <v>111.07000000000001</v>
      </c>
      <c r="DK58" s="555">
        <f>SUM(DK49:DK57)</f>
        <v>95776.349999999991</v>
      </c>
      <c r="DL58" s="553">
        <f>ROUND(DJ58*1951.26,2)</f>
        <v>216726.45</v>
      </c>
      <c r="DM58" s="254"/>
      <c r="DN58" s="525">
        <f>SUM(DN49:DN57)</f>
        <v>62.04</v>
      </c>
      <c r="DO58" s="555">
        <f>SUM(DO49:DO57)</f>
        <v>75505.38</v>
      </c>
      <c r="DP58" s="553">
        <f>ROUND(DN58*1951.26,2)</f>
        <v>121056.17</v>
      </c>
      <c r="DQ58" s="254"/>
      <c r="DR58" s="525">
        <f>SUM(DR49:DR57)</f>
        <v>106.69</v>
      </c>
      <c r="DS58" s="555">
        <f>SUM(DS49:DS57)</f>
        <v>163655.97999999998</v>
      </c>
      <c r="DT58" s="553">
        <f>ROUND(DR58*1951.26,2)</f>
        <v>208179.93</v>
      </c>
      <c r="DU58" s="254"/>
      <c r="DV58" s="525">
        <f>SUM(DV49:DV57)</f>
        <v>126.50999999999999</v>
      </c>
      <c r="DW58" s="555">
        <f>SUM(DW49:DW57)</f>
        <v>157728.23000000001</v>
      </c>
      <c r="DX58" s="553">
        <f>ROUND(DV58*1951.26,2)</f>
        <v>246853.9</v>
      </c>
      <c r="DY58" s="254"/>
      <c r="DZ58" s="525">
        <f>SUM(DZ49:DZ57)</f>
        <v>80.580000000000013</v>
      </c>
      <c r="EA58" s="555">
        <f>SUM(EA49:EA57)</f>
        <v>69384</v>
      </c>
      <c r="EB58" s="553">
        <f>ROUND(DZ58*1951.26,2)</f>
        <v>157232.53</v>
      </c>
      <c r="EC58" s="254"/>
      <c r="ED58" s="525">
        <f>SUM(ED49:ED57)</f>
        <v>119.44999999999999</v>
      </c>
      <c r="EE58" s="555">
        <f>SUM(EE49:EE57)</f>
        <v>165935.31</v>
      </c>
      <c r="EF58" s="553">
        <f>ROUND(ED58*1951.26,2)</f>
        <v>233078.01</v>
      </c>
      <c r="EG58" s="254"/>
      <c r="EH58" s="525">
        <f>SUM(EH49:EH57)</f>
        <v>9.91</v>
      </c>
      <c r="EI58" s="555">
        <f>SUM(EI49:EI57)</f>
        <v>13086.77</v>
      </c>
      <c r="EJ58" s="553">
        <f>ROUND(EH58*1951.26,2)</f>
        <v>19336.990000000002</v>
      </c>
      <c r="EK58" s="254"/>
      <c r="EL58" s="525">
        <f>SUM(EL49:EL57)</f>
        <v>48.839999999999996</v>
      </c>
      <c r="EM58" s="555">
        <f>SUM(EM49:EM57)</f>
        <v>74502.33</v>
      </c>
      <c r="EN58" s="553">
        <f>ROUND(EL58*1951.26,2)</f>
        <v>95299.54</v>
      </c>
      <c r="EO58" s="254"/>
      <c r="EP58" s="525">
        <f>SUM(EP49:EP57)</f>
        <v>14.219999999999999</v>
      </c>
      <c r="EQ58" s="555">
        <f>SUM(EQ49:EQ57)</f>
        <v>21392.720000000001</v>
      </c>
      <c r="ER58" s="553">
        <f>ROUND(EP58*1951.26,2)</f>
        <v>27746.92</v>
      </c>
      <c r="ES58" s="254"/>
      <c r="ET58" s="525">
        <f>SUM(ET49:ET57)</f>
        <v>60.41</v>
      </c>
      <c r="EU58" s="555">
        <f>SUM(EU49:EU57)</f>
        <v>80362</v>
      </c>
      <c r="EV58" s="553">
        <f>ROUND(ET58*1951.26,2)</f>
        <v>117875.62</v>
      </c>
      <c r="EW58" s="254"/>
      <c r="EX58" s="525">
        <f>SUM(EX49:EX57)</f>
        <v>89.910000000000011</v>
      </c>
      <c r="EY58" s="555">
        <f>SUM(EY49:EY57)</f>
        <v>108972.36</v>
      </c>
      <c r="EZ58" s="553">
        <f>ROUND(EX58*1951.26,2)</f>
        <v>175437.79</v>
      </c>
      <c r="FA58" s="254"/>
      <c r="FB58" s="525">
        <f>SUM(FB49:FB57)</f>
        <v>106.39</v>
      </c>
      <c r="FC58" s="555">
        <f>SUM(FC49:FC57)</f>
        <v>193962.56</v>
      </c>
      <c r="FD58" s="553">
        <f>ROUND(FB58*1951.26,2)</f>
        <v>207594.55</v>
      </c>
      <c r="FE58" s="254"/>
      <c r="FF58" s="525">
        <f>SUM(FF49:FF57)</f>
        <v>31.689999999999998</v>
      </c>
      <c r="FG58" s="555">
        <f>SUM(FG49:FG57)</f>
        <v>45367.93</v>
      </c>
      <c r="FH58" s="553">
        <f>ROUND(FF58*1951.26,2)</f>
        <v>61835.43</v>
      </c>
      <c r="FI58" s="254"/>
      <c r="FJ58" s="525">
        <f>SUM(FJ49:FJ57)</f>
        <v>29.65</v>
      </c>
      <c r="FK58" s="555">
        <f>SUM(FK49:FK57)</f>
        <v>29423.75</v>
      </c>
      <c r="FL58" s="553">
        <f>ROUND(FJ58*1951.26,2)</f>
        <v>57854.86</v>
      </c>
      <c r="FM58" s="254"/>
      <c r="FN58" s="525">
        <f>SUM(FN49:FN57)</f>
        <v>47.35</v>
      </c>
      <c r="FO58" s="555">
        <f>SUM(FO49:FO57)</f>
        <v>59974.25</v>
      </c>
      <c r="FP58" s="553">
        <f>ROUND(FN58*1951.26,2)</f>
        <v>92392.16</v>
      </c>
      <c r="FQ58" s="254"/>
      <c r="FR58" s="525">
        <f>SUM(FR49:FR57)</f>
        <v>33.17</v>
      </c>
      <c r="FS58" s="555">
        <f>SUM(FS49:FS57)</f>
        <v>40657.160000000003</v>
      </c>
      <c r="FT58" s="553">
        <f>ROUND(FR58*1951.26,2)</f>
        <v>64723.29</v>
      </c>
      <c r="FU58" s="254"/>
      <c r="FV58" s="525">
        <f>SUM(FV49:FV57)</f>
        <v>2.5</v>
      </c>
      <c r="FW58" s="555">
        <f>SUM(FW49:FW57)</f>
        <v>17557.5</v>
      </c>
      <c r="FX58" s="553">
        <f>ROUND(FV58*1951.26,2)</f>
        <v>4878.1499999999996</v>
      </c>
      <c r="FY58" s="254"/>
      <c r="FZ58" s="525">
        <f>SUM(FZ49:FZ57)</f>
        <v>21.15</v>
      </c>
      <c r="GA58" s="555">
        <f>SUM(GA49:GA57)</f>
        <v>37142.050000000003</v>
      </c>
      <c r="GB58" s="553">
        <f>ROUND(FZ58*1951.26,2)</f>
        <v>41269.15</v>
      </c>
      <c r="GC58" s="254"/>
      <c r="GD58" s="525">
        <f>SUM(GD49:GD57)</f>
        <v>97.759999999999991</v>
      </c>
      <c r="GE58" s="555">
        <f>SUM(GE49:GE57)</f>
        <v>122744.45999999999</v>
      </c>
      <c r="GF58" s="553">
        <f>ROUND(GD58*1951.26,2)</f>
        <v>190755.18</v>
      </c>
      <c r="GG58" s="254"/>
      <c r="GH58" s="525">
        <f>SUM(GH49:GH57)</f>
        <v>49.05</v>
      </c>
      <c r="GI58" s="555">
        <f>SUM(GI49:GI57)</f>
        <v>46789.25</v>
      </c>
      <c r="GJ58" s="553">
        <f>ROUND(GH58*1951.26,2)</f>
        <v>95709.3</v>
      </c>
      <c r="GK58" s="254"/>
      <c r="GL58" s="525">
        <f>SUM(GL49:GL57)</f>
        <v>4</v>
      </c>
      <c r="GM58" s="555">
        <f>SUM(GM49:GM57)</f>
        <v>8006</v>
      </c>
      <c r="GN58" s="553">
        <f>ROUND(GL58*1951.26,2)</f>
        <v>7805.04</v>
      </c>
      <c r="GO58" s="254"/>
      <c r="GP58" s="525">
        <f>SUM(GP49:GP57)</f>
        <v>2996.8199999999997</v>
      </c>
      <c r="GQ58" s="555">
        <f>SUM(GQ49:GQ57)</f>
        <v>5204606.71</v>
      </c>
      <c r="GR58" s="553">
        <f>ROUND(GP58*1951.26,2)-0.01</f>
        <v>5847574.9800000004</v>
      </c>
      <c r="GS58" s="533"/>
    </row>
  </sheetData>
  <mergeCells count="148">
    <mergeCell ref="GL48:GM48"/>
    <mergeCell ref="GP48:GQ48"/>
    <mergeCell ref="FN48:FO48"/>
    <mergeCell ref="FR48:FS48"/>
    <mergeCell ref="FV48:FW48"/>
    <mergeCell ref="FZ48:GA48"/>
    <mergeCell ref="GD48:GE48"/>
    <mergeCell ref="GH48:GI48"/>
    <mergeCell ref="EP48:EQ48"/>
    <mergeCell ref="ET48:EU48"/>
    <mergeCell ref="EX48:EY48"/>
    <mergeCell ref="FB48:FC48"/>
    <mergeCell ref="FF48:FG48"/>
    <mergeCell ref="FJ48:FK48"/>
    <mergeCell ref="DR48:DS48"/>
    <mergeCell ref="DV48:DW48"/>
    <mergeCell ref="DZ48:EA48"/>
    <mergeCell ref="ED48:EE48"/>
    <mergeCell ref="EH48:EI48"/>
    <mergeCell ref="EL48:EM48"/>
    <mergeCell ref="CT48:CU48"/>
    <mergeCell ref="CX48:CY48"/>
    <mergeCell ref="DB48:DC48"/>
    <mergeCell ref="DF48:DG48"/>
    <mergeCell ref="DJ48:DK48"/>
    <mergeCell ref="DN48:DO48"/>
    <mergeCell ref="BV48:BW48"/>
    <mergeCell ref="BZ48:CA48"/>
    <mergeCell ref="CD48:CE48"/>
    <mergeCell ref="CH48:CI48"/>
    <mergeCell ref="CL48:CM48"/>
    <mergeCell ref="CP48:CQ48"/>
    <mergeCell ref="AX48:AY48"/>
    <mergeCell ref="BB48:BC48"/>
    <mergeCell ref="BF48:BG48"/>
    <mergeCell ref="BJ48:BK48"/>
    <mergeCell ref="BN48:BO48"/>
    <mergeCell ref="BR48:BS48"/>
    <mergeCell ref="Z48:AA48"/>
    <mergeCell ref="AD48:AE48"/>
    <mergeCell ref="AH48:AI48"/>
    <mergeCell ref="AL48:AM48"/>
    <mergeCell ref="AP48:AQ48"/>
    <mergeCell ref="AT48:AU48"/>
    <mergeCell ref="FZ47:GB47"/>
    <mergeCell ref="GD47:GF47"/>
    <mergeCell ref="GH47:GJ47"/>
    <mergeCell ref="DZ47:EB47"/>
    <mergeCell ref="CH47:CJ47"/>
    <mergeCell ref="CL47:CN47"/>
    <mergeCell ref="CP47:CR47"/>
    <mergeCell ref="CT47:CV47"/>
    <mergeCell ref="CX47:CZ47"/>
    <mergeCell ref="DB47:DD47"/>
    <mergeCell ref="BJ47:BL47"/>
    <mergeCell ref="BN47:BP47"/>
    <mergeCell ref="BR47:BT47"/>
    <mergeCell ref="BV47:BX47"/>
    <mergeCell ref="BZ47:CB47"/>
    <mergeCell ref="CD47:CF47"/>
    <mergeCell ref="AL47:AN47"/>
    <mergeCell ref="AP47:AR47"/>
    <mergeCell ref="GL47:GN47"/>
    <mergeCell ref="GP47:GR47"/>
    <mergeCell ref="F48:G48"/>
    <mergeCell ref="J48:K48"/>
    <mergeCell ref="N48:O48"/>
    <mergeCell ref="R48:S48"/>
    <mergeCell ref="V48:W48"/>
    <mergeCell ref="FB47:FD47"/>
    <mergeCell ref="FF47:FH47"/>
    <mergeCell ref="FJ47:FL47"/>
    <mergeCell ref="FN47:FP47"/>
    <mergeCell ref="FR47:FT47"/>
    <mergeCell ref="FV47:FX47"/>
    <mergeCell ref="ED47:EF47"/>
    <mergeCell ref="EH47:EJ47"/>
    <mergeCell ref="EL47:EN47"/>
    <mergeCell ref="EP47:ER47"/>
    <mergeCell ref="ET47:EV47"/>
    <mergeCell ref="EX47:EZ47"/>
    <mergeCell ref="DF47:DH47"/>
    <mergeCell ref="DJ47:DL47"/>
    <mergeCell ref="DN47:DP47"/>
    <mergeCell ref="DR47:DT47"/>
    <mergeCell ref="DV47:DX47"/>
    <mergeCell ref="AT47:AV47"/>
    <mergeCell ref="AX47:AZ47"/>
    <mergeCell ref="BB47:BD47"/>
    <mergeCell ref="BF47:BH47"/>
    <mergeCell ref="GP2:GR2"/>
    <mergeCell ref="B4:E4"/>
    <mergeCell ref="F47:H47"/>
    <mergeCell ref="J47:L47"/>
    <mergeCell ref="N47:P47"/>
    <mergeCell ref="R47:T47"/>
    <mergeCell ref="V47:X47"/>
    <mergeCell ref="Z47:AB47"/>
    <mergeCell ref="AD47:AF47"/>
    <mergeCell ref="AH47:AJ47"/>
    <mergeCell ref="FR2:FT2"/>
    <mergeCell ref="FV2:FX2"/>
    <mergeCell ref="FZ2:GB2"/>
    <mergeCell ref="GD2:GF2"/>
    <mergeCell ref="GH2:GJ2"/>
    <mergeCell ref="GL2:GN2"/>
    <mergeCell ref="ET2:EV2"/>
    <mergeCell ref="EX2:EZ2"/>
    <mergeCell ref="FB2:FD2"/>
    <mergeCell ref="FF2:FH2"/>
    <mergeCell ref="FJ2:FL2"/>
    <mergeCell ref="FN2:FP2"/>
    <mergeCell ref="DV2:DX2"/>
    <mergeCell ref="DZ2:EB2"/>
    <mergeCell ref="ED2:EF2"/>
    <mergeCell ref="EH2:EJ2"/>
    <mergeCell ref="EL2:EN2"/>
    <mergeCell ref="EP2:ER2"/>
    <mergeCell ref="CX2:CZ2"/>
    <mergeCell ref="DB2:DD2"/>
    <mergeCell ref="DF2:DH2"/>
    <mergeCell ref="DJ2:DL2"/>
    <mergeCell ref="DN2:DP2"/>
    <mergeCell ref="DR2:DT2"/>
    <mergeCell ref="BZ2:CB2"/>
    <mergeCell ref="CD2:CF2"/>
    <mergeCell ref="CH2:CJ2"/>
    <mergeCell ref="CL2:CN2"/>
    <mergeCell ref="CP2:CR2"/>
    <mergeCell ref="CT2:CV2"/>
    <mergeCell ref="BB2:BD2"/>
    <mergeCell ref="BF2:BH2"/>
    <mergeCell ref="BJ2:BL2"/>
    <mergeCell ref="BN2:BP2"/>
    <mergeCell ref="BR2:BT2"/>
    <mergeCell ref="BV2:BX2"/>
    <mergeCell ref="AD2:AF2"/>
    <mergeCell ref="AH2:AJ2"/>
    <mergeCell ref="AL2:AN2"/>
    <mergeCell ref="AP2:AR2"/>
    <mergeCell ref="AT2:AV2"/>
    <mergeCell ref="AX2:AZ2"/>
    <mergeCell ref="F2:H2"/>
    <mergeCell ref="J2:L2"/>
    <mergeCell ref="N2:P2"/>
    <mergeCell ref="R2:T2"/>
    <mergeCell ref="V2:X2"/>
    <mergeCell ref="Z2:AB2"/>
  </mergeCells>
  <conditionalFormatting sqref="GH28:GJ43 GL28:GN43 GP28:GR43 FN28:FP43 FR28:FT43 FV28:FX43 FZ28:GB43 GD28:GF43 ET28:EV43 EX28:EZ43 FB28:FD43 FF28:FH43 FJ28:FL43 DZ28:EB43 ED28:EF43 EH28:EJ43 EL28:EN43 EP28:ER43 DF28:DH43 DJ28:DL43 DN28:DP43 DR28:DT43 DV28:DX43 CP28:CR43 CT28:CV43 CX28:CZ43 DB28:DD43 BV28:BX43 BZ28:CB43 CD28:CF43 CH28:CJ43 CL28:CN43 BB28:BD43 BF28:BH43 BJ28:BL43 BN28:BP43 BR28:BT43 AH28:AJ43 AL28:AN43 AP28:AR43 AT28:AV43 AX28:AZ43 B28:H43 R28:T43 N28:P43 J28:L43 V28:X43 AD28:AF43 Z28:AB43">
    <cfRule type="expression" dxfId="3" priority="30">
      <formula>MOD(ROW(),2)=0</formula>
    </cfRule>
  </conditionalFormatting>
  <conditionalFormatting sqref="C49:H57 J49:L57 N49:P57 R49:T57 V49:X57 Z49:AB57 AD49:AF57 AH49:AJ57 AL49:AN57 AP49:AR57 AT49:AV57 AX49:AZ57 BB49:BD57 BF49:BH57 BJ49:BL57 BN49:BP57 BR49:BT57 BV49:BX57 BZ49:CB57 CD49:CF57 CH49:CJ57 CL49:CN57 CP49:CR57 CT49:CV57 CX49:CZ57 DB49:DD57 DF49:DH57 DJ49:DL57 DN49:DP57 DR49:DT57 DV49:DX57 DZ49:EB57 ED49:EF57 EH49:EJ57 EL49:EN57 EP49:ER57 ET49:EV57 EX49:EZ57 FB49:FD57 FF49:FH57 FJ49:FL57 FN49:FP57 FR49:FT57 FV49:FX57 FZ49:GB57 GD49:GF57 GH49:GJ57 GL49:GN57 GP49:GR57">
    <cfRule type="expression" dxfId="2" priority="1">
      <formula>MOD(ROW(),2)=0</formula>
    </cfRule>
  </conditionalFormatting>
  <pageMargins left="0.1" right="0.1" top="0.5" bottom="0.5" header="0" footer="0.1"/>
  <pageSetup scale="75" fitToWidth="28" orientation="landscape" r:id="rId1"/>
  <headerFooter alignWithMargins="0">
    <oddFooter>&amp;L&amp;8&amp;Z&amp;F&amp;R&amp;P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CCC"/>
  </sheetPr>
  <dimension ref="A1:V209"/>
  <sheetViews>
    <sheetView showGridLines="0" zoomScaleNormal="100" workbookViewId="0">
      <pane ySplit="1" topLeftCell="A114"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417</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115.65</v>
      </c>
      <c r="D16" s="151">
        <v>110.08</v>
      </c>
      <c r="E16" s="117">
        <f t="shared" si="1"/>
        <v>225.73000000000002</v>
      </c>
      <c r="F16" s="622">
        <f>'0664'!F16:G16</f>
        <v>1</v>
      </c>
      <c r="G16" s="622"/>
      <c r="H16" s="81">
        <f t="shared" si="2"/>
        <v>225.73</v>
      </c>
      <c r="I16" s="102">
        <f t="shared" si="3"/>
        <v>1211471.71</v>
      </c>
      <c r="N16" s="635" t="s">
        <v>22</v>
      </c>
      <c r="O16" s="635"/>
      <c r="P16" s="636">
        <f t="shared" si="0"/>
        <v>0</v>
      </c>
      <c r="Q16" s="636"/>
      <c r="R16" s="637">
        <v>1</v>
      </c>
      <c r="S16" s="637"/>
      <c r="T16" s="96">
        <f t="shared" si="4"/>
        <v>0</v>
      </c>
      <c r="U16" s="97">
        <f t="shared" si="5"/>
        <v>0</v>
      </c>
    </row>
    <row r="17" spans="1:21" x14ac:dyDescent="0.25">
      <c r="A17" s="586" t="s">
        <v>23</v>
      </c>
      <c r="B17" s="586"/>
      <c r="C17" s="151">
        <v>24.5</v>
      </c>
      <c r="D17" s="151">
        <v>21</v>
      </c>
      <c r="E17" s="117">
        <f t="shared" si="1"/>
        <v>45.5</v>
      </c>
      <c r="F17" s="622">
        <f>'0664'!F17:G17</f>
        <v>1</v>
      </c>
      <c r="G17" s="622"/>
      <c r="H17" s="81">
        <f t="shared" si="2"/>
        <v>45.5</v>
      </c>
      <c r="I17" s="102">
        <f t="shared" si="3"/>
        <v>244194.23</v>
      </c>
      <c r="J17" s="66"/>
      <c r="N17" s="635" t="s">
        <v>23</v>
      </c>
      <c r="O17" s="635"/>
      <c r="P17" s="636">
        <f t="shared" si="0"/>
        <v>0</v>
      </c>
      <c r="Q17" s="636"/>
      <c r="R17" s="637">
        <v>1</v>
      </c>
      <c r="S17" s="637"/>
      <c r="T17" s="96">
        <f t="shared" si="4"/>
        <v>0</v>
      </c>
      <c r="U17" s="97">
        <f t="shared" si="5"/>
        <v>0</v>
      </c>
    </row>
    <row r="18" spans="1:21" x14ac:dyDescent="0.25">
      <c r="A18" s="586" t="s">
        <v>24</v>
      </c>
      <c r="B18" s="586"/>
      <c r="C18" s="151">
        <v>77.760000000000005</v>
      </c>
      <c r="D18" s="151">
        <v>73.150000000000006</v>
      </c>
      <c r="E18" s="117">
        <f t="shared" si="1"/>
        <v>150.91000000000003</v>
      </c>
      <c r="F18" s="622">
        <f>'0664'!F18:G18</f>
        <v>0.98799999999999999</v>
      </c>
      <c r="G18" s="622"/>
      <c r="H18" s="81">
        <f t="shared" si="2"/>
        <v>149.09909999999999</v>
      </c>
      <c r="I18" s="102">
        <f t="shared" si="3"/>
        <v>800200.86</v>
      </c>
      <c r="N18" s="635" t="s">
        <v>24</v>
      </c>
      <c r="O18" s="635"/>
      <c r="P18" s="636">
        <f t="shared" si="0"/>
        <v>0</v>
      </c>
      <c r="Q18" s="636"/>
      <c r="R18" s="637">
        <v>1</v>
      </c>
      <c r="S18" s="637"/>
      <c r="T18" s="96">
        <f t="shared" si="4"/>
        <v>0</v>
      </c>
      <c r="U18" s="97">
        <f t="shared" si="5"/>
        <v>0</v>
      </c>
    </row>
    <row r="19" spans="1:21" x14ac:dyDescent="0.25">
      <c r="A19" s="586" t="s">
        <v>25</v>
      </c>
      <c r="B19" s="586"/>
      <c r="C19" s="151">
        <v>17.5</v>
      </c>
      <c r="D19" s="151">
        <v>16.440000000000001</v>
      </c>
      <c r="E19" s="117">
        <f t="shared" si="1"/>
        <v>33.94</v>
      </c>
      <c r="F19" s="622">
        <f>'0664'!F19:G19</f>
        <v>0.98799999999999999</v>
      </c>
      <c r="G19" s="622"/>
      <c r="H19" s="81">
        <f t="shared" si="2"/>
        <v>33.532699999999998</v>
      </c>
      <c r="I19" s="102">
        <f t="shared" si="3"/>
        <v>179966.85</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19.350000000000001</v>
      </c>
      <c r="D27" s="151">
        <v>17.940000000000001</v>
      </c>
      <c r="E27" s="117">
        <f t="shared" si="1"/>
        <v>37.290000000000006</v>
      </c>
      <c r="F27" s="622">
        <f>'0664'!F27:G27</f>
        <v>1.208</v>
      </c>
      <c r="G27" s="622"/>
      <c r="H27" s="81">
        <f t="shared" si="2"/>
        <v>45.046300000000002</v>
      </c>
      <c r="I27" s="102">
        <f t="shared" si="3"/>
        <v>241759.26</v>
      </c>
      <c r="N27" s="635" t="s">
        <v>92</v>
      </c>
      <c r="O27" s="635"/>
      <c r="P27" s="636">
        <f t="shared" si="0"/>
        <v>0</v>
      </c>
      <c r="Q27" s="636"/>
      <c r="R27" s="637">
        <v>1</v>
      </c>
      <c r="S27" s="637"/>
      <c r="T27" s="96">
        <f t="shared" si="4"/>
        <v>0</v>
      </c>
      <c r="U27" s="97">
        <f t="shared" si="5"/>
        <v>0</v>
      </c>
    </row>
    <row r="28" spans="1:21" x14ac:dyDescent="0.25">
      <c r="A28" s="586" t="s">
        <v>93</v>
      </c>
      <c r="B28" s="586"/>
      <c r="C28" s="151">
        <v>4.66</v>
      </c>
      <c r="D28" s="151">
        <v>3.42</v>
      </c>
      <c r="E28" s="117">
        <f t="shared" si="1"/>
        <v>8.08</v>
      </c>
      <c r="F28" s="622">
        <f>'0664'!F28:G28</f>
        <v>1.208</v>
      </c>
      <c r="G28" s="622"/>
      <c r="H28" s="81">
        <f t="shared" si="2"/>
        <v>9.7606000000000002</v>
      </c>
      <c r="I28" s="102">
        <f t="shared" si="3"/>
        <v>52384.22</v>
      </c>
      <c r="N28" s="635" t="s">
        <v>93</v>
      </c>
      <c r="O28" s="635"/>
      <c r="P28" s="636">
        <f t="shared" si="0"/>
        <v>0</v>
      </c>
      <c r="Q28" s="636"/>
      <c r="R28" s="637">
        <v>1</v>
      </c>
      <c r="S28" s="637"/>
      <c r="T28" s="96">
        <f t="shared" si="4"/>
        <v>0</v>
      </c>
      <c r="U28" s="97">
        <f t="shared" si="5"/>
        <v>0</v>
      </c>
    </row>
    <row r="29" spans="1:21" x14ac:dyDescent="0.25">
      <c r="A29" s="586" t="s">
        <v>94</v>
      </c>
      <c r="B29" s="586"/>
      <c r="C29" s="111">
        <v>3.46</v>
      </c>
      <c r="D29" s="111">
        <v>2.75</v>
      </c>
      <c r="E29" s="163">
        <f t="shared" si="1"/>
        <v>6.21</v>
      </c>
      <c r="F29" s="622">
        <f>'0664'!F29:G29</f>
        <v>1.0720000000000001</v>
      </c>
      <c r="G29" s="622"/>
      <c r="H29" s="94">
        <f t="shared" si="2"/>
        <v>6.6570999999999998</v>
      </c>
      <c r="I29" s="95">
        <f t="shared" si="3"/>
        <v>35728.03</v>
      </c>
      <c r="N29" s="652" t="s">
        <v>94</v>
      </c>
      <c r="O29" s="652"/>
      <c r="P29" s="636">
        <f t="shared" si="0"/>
        <v>0</v>
      </c>
      <c r="Q29" s="636"/>
      <c r="R29" s="653">
        <v>1</v>
      </c>
      <c r="S29" s="653"/>
      <c r="T29" s="96">
        <f t="shared" si="4"/>
        <v>0</v>
      </c>
      <c r="U29" s="97">
        <f t="shared" si="5"/>
        <v>0</v>
      </c>
    </row>
    <row r="30" spans="1:21" x14ac:dyDescent="0.25">
      <c r="A30" s="584" t="s">
        <v>5</v>
      </c>
      <c r="B30" s="584"/>
      <c r="C30" s="95">
        <f>SUM(C14:C29)</f>
        <v>262.88</v>
      </c>
      <c r="D30" s="95">
        <f>SUM(D14:D29)</f>
        <v>244.77999999999997</v>
      </c>
      <c r="E30" s="95">
        <f>SUM(E14:E29)</f>
        <v>507.66</v>
      </c>
      <c r="F30" s="609"/>
      <c r="G30" s="609"/>
      <c r="H30" s="100">
        <f>SUM(H14:H29)</f>
        <v>515.32579999999996</v>
      </c>
      <c r="I30" s="95">
        <f>SUM(I14:I29)</f>
        <v>2765705.16</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515.32579999999996</v>
      </c>
      <c r="F46" s="34"/>
      <c r="G46" s="107"/>
      <c r="H46" s="108" t="s">
        <v>104</v>
      </c>
      <c r="I46" s="95">
        <f>SUM(I44,I30)</f>
        <v>2765705.16</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2765705.16</v>
      </c>
      <c r="G51" s="110" t="s">
        <v>6</v>
      </c>
      <c r="H51" s="425">
        <v>4.5199999999999997E-2</v>
      </c>
      <c r="I51" s="102">
        <f>ROUND(F51*H51,2)</f>
        <v>125009.87</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2765705.16</v>
      </c>
      <c r="G52" s="110" t="s">
        <v>6</v>
      </c>
      <c r="H52" s="425">
        <v>1.41E-2</v>
      </c>
      <c r="I52" s="102">
        <f>ROUND(F52*H52,2)</f>
        <v>38996.44</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164006.31</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507.66</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2.4970000000000001E-3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515.32579999999996</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2.2650000000000001E-3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507.66</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2.7160000000000001E-3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507.66</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2.5000000000000001E-3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507.66</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2.7190000000000001E-3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2.5000000000000001E-3</v>
      </c>
      <c r="I71" s="102">
        <f>ROUND(F71*H71,2)</f>
        <v>111663.84</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2.4970000000000001E-3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2.7190000000000001E-3</v>
      </c>
      <c r="I76" s="102">
        <f>ROUND(F76*H76,2)</f>
        <v>43958.21</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2.7160000000000001E-3</v>
      </c>
      <c r="I78" s="102">
        <f t="shared" ref="I78:I87" si="10">ROUND(F78*H78,2)</f>
        <v>27268.91</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79.44</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79.44</v>
      </c>
      <c r="G83" s="37" t="s">
        <v>6</v>
      </c>
      <c r="H83" s="448">
        <f>'0664'!H83</f>
        <v>1951.26</v>
      </c>
      <c r="I83" s="102">
        <f>ROUND(F83*H83,2)</f>
        <v>155008.09</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2.2650000000000001E-3</v>
      </c>
      <c r="I85" s="102">
        <f t="shared" si="10"/>
        <v>530889.80000000005</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2.2650000000000001E-3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0</v>
      </c>
      <c r="D92" s="597"/>
      <c r="E92" s="47">
        <f>H8</f>
        <v>1.0442</v>
      </c>
      <c r="F92" s="320">
        <f>'0664'!F92</f>
        <v>947.59</v>
      </c>
      <c r="G92" s="39" t="s">
        <v>12</v>
      </c>
      <c r="H92" s="102">
        <f>ROUND(C92*E92*F92,2)</f>
        <v>0</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316.27629999999999</v>
      </c>
      <c r="D93" s="597"/>
      <c r="E93" s="47">
        <f>H8</f>
        <v>1.0442</v>
      </c>
      <c r="F93" s="320">
        <f>'0664'!F93</f>
        <v>904.74</v>
      </c>
      <c r="G93" s="39" t="s">
        <v>12</v>
      </c>
      <c r="H93" s="102">
        <f>ROUND(C93*E93*F93,2)</f>
        <v>298795.55</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199.04950000000002</v>
      </c>
      <c r="D94" s="597"/>
      <c r="E94" s="47">
        <f>H8</f>
        <v>1.0442</v>
      </c>
      <c r="F94" s="320">
        <f>'0664'!F94</f>
        <v>906.93</v>
      </c>
      <c r="G94" s="39" t="s">
        <v>12</v>
      </c>
      <c r="H94" s="95">
        <f>ROUND(C94*E94*F94,2)</f>
        <v>188503.12</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515.32580000000007</v>
      </c>
      <c r="D95" s="601"/>
      <c r="E95" s="130"/>
      <c r="F95" s="130"/>
      <c r="G95" s="130"/>
      <c r="H95" s="131" t="s">
        <v>112</v>
      </c>
      <c r="I95" s="102">
        <f>IF(A1=75,0,H94+H93+H92)</f>
        <v>487298.67</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289</v>
      </c>
      <c r="D101" s="151">
        <v>261</v>
      </c>
      <c r="E101" s="117">
        <f>(C101+D101)/2</f>
        <v>275</v>
      </c>
      <c r="F101" s="134" t="s">
        <v>30</v>
      </c>
      <c r="G101" s="321">
        <f>'0664'!G101</f>
        <v>565</v>
      </c>
      <c r="I101" s="102">
        <f>ROUND(G101*E101,2)</f>
        <v>155375</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4441173.99</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4277167.6800000006</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4277167.6800000006</v>
      </c>
      <c r="I123" s="95">
        <f>ROUND(IF(E30=0,0,IF(E30&gt;250,-(((250/E30)*H123)*IF(G123="H",0.02,0.05)),IF(G123="H",-0.02*H123,-0.05*H123))),2)</f>
        <v>-105315.75</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4335858.24</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4335858.24</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361321.52</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108542.63</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v>637300</v>
      </c>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T69:U69"/>
    <mergeCell ref="A85:C85"/>
    <mergeCell ref="A74:C74"/>
    <mergeCell ref="N85:P85"/>
    <mergeCell ref="A87:C87"/>
    <mergeCell ref="N87:P87"/>
    <mergeCell ref="C90:D90"/>
    <mergeCell ref="C91:D91"/>
    <mergeCell ref="N91:O91"/>
    <mergeCell ref="P91:Q91"/>
    <mergeCell ref="N74:P74"/>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CCC"/>
  </sheetPr>
  <dimension ref="A1:V209"/>
  <sheetViews>
    <sheetView showGridLines="0" zoomScaleNormal="100" workbookViewId="0">
      <pane ySplit="1" topLeftCell="A123"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141</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61.16</v>
      </c>
      <c r="D14" s="149">
        <v>60.43</v>
      </c>
      <c r="E14" s="196">
        <f>IF(D$30=0,C14*2,C14+D14)</f>
        <v>121.59</v>
      </c>
      <c r="F14" s="625">
        <f>'0664'!F14:G14</f>
        <v>1.1220000000000001</v>
      </c>
      <c r="G14" s="625"/>
      <c r="H14" s="153">
        <f>ROUND(E14*F14,4)</f>
        <v>136.42400000000001</v>
      </c>
      <c r="I14" s="112">
        <f>ROUND(ROUND(ROUND(H14*$C$8,4)*($H$8),2)*(MAX($H$9,1)),2)</f>
        <v>732174.79</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19</v>
      </c>
      <c r="D15" s="151">
        <v>18</v>
      </c>
      <c r="E15" s="117">
        <f t="shared" ref="E15:E29" si="1">IF(D$30=0,C15*2,C15+D15)</f>
        <v>37</v>
      </c>
      <c r="F15" s="622">
        <f>'0664'!F15:G15</f>
        <v>1.1220000000000001</v>
      </c>
      <c r="G15" s="622"/>
      <c r="H15" s="81">
        <f t="shared" ref="H15:H29" si="2">ROUND(E15*F15,4)</f>
        <v>41.514000000000003</v>
      </c>
      <c r="I15" s="102">
        <f t="shared" ref="I15:I29" si="3">ROUND(ROUND(ROUND(H15*$C$8,4)*($H$8),2)*(MAX($H$9,1)),2)</f>
        <v>222801.74</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28.85</v>
      </c>
      <c r="D16" s="151">
        <v>28.35</v>
      </c>
      <c r="E16" s="117">
        <f t="shared" si="1"/>
        <v>57.2</v>
      </c>
      <c r="F16" s="622">
        <f>'0664'!F16:G16</f>
        <v>1</v>
      </c>
      <c r="G16" s="622"/>
      <c r="H16" s="81">
        <f t="shared" si="2"/>
        <v>57.2</v>
      </c>
      <c r="I16" s="102">
        <f t="shared" si="3"/>
        <v>306987.03000000003</v>
      </c>
      <c r="N16" s="635" t="s">
        <v>22</v>
      </c>
      <c r="O16" s="635"/>
      <c r="P16" s="636">
        <f t="shared" si="0"/>
        <v>0</v>
      </c>
      <c r="Q16" s="636"/>
      <c r="R16" s="637">
        <v>1</v>
      </c>
      <c r="S16" s="637"/>
      <c r="T16" s="96">
        <f t="shared" si="4"/>
        <v>0</v>
      </c>
      <c r="U16" s="97">
        <f t="shared" si="5"/>
        <v>0</v>
      </c>
    </row>
    <row r="17" spans="1:21" x14ac:dyDescent="0.25">
      <c r="A17" s="586" t="s">
        <v>23</v>
      </c>
      <c r="B17" s="586"/>
      <c r="C17" s="151">
        <v>8.5</v>
      </c>
      <c r="D17" s="151">
        <v>9</v>
      </c>
      <c r="E17" s="117">
        <f t="shared" si="1"/>
        <v>17.5</v>
      </c>
      <c r="F17" s="622">
        <f>'0664'!F17:G17</f>
        <v>1</v>
      </c>
      <c r="G17" s="622"/>
      <c r="H17" s="81">
        <f t="shared" si="2"/>
        <v>17.5</v>
      </c>
      <c r="I17" s="102">
        <f t="shared" si="3"/>
        <v>93920.86</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3.84</v>
      </c>
      <c r="D26" s="151">
        <v>4.57</v>
      </c>
      <c r="E26" s="117">
        <f t="shared" si="1"/>
        <v>8.41</v>
      </c>
      <c r="F26" s="622">
        <f>'0664'!F26:G26</f>
        <v>1.208</v>
      </c>
      <c r="G26" s="622"/>
      <c r="H26" s="81">
        <f t="shared" si="2"/>
        <v>10.1593</v>
      </c>
      <c r="I26" s="102">
        <f t="shared" si="3"/>
        <v>54524.01</v>
      </c>
      <c r="N26" s="635" t="s">
        <v>91</v>
      </c>
      <c r="O26" s="635"/>
      <c r="P26" s="636">
        <f t="shared" si="0"/>
        <v>0</v>
      </c>
      <c r="Q26" s="636"/>
      <c r="R26" s="637">
        <v>1</v>
      </c>
      <c r="S26" s="637"/>
      <c r="T26" s="96">
        <f t="shared" si="4"/>
        <v>0</v>
      </c>
      <c r="U26" s="97">
        <f t="shared" si="5"/>
        <v>0</v>
      </c>
    </row>
    <row r="27" spans="1:21" x14ac:dyDescent="0.25">
      <c r="A27" s="586" t="s">
        <v>92</v>
      </c>
      <c r="B27" s="586"/>
      <c r="C27" s="151">
        <v>1.1499999999999999</v>
      </c>
      <c r="D27" s="151">
        <v>1.1499999999999999</v>
      </c>
      <c r="E27" s="117">
        <f t="shared" si="1"/>
        <v>2.2999999999999998</v>
      </c>
      <c r="F27" s="622">
        <f>'0664'!F27:G27</f>
        <v>1.208</v>
      </c>
      <c r="G27" s="622"/>
      <c r="H27" s="81">
        <f t="shared" si="2"/>
        <v>2.7784</v>
      </c>
      <c r="I27" s="102">
        <f t="shared" si="3"/>
        <v>14911.41</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122.5</v>
      </c>
      <c r="D30" s="95">
        <f>SUM(D14:D29)</f>
        <v>121.5</v>
      </c>
      <c r="E30" s="95">
        <f>SUM(E14:E29)</f>
        <v>244.00000000000003</v>
      </c>
      <c r="F30" s="609"/>
      <c r="G30" s="609"/>
      <c r="H30" s="100">
        <f>SUM(H14:H29)</f>
        <v>265.57569999999998</v>
      </c>
      <c r="I30" s="95">
        <f>SUM(I14:I29)</f>
        <v>1425319.84</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265.57569999999998</v>
      </c>
      <c r="F46" s="34"/>
      <c r="G46" s="107"/>
      <c r="H46" s="108" t="s">
        <v>104</v>
      </c>
      <c r="I46" s="95">
        <f>SUM(I44,I30)</f>
        <v>1425319.84</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1425319.84</v>
      </c>
      <c r="G51" s="110" t="s">
        <v>6</v>
      </c>
      <c r="H51" s="425">
        <v>4.5199999999999997E-2</v>
      </c>
      <c r="I51" s="102">
        <f>ROUND(F51*H51,2)</f>
        <v>64424.46</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1425319.84</v>
      </c>
      <c r="G52" s="110" t="s">
        <v>6</v>
      </c>
      <c r="H52" s="425">
        <v>1.41E-2</v>
      </c>
      <c r="I52" s="102">
        <f>ROUND(F52*H52,2)</f>
        <v>20097.009999999998</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84521.47</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244.00000000000003</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1.1999999999999999E-3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265.57569999999998</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1.1670000000000001E-3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244.00000000000003</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1.305E-3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244.00000000000003</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1.201E-3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244.00000000000003</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1.307E-3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1.201E-3</v>
      </c>
      <c r="I71" s="102">
        <f>ROUND(F71*H71,2)</f>
        <v>53643.31</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1.1999999999999999E-3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1.307E-3</v>
      </c>
      <c r="I76" s="102">
        <f>ROUND(F76*H76,2)</f>
        <v>21130.34</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1.305E-3</v>
      </c>
      <c r="I78" s="102">
        <f t="shared" ref="I78:I87" si="10">ROUND(F78*H78,2)</f>
        <v>13102.33</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54.5</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54.5</v>
      </c>
      <c r="G83" s="37" t="s">
        <v>6</v>
      </c>
      <c r="H83" s="448">
        <f>'0664'!H83</f>
        <v>1951.26</v>
      </c>
      <c r="I83" s="102">
        <f>ROUND(F83*H83,2)</f>
        <v>106343.67</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1.1670000000000001E-3</v>
      </c>
      <c r="I85" s="102">
        <f t="shared" si="10"/>
        <v>273531.3</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1.1670000000000001E-3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188.09730000000002</v>
      </c>
      <c r="D92" s="597"/>
      <c r="E92" s="47">
        <f>H8</f>
        <v>1.0442</v>
      </c>
      <c r="F92" s="320">
        <f>'0664'!F92</f>
        <v>947.59</v>
      </c>
      <c r="G92" s="39" t="s">
        <v>12</v>
      </c>
      <c r="H92" s="102">
        <f>ROUND(C92*E92*F92,2)</f>
        <v>186117.29</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77.478400000000008</v>
      </c>
      <c r="D93" s="597"/>
      <c r="E93" s="47">
        <f>H8</f>
        <v>1.0442</v>
      </c>
      <c r="F93" s="320">
        <f>'0664'!F93</f>
        <v>904.74</v>
      </c>
      <c r="G93" s="39" t="s">
        <v>12</v>
      </c>
      <c r="H93" s="102">
        <f>ROUND(C93*E93*F93,2)</f>
        <v>73196.13</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265.57570000000004</v>
      </c>
      <c r="D95" s="601"/>
      <c r="E95" s="130"/>
      <c r="F95" s="130"/>
      <c r="G95" s="130"/>
      <c r="H95" s="131" t="s">
        <v>112</v>
      </c>
      <c r="I95" s="102">
        <f>IF(A1=75,0,H94+H93+H92)</f>
        <v>259313.42</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0</v>
      </c>
      <c r="D101" s="151">
        <v>0</v>
      </c>
      <c r="E101" s="117">
        <f>(C101+D101)/2</f>
        <v>0</v>
      </c>
      <c r="F101" s="134" t="s">
        <v>30</v>
      </c>
      <c r="G101" s="321">
        <f>'0664'!G101</f>
        <v>565</v>
      </c>
      <c r="I101" s="102">
        <f>ROUND(G101*E101,2)</f>
        <v>0</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2236905.6800000002</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2152384.21</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400" t="s">
        <v>258</v>
      </c>
      <c r="H123" s="147">
        <f>IF(H121=1,I121,I118)</f>
        <v>2152384.21</v>
      </c>
      <c r="I123" s="95">
        <f>ROUND(IF(E30=0,0,IF(E30&gt;250,-(((250/E30)*H123)*IF(G123="H",0.02,0.05)),IF(G123="H",-0.02*H123,-0.05*H123))),2)</f>
        <v>-43047.68</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2193858</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2193858</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182821.5</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0</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CCCC"/>
  </sheetPr>
  <dimension ref="A1:V209"/>
  <sheetViews>
    <sheetView showGridLines="0" zoomScaleNormal="100" workbookViewId="0">
      <pane ySplit="1" topLeftCell="A120"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142</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57.3</v>
      </c>
      <c r="D14" s="149">
        <v>57.85</v>
      </c>
      <c r="E14" s="196">
        <f>IF(D$30=0,C14*2,C14+D14)</f>
        <v>115.15</v>
      </c>
      <c r="F14" s="625">
        <f>'0664'!F14:G14</f>
        <v>1.1220000000000001</v>
      </c>
      <c r="G14" s="625"/>
      <c r="H14" s="153">
        <f>ROUND(E14*F14,4)</f>
        <v>129.19829999999999</v>
      </c>
      <c r="I14" s="112">
        <f>ROUND(ROUND(ROUND(H14*$C$8,4)*($H$8),2)*(MAX($H$9,1)),2)</f>
        <v>693395.14</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4.5</v>
      </c>
      <c r="D15" s="151">
        <v>4.5</v>
      </c>
      <c r="E15" s="117">
        <f t="shared" ref="E15:E29" si="1">IF(D$30=0,C15*2,C15+D15)</f>
        <v>9</v>
      </c>
      <c r="F15" s="622">
        <f>'0664'!F15:G15</f>
        <v>1.1220000000000001</v>
      </c>
      <c r="G15" s="622"/>
      <c r="H15" s="81">
        <f t="shared" ref="H15:H29" si="2">ROUND(E15*F15,4)</f>
        <v>10.098000000000001</v>
      </c>
      <c r="I15" s="102">
        <f t="shared" ref="I15:I29" si="3">ROUND(ROUND(ROUND(H15*$C$8,4)*($H$8),2)*(MAX($H$9,1)),2)</f>
        <v>54195.02</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86.32</v>
      </c>
      <c r="D16" s="151">
        <v>87.01</v>
      </c>
      <c r="E16" s="117">
        <f t="shared" si="1"/>
        <v>173.32999999999998</v>
      </c>
      <c r="F16" s="622">
        <f>'0664'!F16:G16</f>
        <v>1</v>
      </c>
      <c r="G16" s="622"/>
      <c r="H16" s="81">
        <f t="shared" si="2"/>
        <v>173.33</v>
      </c>
      <c r="I16" s="102">
        <f t="shared" si="3"/>
        <v>930245.83</v>
      </c>
      <c r="N16" s="635" t="s">
        <v>22</v>
      </c>
      <c r="O16" s="635"/>
      <c r="P16" s="636">
        <f t="shared" si="0"/>
        <v>0</v>
      </c>
      <c r="Q16" s="636"/>
      <c r="R16" s="637">
        <v>1</v>
      </c>
      <c r="S16" s="637"/>
      <c r="T16" s="96">
        <f t="shared" si="4"/>
        <v>0</v>
      </c>
      <c r="U16" s="97">
        <f t="shared" si="5"/>
        <v>0</v>
      </c>
    </row>
    <row r="17" spans="1:21" x14ac:dyDescent="0.25">
      <c r="A17" s="586" t="s">
        <v>23</v>
      </c>
      <c r="B17" s="586"/>
      <c r="C17" s="151">
        <v>13.44</v>
      </c>
      <c r="D17" s="151">
        <v>13.68</v>
      </c>
      <c r="E17" s="117">
        <f t="shared" si="1"/>
        <v>27.119999999999997</v>
      </c>
      <c r="F17" s="622">
        <f>'0664'!F17:G17</f>
        <v>1</v>
      </c>
      <c r="G17" s="622"/>
      <c r="H17" s="81">
        <f t="shared" si="2"/>
        <v>27.12</v>
      </c>
      <c r="I17" s="102">
        <f t="shared" si="3"/>
        <v>145550.49</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6.7</v>
      </c>
      <c r="D26" s="151">
        <v>6.7</v>
      </c>
      <c r="E26" s="117">
        <f t="shared" si="1"/>
        <v>13.4</v>
      </c>
      <c r="F26" s="622">
        <f>'0664'!F26:G26</f>
        <v>1.208</v>
      </c>
      <c r="G26" s="622"/>
      <c r="H26" s="81">
        <f t="shared" si="2"/>
        <v>16.187200000000001</v>
      </c>
      <c r="I26" s="102">
        <f t="shared" si="3"/>
        <v>86875.18</v>
      </c>
      <c r="N26" s="635" t="s">
        <v>91</v>
      </c>
      <c r="O26" s="635"/>
      <c r="P26" s="636">
        <f t="shared" si="0"/>
        <v>0</v>
      </c>
      <c r="Q26" s="636"/>
      <c r="R26" s="637">
        <v>1</v>
      </c>
      <c r="S26" s="637"/>
      <c r="T26" s="96">
        <f t="shared" si="4"/>
        <v>0</v>
      </c>
      <c r="U26" s="97">
        <f t="shared" si="5"/>
        <v>0</v>
      </c>
    </row>
    <row r="27" spans="1:21" x14ac:dyDescent="0.25">
      <c r="A27" s="586" t="s">
        <v>92</v>
      </c>
      <c r="B27" s="586"/>
      <c r="C27" s="151">
        <v>3.21</v>
      </c>
      <c r="D27" s="151">
        <v>3.21</v>
      </c>
      <c r="E27" s="117">
        <f t="shared" si="1"/>
        <v>6.42</v>
      </c>
      <c r="F27" s="622">
        <f>'0664'!F27:G27</f>
        <v>1.208</v>
      </c>
      <c r="G27" s="622"/>
      <c r="H27" s="81">
        <f t="shared" si="2"/>
        <v>7.7553999999999998</v>
      </c>
      <c r="I27" s="102">
        <f t="shared" si="3"/>
        <v>41622.5</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171.47</v>
      </c>
      <c r="D30" s="95">
        <f>SUM(D14:D29)</f>
        <v>172.95000000000002</v>
      </c>
      <c r="E30" s="95">
        <f>SUM(E14:E29)</f>
        <v>344.42</v>
      </c>
      <c r="F30" s="609"/>
      <c r="G30" s="609"/>
      <c r="H30" s="100">
        <f>SUM(H14:H29)</f>
        <v>363.68890000000005</v>
      </c>
      <c r="I30" s="95">
        <f>SUM(I14:I29)</f>
        <v>1951884.16</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363.68890000000005</v>
      </c>
      <c r="F46" s="34"/>
      <c r="G46" s="107"/>
      <c r="H46" s="108" t="s">
        <v>104</v>
      </c>
      <c r="I46" s="95">
        <f>SUM(I44,I30)</f>
        <v>1951884.16</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1951884.16</v>
      </c>
      <c r="G51" s="110" t="s">
        <v>6</v>
      </c>
      <c r="H51" s="425">
        <v>4.5199999999999997E-2</v>
      </c>
      <c r="I51" s="102">
        <f>ROUND(F51*H51,2)</f>
        <v>88225.16</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1951884.16</v>
      </c>
      <c r="G52" s="110" t="s">
        <v>6</v>
      </c>
      <c r="H52" s="425">
        <v>1.41E-2</v>
      </c>
      <c r="I52" s="102">
        <f>ROUND(F52*H52,2)</f>
        <v>27521.57</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115746.73000000001</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344.42</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1.694E-3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363.68890000000005</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1.598E-3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344.42</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1.843E-3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344.42</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1.696E-3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344.42</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1.8450000000000001E-3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1.696E-3</v>
      </c>
      <c r="I71" s="102">
        <f>ROUND(F71*H71,2)</f>
        <v>75752.75</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1.694E-3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1.8450000000000001E-3</v>
      </c>
      <c r="I76" s="102">
        <f>ROUND(F76*H76,2)</f>
        <v>29828.21</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1.843E-3</v>
      </c>
      <c r="I78" s="102">
        <f t="shared" ref="I78:I87" si="10">ROUND(F78*H78,2)</f>
        <v>18503.900000000001</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36.119999999999997</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36.119999999999997</v>
      </c>
      <c r="G83" s="37" t="s">
        <v>6</v>
      </c>
      <c r="H83" s="448">
        <f>'0664'!H83</f>
        <v>1951.26</v>
      </c>
      <c r="I83" s="102">
        <f>ROUND(F83*H83,2)</f>
        <v>70479.509999999995</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1.598E-3</v>
      </c>
      <c r="I85" s="102">
        <f t="shared" si="10"/>
        <v>374552.71</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1.598E-3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155.48349999999999</v>
      </c>
      <c r="D92" s="597"/>
      <c r="E92" s="47">
        <f>H8</f>
        <v>1.0442</v>
      </c>
      <c r="F92" s="320">
        <f>'0664'!F92</f>
        <v>947.59</v>
      </c>
      <c r="G92" s="39" t="s">
        <v>12</v>
      </c>
      <c r="H92" s="102">
        <f>ROUND(C92*E92*F92,2)</f>
        <v>153846.79999999999</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208.20540000000003</v>
      </c>
      <c r="D93" s="597"/>
      <c r="E93" s="47">
        <f>H8</f>
        <v>1.0442</v>
      </c>
      <c r="F93" s="320">
        <f>'0664'!F93</f>
        <v>904.74</v>
      </c>
      <c r="G93" s="39" t="s">
        <v>12</v>
      </c>
      <c r="H93" s="102">
        <f>ROUND(C93*E93*F93,2)</f>
        <v>196697.79</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363.68889999999999</v>
      </c>
      <c r="D95" s="601"/>
      <c r="E95" s="130"/>
      <c r="F95" s="130"/>
      <c r="G95" s="130"/>
      <c r="H95" s="131" t="s">
        <v>112</v>
      </c>
      <c r="I95" s="102">
        <f>IF(A1=75,0,H94+H93+H92)</f>
        <v>350544.58999999997</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2</v>
      </c>
      <c r="D101" s="151">
        <v>0</v>
      </c>
      <c r="E101" s="117">
        <f>(C101+D101)/2</f>
        <v>1</v>
      </c>
      <c r="F101" s="134" t="s">
        <v>30</v>
      </c>
      <c r="G101" s="321">
        <f>'0664'!G101</f>
        <v>565</v>
      </c>
      <c r="I101" s="102">
        <f>ROUND(G101*E101,2)</f>
        <v>565</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2987857.5599999991</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2872110.8299999991</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1" t="s">
        <v>258</v>
      </c>
      <c r="H123" s="147">
        <f>IF(H121=1,I121,I118)</f>
        <v>2872110.8299999991</v>
      </c>
      <c r="I123" s="95">
        <f>ROUND(IF(E30=0,0,IF(E30&gt;250,-(((250/E30)*H123)*IF(G123="H",0.02,0.05)),IF(G123="H",-0.02*H123,-0.05*H123))),2)</f>
        <v>-41694.89</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2946162.669999999</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2946162.669999999</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245513.56</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15747.33</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CCCC"/>
  </sheetPr>
  <dimension ref="A1:V209"/>
  <sheetViews>
    <sheetView showGridLines="0" zoomScaleNormal="100" workbookViewId="0">
      <pane ySplit="1" topLeftCell="A120"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347</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0</v>
      </c>
      <c r="D16" s="151">
        <v>0</v>
      </c>
      <c r="E16" s="117">
        <f t="shared" si="1"/>
        <v>0</v>
      </c>
      <c r="F16" s="622">
        <f>'0664'!F16:G16</f>
        <v>1</v>
      </c>
      <c r="G16" s="622"/>
      <c r="H16" s="81">
        <f t="shared" si="2"/>
        <v>0</v>
      </c>
      <c r="I16" s="102">
        <f t="shared" si="3"/>
        <v>0</v>
      </c>
      <c r="N16" s="635" t="s">
        <v>22</v>
      </c>
      <c r="O16" s="635"/>
      <c r="P16" s="636">
        <f t="shared" si="0"/>
        <v>0</v>
      </c>
      <c r="Q16" s="636"/>
      <c r="R16" s="637">
        <v>1</v>
      </c>
      <c r="S16" s="637"/>
      <c r="T16" s="96">
        <f t="shared" si="4"/>
        <v>0</v>
      </c>
      <c r="U16" s="97">
        <f t="shared" si="5"/>
        <v>0</v>
      </c>
    </row>
    <row r="17" spans="1:21" x14ac:dyDescent="0.25">
      <c r="A17" s="586" t="s">
        <v>23</v>
      </c>
      <c r="B17" s="586"/>
      <c r="C17" s="151">
        <v>0</v>
      </c>
      <c r="D17" s="151">
        <v>0</v>
      </c>
      <c r="E17" s="117">
        <f t="shared" si="1"/>
        <v>0</v>
      </c>
      <c r="F17" s="622">
        <f>'0664'!F17:G17</f>
        <v>1</v>
      </c>
      <c r="G17" s="622"/>
      <c r="H17" s="81">
        <f t="shared" si="2"/>
        <v>0</v>
      </c>
      <c r="I17" s="102">
        <f t="shared" si="3"/>
        <v>0</v>
      </c>
      <c r="J17" s="66"/>
      <c r="N17" s="635" t="s">
        <v>23</v>
      </c>
      <c r="O17" s="635"/>
      <c r="P17" s="636">
        <f t="shared" si="0"/>
        <v>0</v>
      </c>
      <c r="Q17" s="636"/>
      <c r="R17" s="637">
        <v>1</v>
      </c>
      <c r="S17" s="637"/>
      <c r="T17" s="96">
        <f t="shared" si="4"/>
        <v>0</v>
      </c>
      <c r="U17" s="97">
        <f t="shared" si="5"/>
        <v>0</v>
      </c>
    </row>
    <row r="18" spans="1:21" x14ac:dyDescent="0.25">
      <c r="A18" s="586" t="s">
        <v>24</v>
      </c>
      <c r="B18" s="586"/>
      <c r="C18" s="151">
        <v>207.31</v>
      </c>
      <c r="D18" s="151">
        <v>228.38</v>
      </c>
      <c r="E18" s="117">
        <f t="shared" si="1"/>
        <v>435.69</v>
      </c>
      <c r="F18" s="622">
        <f>'0664'!F18:G18</f>
        <v>0.98799999999999999</v>
      </c>
      <c r="G18" s="622"/>
      <c r="H18" s="81">
        <f t="shared" si="2"/>
        <v>430.46170000000001</v>
      </c>
      <c r="I18" s="102">
        <f t="shared" si="3"/>
        <v>2310247.5099999998</v>
      </c>
      <c r="N18" s="635" t="s">
        <v>24</v>
      </c>
      <c r="O18" s="635"/>
      <c r="P18" s="636">
        <f t="shared" si="0"/>
        <v>0</v>
      </c>
      <c r="Q18" s="636"/>
      <c r="R18" s="637">
        <v>1</v>
      </c>
      <c r="S18" s="637"/>
      <c r="T18" s="96">
        <f t="shared" si="4"/>
        <v>0</v>
      </c>
      <c r="U18" s="97">
        <f t="shared" si="5"/>
        <v>0</v>
      </c>
    </row>
    <row r="19" spans="1:21" x14ac:dyDescent="0.25">
      <c r="A19" s="586" t="s">
        <v>25</v>
      </c>
      <c r="B19" s="586"/>
      <c r="C19" s="151">
        <v>51</v>
      </c>
      <c r="D19" s="151">
        <v>60.07</v>
      </c>
      <c r="E19" s="117">
        <f t="shared" si="1"/>
        <v>111.07</v>
      </c>
      <c r="F19" s="622">
        <f>'0664'!F19:G19</f>
        <v>0.98799999999999999</v>
      </c>
      <c r="G19" s="622"/>
      <c r="H19" s="81">
        <f t="shared" si="2"/>
        <v>109.7372</v>
      </c>
      <c r="I19" s="102">
        <f t="shared" si="3"/>
        <v>588949.24</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0</v>
      </c>
      <c r="D27" s="151">
        <v>0</v>
      </c>
      <c r="E27" s="117">
        <f t="shared" si="1"/>
        <v>0</v>
      </c>
      <c r="F27" s="622">
        <f>'0664'!F27:G27</f>
        <v>1.208</v>
      </c>
      <c r="G27" s="622"/>
      <c r="H27" s="81">
        <f t="shared" si="2"/>
        <v>0</v>
      </c>
      <c r="I27" s="102">
        <f t="shared" si="3"/>
        <v>0</v>
      </c>
      <c r="N27" s="635" t="s">
        <v>92</v>
      </c>
      <c r="O27" s="635"/>
      <c r="P27" s="636">
        <f t="shared" si="0"/>
        <v>0</v>
      </c>
      <c r="Q27" s="636"/>
      <c r="R27" s="637">
        <v>1</v>
      </c>
      <c r="S27" s="637"/>
      <c r="T27" s="96">
        <f t="shared" si="4"/>
        <v>0</v>
      </c>
      <c r="U27" s="97">
        <f t="shared" si="5"/>
        <v>0</v>
      </c>
    </row>
    <row r="28" spans="1:21" x14ac:dyDescent="0.25">
      <c r="A28" s="586" t="s">
        <v>93</v>
      </c>
      <c r="B28" s="586"/>
      <c r="C28" s="151">
        <v>16</v>
      </c>
      <c r="D28" s="151">
        <v>20.21</v>
      </c>
      <c r="E28" s="117">
        <f t="shared" si="1"/>
        <v>36.21</v>
      </c>
      <c r="F28" s="622">
        <f>'0664'!F28:G28</f>
        <v>1.208</v>
      </c>
      <c r="G28" s="622"/>
      <c r="H28" s="81">
        <f t="shared" si="2"/>
        <v>43.741700000000002</v>
      </c>
      <c r="I28" s="102">
        <f t="shared" si="3"/>
        <v>234757.6</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274.31</v>
      </c>
      <c r="D30" s="95">
        <f>SUM(D14:D29)</f>
        <v>308.65999999999997</v>
      </c>
      <c r="E30" s="95">
        <f>SUM(E14:E29)</f>
        <v>582.97</v>
      </c>
      <c r="F30" s="609"/>
      <c r="G30" s="609"/>
      <c r="H30" s="100">
        <f>SUM(H14:H29)</f>
        <v>583.94060000000002</v>
      </c>
      <c r="I30" s="95">
        <f>SUM(I14:I29)</f>
        <v>3133954.35</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583.94060000000002</v>
      </c>
      <c r="F46" s="34"/>
      <c r="G46" s="107"/>
      <c r="H46" s="108" t="s">
        <v>104</v>
      </c>
      <c r="I46" s="95">
        <f>SUM(I44,I30)</f>
        <v>3133954.35</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3133954.35</v>
      </c>
      <c r="G51" s="110" t="s">
        <v>6</v>
      </c>
      <c r="H51" s="425">
        <v>4.5199999999999997E-2</v>
      </c>
      <c r="I51" s="102">
        <f>ROUND(F51*H51,2)</f>
        <v>141654.74</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3133954.35</v>
      </c>
      <c r="G52" s="110" t="s">
        <v>6</v>
      </c>
      <c r="H52" s="425">
        <v>1.41E-2</v>
      </c>
      <c r="I52" s="102">
        <f>ROUND(F52*H52,2)</f>
        <v>44188.76</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185843.5</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582.97</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2.8670000000000002E-3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583.94060000000002</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2.5660000000000001E-3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582.97</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3.1189999999999998E-3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582.97</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2.8709999999999999E-3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582.97</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3.1229999999999999E-3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2.8709999999999999E-3</v>
      </c>
      <c r="I71" s="102">
        <f>ROUND(F71*H71,2)</f>
        <v>128234.75</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2.8670000000000002E-3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3.1229999999999999E-3</v>
      </c>
      <c r="I76" s="102">
        <f>ROUND(F76*H76,2)</f>
        <v>50489.7</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3.1189999999999998E-3</v>
      </c>
      <c r="I78" s="102">
        <f t="shared" ref="I78:I87" si="10">ROUND(F78*H78,2)</f>
        <v>31315.07</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111.07</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111.07</v>
      </c>
      <c r="G83" s="37" t="s">
        <v>6</v>
      </c>
      <c r="H83" s="448">
        <f>'0664'!H83</f>
        <v>1951.26</v>
      </c>
      <c r="I83" s="102">
        <f>ROUND(F83*H83,2)</f>
        <v>216726.45</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2.5660000000000001E-3</v>
      </c>
      <c r="I85" s="102">
        <f t="shared" si="10"/>
        <v>601440.71</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2.5660000000000001E-3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0</v>
      </c>
      <c r="D92" s="597"/>
      <c r="E92" s="47">
        <f>H8</f>
        <v>1.0442</v>
      </c>
      <c r="F92" s="320">
        <f>'0664'!F92</f>
        <v>947.59</v>
      </c>
      <c r="G92" s="39" t="s">
        <v>12</v>
      </c>
      <c r="H92" s="102">
        <f>ROUND(C92*E92*F92,2)</f>
        <v>0</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0</v>
      </c>
      <c r="D93" s="597"/>
      <c r="E93" s="47">
        <f>H8</f>
        <v>1.0442</v>
      </c>
      <c r="F93" s="320">
        <f>'0664'!F93</f>
        <v>904.74</v>
      </c>
      <c r="G93" s="39" t="s">
        <v>12</v>
      </c>
      <c r="H93" s="102">
        <f>ROUND(C93*E93*F93,2)</f>
        <v>0</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583.94060000000002</v>
      </c>
      <c r="D94" s="597"/>
      <c r="E94" s="47">
        <f>H8</f>
        <v>1.0442</v>
      </c>
      <c r="F94" s="320">
        <f>'0664'!F94</f>
        <v>906.93</v>
      </c>
      <c r="G94" s="39" t="s">
        <v>12</v>
      </c>
      <c r="H94" s="95">
        <f>ROUND(C94*E94*F94,2)</f>
        <v>553001.27</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583.94060000000002</v>
      </c>
      <c r="D95" s="601"/>
      <c r="E95" s="130"/>
      <c r="F95" s="130"/>
      <c r="G95" s="130"/>
      <c r="H95" s="131" t="s">
        <v>112</v>
      </c>
      <c r="I95" s="102">
        <f>IF(A1=75,0,H94+H93+H92)</f>
        <v>553001.27</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83</v>
      </c>
      <c r="D101" s="151">
        <v>76</v>
      </c>
      <c r="E101" s="117">
        <f>(C101+D101)/2</f>
        <v>79.5</v>
      </c>
      <c r="F101" s="134" t="s">
        <v>30</v>
      </c>
      <c r="G101" s="321">
        <f>'0664'!G101</f>
        <v>565</v>
      </c>
      <c r="I101" s="102">
        <f>ROUND(G101*E101,2)</f>
        <v>44917.5</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4945923.3000000007</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4760079.8000000007</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4760079.8000000007</v>
      </c>
      <c r="I123" s="95">
        <f>ROUND(IF(E30=0,0,IF(E30&gt;250,-(((250/E30)*H123)*IF(G123="H",0.02,0.05)),IF(G123="H",-0.02*H123,-0.05*H123))),2)</f>
        <v>-102065.28</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4843858.0200000005</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4843858.0200000005</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403654.84</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135938.71</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CCCC"/>
  </sheetPr>
  <dimension ref="A1:V209"/>
  <sheetViews>
    <sheetView showGridLines="0" zoomScaleNormal="100" workbookViewId="0">
      <pane ySplit="1" topLeftCell="A94"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143</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9" t="s">
        <v>333</v>
      </c>
      <c r="D10" s="89"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112.01</v>
      </c>
      <c r="D14" s="149">
        <v>107.48</v>
      </c>
      <c r="E14" s="196">
        <f>IF(D$30=0,C14*2,C14+D14)</f>
        <v>219.49</v>
      </c>
      <c r="F14" s="625">
        <f>'0664'!F14:G14</f>
        <v>1.1220000000000001</v>
      </c>
      <c r="G14" s="625"/>
      <c r="H14" s="153">
        <f>ROUND(E14*F14,4)</f>
        <v>246.26779999999999</v>
      </c>
      <c r="I14" s="112">
        <f>ROUND(ROUND(ROUND(H14*$C$8,4)*($H$8),2)*(MAX($H$9,1)),2)</f>
        <v>1321696.1499999999</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9.5</v>
      </c>
      <c r="D15" s="151">
        <v>10.54</v>
      </c>
      <c r="E15" s="117">
        <f t="shared" ref="E15:E29" si="1">IF(D$30=0,C15*2,C15+D15)</f>
        <v>20.04</v>
      </c>
      <c r="F15" s="622">
        <f>'0664'!F15:G15</f>
        <v>1.1220000000000001</v>
      </c>
      <c r="G15" s="622"/>
      <c r="H15" s="81">
        <f t="shared" ref="H15:H29" si="2">ROUND(E15*F15,4)</f>
        <v>22.4849</v>
      </c>
      <c r="I15" s="102">
        <f t="shared" ref="I15:I29" si="3">ROUND(ROUND(ROUND(H15*$C$8,4)*($H$8),2)*(MAX($H$9,1)),2)</f>
        <v>120674.35</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171.44</v>
      </c>
      <c r="D16" s="151">
        <v>175.71</v>
      </c>
      <c r="E16" s="117">
        <f t="shared" si="1"/>
        <v>347.15</v>
      </c>
      <c r="F16" s="622">
        <f>'0664'!F16:G16</f>
        <v>1</v>
      </c>
      <c r="G16" s="622"/>
      <c r="H16" s="81">
        <f t="shared" si="2"/>
        <v>347.15</v>
      </c>
      <c r="I16" s="102">
        <f t="shared" si="3"/>
        <v>1863121.44</v>
      </c>
      <c r="N16" s="635" t="s">
        <v>22</v>
      </c>
      <c r="O16" s="635"/>
      <c r="P16" s="636">
        <f t="shared" si="0"/>
        <v>0</v>
      </c>
      <c r="Q16" s="636"/>
      <c r="R16" s="637">
        <v>1</v>
      </c>
      <c r="S16" s="637"/>
      <c r="T16" s="96">
        <f t="shared" si="4"/>
        <v>0</v>
      </c>
      <c r="U16" s="97">
        <f t="shared" si="5"/>
        <v>0</v>
      </c>
    </row>
    <row r="17" spans="1:21" x14ac:dyDescent="0.25">
      <c r="A17" s="586" t="s">
        <v>23</v>
      </c>
      <c r="B17" s="586"/>
      <c r="C17" s="151">
        <v>23</v>
      </c>
      <c r="D17" s="151">
        <v>19</v>
      </c>
      <c r="E17" s="117">
        <f t="shared" si="1"/>
        <v>42</v>
      </c>
      <c r="F17" s="622">
        <f>'0664'!F17:G17</f>
        <v>1</v>
      </c>
      <c r="G17" s="622"/>
      <c r="H17" s="81">
        <f t="shared" si="2"/>
        <v>42</v>
      </c>
      <c r="I17" s="102">
        <f t="shared" si="3"/>
        <v>225410.05</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22.25</v>
      </c>
      <c r="D26" s="151">
        <v>23.49</v>
      </c>
      <c r="E26" s="117">
        <f t="shared" si="1"/>
        <v>45.739999999999995</v>
      </c>
      <c r="F26" s="622">
        <f>'0664'!F26:G26</f>
        <v>1.208</v>
      </c>
      <c r="G26" s="622"/>
      <c r="H26" s="81">
        <f t="shared" si="2"/>
        <v>55.253900000000002</v>
      </c>
      <c r="I26" s="102">
        <f t="shared" si="3"/>
        <v>296542.49</v>
      </c>
      <c r="N26" s="635" t="s">
        <v>91</v>
      </c>
      <c r="O26" s="635"/>
      <c r="P26" s="636">
        <f t="shared" si="0"/>
        <v>0</v>
      </c>
      <c r="Q26" s="636"/>
      <c r="R26" s="637">
        <v>1</v>
      </c>
      <c r="S26" s="637"/>
      <c r="T26" s="96">
        <f t="shared" si="4"/>
        <v>0</v>
      </c>
      <c r="U26" s="97">
        <f t="shared" si="5"/>
        <v>0</v>
      </c>
    </row>
    <row r="27" spans="1:21" x14ac:dyDescent="0.25">
      <c r="A27" s="586" t="s">
        <v>92</v>
      </c>
      <c r="B27" s="586"/>
      <c r="C27" s="151">
        <v>18.32</v>
      </c>
      <c r="D27" s="151">
        <v>19.510000000000002</v>
      </c>
      <c r="E27" s="117">
        <f t="shared" si="1"/>
        <v>37.83</v>
      </c>
      <c r="F27" s="622">
        <f>'0664'!F27:G27</f>
        <v>1.208</v>
      </c>
      <c r="G27" s="622"/>
      <c r="H27" s="81">
        <f t="shared" si="2"/>
        <v>45.698599999999999</v>
      </c>
      <c r="I27" s="102">
        <f t="shared" si="3"/>
        <v>245260.09</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356.52</v>
      </c>
      <c r="D30" s="95">
        <f>SUM(D14:D29)</f>
        <v>355.73</v>
      </c>
      <c r="E30" s="95">
        <f>SUM(E14:E29)</f>
        <v>712.25</v>
      </c>
      <c r="F30" s="609"/>
      <c r="G30" s="609"/>
      <c r="H30" s="100">
        <f>SUM(H14:H29)</f>
        <v>758.85519999999997</v>
      </c>
      <c r="I30" s="95">
        <f>SUM(I14:I29)</f>
        <v>4072704.5699999994</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758.85519999999997</v>
      </c>
      <c r="F46" s="34"/>
      <c r="G46" s="107"/>
      <c r="H46" s="108" t="s">
        <v>104</v>
      </c>
      <c r="I46" s="95">
        <f>SUM(I44,I30)</f>
        <v>4072704.5699999994</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4072704.5699999994</v>
      </c>
      <c r="G51" s="110" t="s">
        <v>6</v>
      </c>
      <c r="H51" s="425">
        <v>4.5199999999999997E-2</v>
      </c>
      <c r="I51" s="102">
        <f>ROUND(F51*H51,2)</f>
        <v>184086.25</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4072704.5699999994</v>
      </c>
      <c r="G52" s="110" t="s">
        <v>6</v>
      </c>
      <c r="H52" s="425">
        <v>1.41E-2</v>
      </c>
      <c r="I52" s="102">
        <f>ROUND(F52*H52,2)</f>
        <v>57425.13</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241511.38</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712.25</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3.503E-3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758.85519999999997</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3.3349999999999999E-3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712.25</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3.8110000000000002E-3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712.25</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3.5070000000000001E-3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712.25</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3.8149999999999998E-3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3.5070000000000001E-3</v>
      </c>
      <c r="I71" s="102">
        <f>ROUND(F71*H71,2)</f>
        <v>156642.03</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3.503E-3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3.8149999999999998E-3</v>
      </c>
      <c r="I76" s="102">
        <f>ROUND(F76*H76,2)</f>
        <v>61677.3</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3.8110000000000002E-3</v>
      </c>
      <c r="I78" s="102">
        <f t="shared" ref="I78:I87" si="10">ROUND(F78*H78,2)</f>
        <v>38262.82</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62.04</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62.04</v>
      </c>
      <c r="G83" s="37" t="s">
        <v>6</v>
      </c>
      <c r="H83" s="448">
        <f>'0664'!H83</f>
        <v>1951.26</v>
      </c>
      <c r="I83" s="102">
        <f>ROUND(F83*H83,2)</f>
        <v>121056.17</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3.3349999999999999E-3</v>
      </c>
      <c r="I85" s="102">
        <f t="shared" si="10"/>
        <v>781685.42</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3.3349999999999999E-3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324.00659999999999</v>
      </c>
      <c r="D92" s="597"/>
      <c r="E92" s="47">
        <f>H8</f>
        <v>1.0442</v>
      </c>
      <c r="F92" s="320">
        <f>'0664'!F92</f>
        <v>947.59</v>
      </c>
      <c r="G92" s="39" t="s">
        <v>12</v>
      </c>
      <c r="H92" s="102">
        <f>ROUND(C92*E92*F92,2)</f>
        <v>320595.94</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434.84859999999998</v>
      </c>
      <c r="D93" s="597"/>
      <c r="E93" s="47">
        <f>H8</f>
        <v>1.0442</v>
      </c>
      <c r="F93" s="320">
        <f>'0664'!F93</f>
        <v>904.74</v>
      </c>
      <c r="G93" s="39" t="s">
        <v>12</v>
      </c>
      <c r="H93" s="102">
        <f>ROUND(C93*E93*F93,2)</f>
        <v>410814.3</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758.85519999999997</v>
      </c>
      <c r="D95" s="601"/>
      <c r="E95" s="130"/>
      <c r="F95" s="130"/>
      <c r="G95" s="130"/>
      <c r="H95" s="131" t="s">
        <v>112</v>
      </c>
      <c r="I95" s="102">
        <f>IF(A1=75,0,H94+H93+H92)</f>
        <v>731410.24</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54</v>
      </c>
      <c r="D101" s="151">
        <v>54</v>
      </c>
      <c r="E101" s="117">
        <f>(C101+D101)/2</f>
        <v>54</v>
      </c>
      <c r="F101" s="134" t="s">
        <v>30</v>
      </c>
      <c r="G101" s="321">
        <f>'0664'!G101</f>
        <v>565</v>
      </c>
      <c r="I101" s="102">
        <f>ROUND(G101*E101,2)</f>
        <v>30510</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6235459.9299999997</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5993948.5499999998</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5993948.5499999998</v>
      </c>
      <c r="I123" s="95">
        <f>ROUND(IF(E30=0,0,IF(E30&gt;250,-(((250/E30)*H123)*IF(G123="H",0.02,0.05)),IF(G123="H",-0.02*H123,-0.05*H123))),2)</f>
        <v>-105193.9</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6130266.0299999993</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6130266.0299999993</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510855.5</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194503.53</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CCCC"/>
  </sheetPr>
  <dimension ref="A1:V209"/>
  <sheetViews>
    <sheetView showGridLines="0" zoomScaleNormal="100" workbookViewId="0">
      <pane ySplit="1" topLeftCell="A114"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144</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9" t="s">
        <v>333</v>
      </c>
      <c r="D10" s="89"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174.71</v>
      </c>
      <c r="D14" s="149">
        <v>171.48</v>
      </c>
      <c r="E14" s="196">
        <f>IF(D$30=0,C14*2,C14+D14)</f>
        <v>346.19</v>
      </c>
      <c r="F14" s="625">
        <f>'0664'!F14:G14</f>
        <v>1.1220000000000001</v>
      </c>
      <c r="G14" s="625"/>
      <c r="H14" s="153">
        <f>ROUND(E14*F14,4)</f>
        <v>388.42520000000002</v>
      </c>
      <c r="I14" s="112">
        <f>ROUND(ROUND(ROUND(H14*$C$8,4)*($H$8),2)*(MAX($H$9,1)),2)</f>
        <v>2084641.56</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21</v>
      </c>
      <c r="D15" s="151">
        <v>21.54</v>
      </c>
      <c r="E15" s="117">
        <f t="shared" ref="E15:E29" si="1">IF(D$30=0,C15*2,C15+D15)</f>
        <v>42.54</v>
      </c>
      <c r="F15" s="622">
        <f>'0664'!F15:G15</f>
        <v>1.1220000000000001</v>
      </c>
      <c r="G15" s="622"/>
      <c r="H15" s="81">
        <f t="shared" ref="H15:H29" si="2">ROUND(E15*F15,4)</f>
        <v>47.729900000000001</v>
      </c>
      <c r="I15" s="102">
        <f t="shared" ref="I15:I29" si="3">ROUND(ROUND(ROUND(H15*$C$8,4)*($H$8),2)*(MAX($H$9,1)),2)</f>
        <v>256161.89</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229.15</v>
      </c>
      <c r="D16" s="151">
        <v>236.4</v>
      </c>
      <c r="E16" s="117">
        <f t="shared" si="1"/>
        <v>465.55</v>
      </c>
      <c r="F16" s="622">
        <f>'0664'!F16:G16</f>
        <v>1</v>
      </c>
      <c r="G16" s="622"/>
      <c r="H16" s="81">
        <f t="shared" si="2"/>
        <v>465.55</v>
      </c>
      <c r="I16" s="102">
        <f t="shared" si="3"/>
        <v>2498563.12</v>
      </c>
      <c r="N16" s="635" t="s">
        <v>22</v>
      </c>
      <c r="O16" s="635"/>
      <c r="P16" s="636">
        <f t="shared" si="0"/>
        <v>0</v>
      </c>
      <c r="Q16" s="636"/>
      <c r="R16" s="637">
        <v>1</v>
      </c>
      <c r="S16" s="637"/>
      <c r="T16" s="96">
        <f t="shared" si="4"/>
        <v>0</v>
      </c>
      <c r="U16" s="97">
        <f t="shared" si="5"/>
        <v>0</v>
      </c>
    </row>
    <row r="17" spans="1:21" x14ac:dyDescent="0.25">
      <c r="A17" s="586" t="s">
        <v>23</v>
      </c>
      <c r="B17" s="586"/>
      <c r="C17" s="151">
        <v>31.86</v>
      </c>
      <c r="D17" s="151">
        <v>32.29</v>
      </c>
      <c r="E17" s="117">
        <f t="shared" si="1"/>
        <v>64.150000000000006</v>
      </c>
      <c r="F17" s="622">
        <f>'0664'!F17:G17</f>
        <v>1</v>
      </c>
      <c r="G17" s="622"/>
      <c r="H17" s="81">
        <f t="shared" si="2"/>
        <v>64.150000000000006</v>
      </c>
      <c r="I17" s="102">
        <f t="shared" si="3"/>
        <v>344287.02</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68.239999999999995</v>
      </c>
      <c r="D26" s="151">
        <v>70.02</v>
      </c>
      <c r="E26" s="117">
        <f t="shared" si="1"/>
        <v>138.26</v>
      </c>
      <c r="F26" s="622">
        <f>'0664'!F26:G26</f>
        <v>1.208</v>
      </c>
      <c r="G26" s="622"/>
      <c r="H26" s="81">
        <f t="shared" si="2"/>
        <v>167.0181</v>
      </c>
      <c r="I26" s="102">
        <f t="shared" si="3"/>
        <v>896370.45</v>
      </c>
      <c r="N26" s="635" t="s">
        <v>91</v>
      </c>
      <c r="O26" s="635"/>
      <c r="P26" s="636">
        <f t="shared" si="0"/>
        <v>0</v>
      </c>
      <c r="Q26" s="636"/>
      <c r="R26" s="637">
        <v>1</v>
      </c>
      <c r="S26" s="637"/>
      <c r="T26" s="96">
        <f t="shared" si="4"/>
        <v>0</v>
      </c>
      <c r="U26" s="97">
        <f t="shared" si="5"/>
        <v>0</v>
      </c>
    </row>
    <row r="27" spans="1:21" x14ac:dyDescent="0.25">
      <c r="A27" s="586" t="s">
        <v>92</v>
      </c>
      <c r="B27" s="586"/>
      <c r="C27" s="151">
        <v>44.19</v>
      </c>
      <c r="D27" s="151">
        <v>42.67</v>
      </c>
      <c r="E27" s="117">
        <f t="shared" si="1"/>
        <v>86.86</v>
      </c>
      <c r="F27" s="622">
        <f>'0664'!F27:G27</f>
        <v>1.208</v>
      </c>
      <c r="G27" s="622"/>
      <c r="H27" s="81">
        <f t="shared" si="2"/>
        <v>104.9269</v>
      </c>
      <c r="I27" s="102">
        <f t="shared" si="3"/>
        <v>563132.81999999995</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569.15000000000009</v>
      </c>
      <c r="D30" s="95">
        <f>SUM(D14:D29)</f>
        <v>574.4</v>
      </c>
      <c r="E30" s="95">
        <f>SUM(E14:E29)</f>
        <v>1143.55</v>
      </c>
      <c r="F30" s="609"/>
      <c r="G30" s="609"/>
      <c r="H30" s="100">
        <f>SUM(H14:H29)</f>
        <v>1237.8000999999999</v>
      </c>
      <c r="I30" s="95">
        <f>SUM(I14:I29)</f>
        <v>6643156.8600000003</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1237.8000999999999</v>
      </c>
      <c r="F46" s="34"/>
      <c r="G46" s="107"/>
      <c r="H46" s="108" t="s">
        <v>104</v>
      </c>
      <c r="I46" s="95">
        <f>SUM(I44,I30)</f>
        <v>6643156.8600000003</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6643156.8600000003</v>
      </c>
      <c r="G51" s="110" t="s">
        <v>6</v>
      </c>
      <c r="H51" s="425">
        <v>4.5199999999999997E-2</v>
      </c>
      <c r="I51" s="102">
        <f>ROUND(F51*H51,2)</f>
        <v>300270.69</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6643156.8600000003</v>
      </c>
      <c r="G52" s="110" t="s">
        <v>6</v>
      </c>
      <c r="H52" s="425">
        <v>1.41E-2</v>
      </c>
      <c r="I52" s="102">
        <f>ROUND(F52*H52,2)</f>
        <v>93668.51</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393939.20000000001</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1143.55</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5.6249999999999998E-3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1237.8000999999999</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5.4400000000000004E-3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1143.55</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6.1180000000000002E-3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1143.55</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5.6309999999999997E-3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1143.55</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6.1260000000000004E-3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5.6309999999999997E-3</v>
      </c>
      <c r="I71" s="102">
        <f>ROUND(F71*H71,2)</f>
        <v>251511.63</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5.6249999999999998E-3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6.1260000000000004E-3</v>
      </c>
      <c r="I76" s="102">
        <f>ROUND(F76*H76,2)</f>
        <v>99039.360000000001</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6.1180000000000002E-3</v>
      </c>
      <c r="I78" s="102">
        <f t="shared" ref="I78:I87" si="10">ROUND(F78*H78,2)</f>
        <v>61425.33</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106.69</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106.69</v>
      </c>
      <c r="G83" s="37" t="s">
        <v>6</v>
      </c>
      <c r="H83" s="448">
        <f>'0664'!H83</f>
        <v>1951.26</v>
      </c>
      <c r="I83" s="102">
        <f>ROUND(F83*H83,2)</f>
        <v>208179.93</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5.4400000000000004E-3</v>
      </c>
      <c r="I85" s="102">
        <f t="shared" si="10"/>
        <v>1275073.06</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5.4400000000000004E-3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603.17319999999995</v>
      </c>
      <c r="D92" s="597"/>
      <c r="E92" s="47">
        <f>H8</f>
        <v>1.0442</v>
      </c>
      <c r="F92" s="320">
        <f>'0664'!F92</f>
        <v>947.59</v>
      </c>
      <c r="G92" s="39" t="s">
        <v>12</v>
      </c>
      <c r="H92" s="102">
        <f>ROUND(C92*E92*F92,2)</f>
        <v>596823.88</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634.62690000000009</v>
      </c>
      <c r="D93" s="597"/>
      <c r="E93" s="47">
        <f>H8</f>
        <v>1.0442</v>
      </c>
      <c r="F93" s="320">
        <f>'0664'!F93</f>
        <v>904.74</v>
      </c>
      <c r="G93" s="39" t="s">
        <v>12</v>
      </c>
      <c r="H93" s="102">
        <f>ROUND(C93*E93*F93,2)</f>
        <v>599550.76</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1237.8000999999999</v>
      </c>
      <c r="D95" s="601"/>
      <c r="E95" s="130"/>
      <c r="F95" s="130"/>
      <c r="G95" s="130"/>
      <c r="H95" s="131" t="s">
        <v>112</v>
      </c>
      <c r="I95" s="102">
        <f>IF(A1=75,0,H94+H93+H92)</f>
        <v>1196374.6400000001</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5</v>
      </c>
      <c r="D101" s="151">
        <v>2</v>
      </c>
      <c r="E101" s="117">
        <f>(C101+D101)/2</f>
        <v>3.5</v>
      </c>
      <c r="F101" s="134" t="s">
        <v>30</v>
      </c>
      <c r="G101" s="321">
        <f>'0664'!G101</f>
        <v>565</v>
      </c>
      <c r="I101" s="102">
        <f>ROUND(G101*E101,2)</f>
        <v>1977.5</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10130677.510000002</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9736738.3100000024</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9736738.3100000024</v>
      </c>
      <c r="I123" s="95">
        <f>ROUND(IF(E30=0,0,IF(E30&gt;250,-(((250/E30)*H123)*IF(G123="H",0.02,0.05)),IF(G123="H",-0.02*H123,-0.05*H123))),2)</f>
        <v>-106431.05</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10024246.460000001</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10024246.460000001</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835353.87</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380405.87</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CCCC"/>
  </sheetPr>
  <dimension ref="A1:V209"/>
  <sheetViews>
    <sheetView showGridLines="0" zoomScaleNormal="100" workbookViewId="0">
      <pane ySplit="1" topLeftCell="A114" activePane="bottomLeft" state="frozen"/>
      <selection activeCell="A58" sqref="A58"/>
      <selection pane="bottomLeft" activeCell="F27" sqref="F27:G27"/>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145</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273.76</v>
      </c>
      <c r="D16" s="151">
        <v>270.77</v>
      </c>
      <c r="E16" s="117">
        <f t="shared" si="1"/>
        <v>544.53</v>
      </c>
      <c r="F16" s="622">
        <f>'0664'!F16:G16</f>
        <v>1</v>
      </c>
      <c r="G16" s="622"/>
      <c r="H16" s="81">
        <f t="shared" si="2"/>
        <v>544.53</v>
      </c>
      <c r="I16" s="102">
        <f t="shared" si="3"/>
        <v>2922441.36</v>
      </c>
      <c r="N16" s="635" t="s">
        <v>22</v>
      </c>
      <c r="O16" s="635"/>
      <c r="P16" s="636">
        <f t="shared" si="0"/>
        <v>0</v>
      </c>
      <c r="Q16" s="636"/>
      <c r="R16" s="637">
        <v>1</v>
      </c>
      <c r="S16" s="637"/>
      <c r="T16" s="96">
        <f t="shared" si="4"/>
        <v>0</v>
      </c>
      <c r="U16" s="97">
        <f t="shared" si="5"/>
        <v>0</v>
      </c>
    </row>
    <row r="17" spans="1:21" x14ac:dyDescent="0.25">
      <c r="A17" s="586" t="s">
        <v>23</v>
      </c>
      <c r="B17" s="586"/>
      <c r="C17" s="151">
        <v>65</v>
      </c>
      <c r="D17" s="151">
        <v>61.51</v>
      </c>
      <c r="E17" s="117">
        <f t="shared" si="1"/>
        <v>126.50999999999999</v>
      </c>
      <c r="F17" s="622">
        <f>'0664'!F17:G17</f>
        <v>1</v>
      </c>
      <c r="G17" s="622"/>
      <c r="H17" s="81">
        <f t="shared" si="2"/>
        <v>126.51</v>
      </c>
      <c r="I17" s="102">
        <f t="shared" si="3"/>
        <v>678967.29</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6.49</v>
      </c>
      <c r="D27" s="151">
        <v>7.15</v>
      </c>
      <c r="E27" s="117">
        <f t="shared" si="1"/>
        <v>13.64</v>
      </c>
      <c r="F27" s="622">
        <f>'0664'!F27:G27</f>
        <v>1.208</v>
      </c>
      <c r="G27" s="622"/>
      <c r="H27" s="81">
        <f t="shared" si="2"/>
        <v>16.4771</v>
      </c>
      <c r="I27" s="102">
        <f t="shared" si="3"/>
        <v>88431.05</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345.25</v>
      </c>
      <c r="D30" s="95">
        <f>SUM(D14:D29)</f>
        <v>339.42999999999995</v>
      </c>
      <c r="E30" s="95">
        <f>SUM(E14:E29)</f>
        <v>684.68</v>
      </c>
      <c r="F30" s="609"/>
      <c r="G30" s="609"/>
      <c r="H30" s="100">
        <f>SUM(H14:H29)</f>
        <v>687.51709999999991</v>
      </c>
      <c r="I30" s="95">
        <f>SUM(I14:I29)</f>
        <v>3689839.6999999997</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687.51709999999991</v>
      </c>
      <c r="F46" s="34"/>
      <c r="G46" s="107"/>
      <c r="H46" s="108" t="s">
        <v>104</v>
      </c>
      <c r="I46" s="95">
        <f>SUM(I44,I30)</f>
        <v>3689839.6999999997</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3689839.6999999997</v>
      </c>
      <c r="G51" s="110" t="s">
        <v>6</v>
      </c>
      <c r="H51" s="425">
        <v>4.5199999999999997E-2</v>
      </c>
      <c r="I51" s="102">
        <f>ROUND(F51*H51,2)</f>
        <v>166780.75</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3689839.6999999997</v>
      </c>
      <c r="G52" s="110" t="s">
        <v>6</v>
      </c>
      <c r="H52" s="425">
        <v>1.41E-2</v>
      </c>
      <c r="I52" s="102">
        <f>ROUND(F52*H52,2)</f>
        <v>52026.74</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218807.49</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684.68</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3.3679999999999999E-3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687.51709999999991</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3.0219999999999999E-3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684.68</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3.663E-3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684.68</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3.3709999999999999E-3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684.68</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3.6679999999999998E-3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3.3709999999999999E-3</v>
      </c>
      <c r="I71" s="102">
        <f>ROUND(F71*H71,2)</f>
        <v>150567.51999999999</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3.3679999999999999E-3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3.6679999999999998E-3</v>
      </c>
      <c r="I76" s="102">
        <f>ROUND(F76*H76,2)</f>
        <v>59300.75</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3.663E-3</v>
      </c>
      <c r="I78" s="102">
        <f t="shared" ref="I78:I87" si="10">ROUND(F78*H78,2)</f>
        <v>36776.879999999997</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126.50999999999999</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126.50999999999999</v>
      </c>
      <c r="G83" s="37" t="s">
        <v>6</v>
      </c>
      <c r="H83" s="448">
        <f>'0664'!H83</f>
        <v>1951.26</v>
      </c>
      <c r="I83" s="102">
        <f>ROUND(F83*H83,2)</f>
        <v>246853.9</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3.0219999999999999E-3</v>
      </c>
      <c r="I85" s="102">
        <f t="shared" si="10"/>
        <v>708321.84</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3.0219999999999999E-3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0</v>
      </c>
      <c r="D92" s="597"/>
      <c r="E92" s="47">
        <f>H8</f>
        <v>1.0442</v>
      </c>
      <c r="F92" s="320">
        <f>'0664'!F92</f>
        <v>947.59</v>
      </c>
      <c r="G92" s="39" t="s">
        <v>12</v>
      </c>
      <c r="H92" s="102">
        <f>ROUND(C92*E92*F92,2)</f>
        <v>0</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687.51709999999991</v>
      </c>
      <c r="D93" s="597"/>
      <c r="E93" s="47">
        <f>H8</f>
        <v>1.0442</v>
      </c>
      <c r="F93" s="320">
        <f>'0664'!F93</f>
        <v>904.74</v>
      </c>
      <c r="G93" s="39" t="s">
        <v>12</v>
      </c>
      <c r="H93" s="102">
        <f>ROUND(C93*E93*F93,2)</f>
        <v>649517.68999999994</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687.51709999999991</v>
      </c>
      <c r="D95" s="601"/>
      <c r="E95" s="130"/>
      <c r="F95" s="130"/>
      <c r="G95" s="130"/>
      <c r="H95" s="131" t="s">
        <v>112</v>
      </c>
      <c r="I95" s="102">
        <f>IF(A1=75,0,H94+H93+H92)</f>
        <v>649517.68999999994</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0</v>
      </c>
      <c r="D101" s="151">
        <v>0</v>
      </c>
      <c r="E101" s="117">
        <f>(C101+D101)/2</f>
        <v>0</v>
      </c>
      <c r="F101" s="134" t="s">
        <v>30</v>
      </c>
      <c r="G101" s="321">
        <f>'0664'!G101</f>
        <v>565</v>
      </c>
      <c r="I101" s="102">
        <f>ROUND(G101*E101,2)</f>
        <v>0</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5759985.7699999996</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5541178.2799999993</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1" t="s">
        <v>258</v>
      </c>
      <c r="H123" s="147">
        <f>IF(H121=1,I121,I118)</f>
        <v>5541178.2799999993</v>
      </c>
      <c r="I123" s="95">
        <f>ROUND(IF(E30=0,0,IF(E30&gt;250,-(((250/E30)*H123)*IF(G123="H",0.02,0.05)),IF(G123="H",-0.02*H123,-0.05*H123))),2)</f>
        <v>-40465.46</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5719520.3099999996</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5719520.3099999996</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476626.69</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70358.11</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CCCC"/>
  </sheetPr>
  <dimension ref="A1:V209"/>
  <sheetViews>
    <sheetView showGridLines="0" zoomScaleNormal="100" workbookViewId="0">
      <pane ySplit="1" topLeftCell="A114"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146</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0</v>
      </c>
      <c r="D16" s="151">
        <v>0</v>
      </c>
      <c r="E16" s="117">
        <f t="shared" si="1"/>
        <v>0</v>
      </c>
      <c r="F16" s="622">
        <f>'0664'!F16:G16</f>
        <v>1</v>
      </c>
      <c r="G16" s="622"/>
      <c r="H16" s="81">
        <f t="shared" si="2"/>
        <v>0</v>
      </c>
      <c r="I16" s="102">
        <f t="shared" si="3"/>
        <v>0</v>
      </c>
      <c r="N16" s="635" t="s">
        <v>22</v>
      </c>
      <c r="O16" s="635"/>
      <c r="P16" s="636">
        <f t="shared" si="0"/>
        <v>0</v>
      </c>
      <c r="Q16" s="636"/>
      <c r="R16" s="637">
        <v>1</v>
      </c>
      <c r="S16" s="637"/>
      <c r="T16" s="96">
        <f t="shared" si="4"/>
        <v>0</v>
      </c>
      <c r="U16" s="97">
        <f t="shared" si="5"/>
        <v>0</v>
      </c>
    </row>
    <row r="17" spans="1:21" x14ac:dyDescent="0.25">
      <c r="A17" s="586" t="s">
        <v>23</v>
      </c>
      <c r="B17" s="586"/>
      <c r="C17" s="151">
        <v>0</v>
      </c>
      <c r="D17" s="151">
        <v>0</v>
      </c>
      <c r="E17" s="117">
        <f t="shared" si="1"/>
        <v>0</v>
      </c>
      <c r="F17" s="622">
        <f>'0664'!F17:G17</f>
        <v>1</v>
      </c>
      <c r="G17" s="622"/>
      <c r="H17" s="81">
        <f t="shared" si="2"/>
        <v>0</v>
      </c>
      <c r="I17" s="102">
        <f t="shared" si="3"/>
        <v>0</v>
      </c>
      <c r="J17" s="66"/>
      <c r="N17" s="635" t="s">
        <v>23</v>
      </c>
      <c r="O17" s="635"/>
      <c r="P17" s="636">
        <f t="shared" si="0"/>
        <v>0</v>
      </c>
      <c r="Q17" s="636"/>
      <c r="R17" s="637">
        <v>1</v>
      </c>
      <c r="S17" s="637"/>
      <c r="T17" s="96">
        <f t="shared" si="4"/>
        <v>0</v>
      </c>
      <c r="U17" s="97">
        <f t="shared" si="5"/>
        <v>0</v>
      </c>
    </row>
    <row r="18" spans="1:21" x14ac:dyDescent="0.25">
      <c r="A18" s="586" t="s">
        <v>24</v>
      </c>
      <c r="B18" s="586"/>
      <c r="C18" s="151">
        <v>452.59</v>
      </c>
      <c r="D18" s="151">
        <v>446.86</v>
      </c>
      <c r="E18" s="117">
        <f t="shared" si="1"/>
        <v>899.45</v>
      </c>
      <c r="F18" s="622">
        <f>'0664'!F18:G18</f>
        <v>0.98799999999999999</v>
      </c>
      <c r="G18" s="622"/>
      <c r="H18" s="81">
        <f t="shared" si="2"/>
        <v>888.65660000000003</v>
      </c>
      <c r="I18" s="102">
        <f t="shared" si="3"/>
        <v>4769336.5</v>
      </c>
      <c r="N18" s="635" t="s">
        <v>24</v>
      </c>
      <c r="O18" s="635"/>
      <c r="P18" s="636">
        <f t="shared" si="0"/>
        <v>0</v>
      </c>
      <c r="Q18" s="636"/>
      <c r="R18" s="637">
        <v>1</v>
      </c>
      <c r="S18" s="637"/>
      <c r="T18" s="96">
        <f t="shared" si="4"/>
        <v>0</v>
      </c>
      <c r="U18" s="97">
        <f t="shared" si="5"/>
        <v>0</v>
      </c>
    </row>
    <row r="19" spans="1:21" x14ac:dyDescent="0.25">
      <c r="A19" s="586" t="s">
        <v>25</v>
      </c>
      <c r="B19" s="586"/>
      <c r="C19" s="151">
        <v>41.68</v>
      </c>
      <c r="D19" s="151">
        <v>38.9</v>
      </c>
      <c r="E19" s="117">
        <f t="shared" si="1"/>
        <v>80.58</v>
      </c>
      <c r="F19" s="622">
        <f>'0664'!F19:G19</f>
        <v>0.98799999999999999</v>
      </c>
      <c r="G19" s="622"/>
      <c r="H19" s="81">
        <f t="shared" si="2"/>
        <v>79.613</v>
      </c>
      <c r="I19" s="102">
        <f t="shared" si="3"/>
        <v>427275.49</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0</v>
      </c>
      <c r="D27" s="151">
        <v>0</v>
      </c>
      <c r="E27" s="117">
        <f t="shared" si="1"/>
        <v>0</v>
      </c>
      <c r="F27" s="622">
        <f>'0664'!F27:G27</f>
        <v>1.208</v>
      </c>
      <c r="G27" s="622"/>
      <c r="H27" s="81">
        <f t="shared" si="2"/>
        <v>0</v>
      </c>
      <c r="I27" s="102">
        <f t="shared" si="3"/>
        <v>0</v>
      </c>
      <c r="N27" s="635" t="s">
        <v>92</v>
      </c>
      <c r="O27" s="635"/>
      <c r="P27" s="636">
        <f t="shared" si="0"/>
        <v>0</v>
      </c>
      <c r="Q27" s="636"/>
      <c r="R27" s="637">
        <v>1</v>
      </c>
      <c r="S27" s="637"/>
      <c r="T27" s="96">
        <f t="shared" si="4"/>
        <v>0</v>
      </c>
      <c r="U27" s="97">
        <f t="shared" si="5"/>
        <v>0</v>
      </c>
    </row>
    <row r="28" spans="1:21" x14ac:dyDescent="0.25">
      <c r="A28" s="586" t="s">
        <v>93</v>
      </c>
      <c r="B28" s="586"/>
      <c r="C28" s="151">
        <v>12.13</v>
      </c>
      <c r="D28" s="151">
        <v>11.07</v>
      </c>
      <c r="E28" s="117">
        <f t="shared" si="1"/>
        <v>23.200000000000003</v>
      </c>
      <c r="F28" s="622">
        <f>'0664'!F28:G28</f>
        <v>1.208</v>
      </c>
      <c r="G28" s="622"/>
      <c r="H28" s="81">
        <f t="shared" si="2"/>
        <v>28.025600000000001</v>
      </c>
      <c r="I28" s="102">
        <f t="shared" si="3"/>
        <v>150410.76</v>
      </c>
      <c r="N28" s="635" t="s">
        <v>93</v>
      </c>
      <c r="O28" s="635"/>
      <c r="P28" s="636">
        <f t="shared" si="0"/>
        <v>0</v>
      </c>
      <c r="Q28" s="636"/>
      <c r="R28" s="637">
        <v>1</v>
      </c>
      <c r="S28" s="637"/>
      <c r="T28" s="96">
        <f t="shared" si="4"/>
        <v>0</v>
      </c>
      <c r="U28" s="97">
        <f t="shared" si="5"/>
        <v>0</v>
      </c>
    </row>
    <row r="29" spans="1:21" x14ac:dyDescent="0.25">
      <c r="A29" s="586" t="s">
        <v>94</v>
      </c>
      <c r="B29" s="586"/>
      <c r="C29" s="111">
        <v>28.41</v>
      </c>
      <c r="D29" s="111">
        <v>28.7</v>
      </c>
      <c r="E29" s="163">
        <f t="shared" si="1"/>
        <v>57.11</v>
      </c>
      <c r="F29" s="622">
        <f>'0664'!F29:G29</f>
        <v>1.0720000000000001</v>
      </c>
      <c r="G29" s="622"/>
      <c r="H29" s="94">
        <f t="shared" si="2"/>
        <v>61.221899999999998</v>
      </c>
      <c r="I29" s="95">
        <f t="shared" si="3"/>
        <v>328572.19</v>
      </c>
      <c r="N29" s="652" t="s">
        <v>94</v>
      </c>
      <c r="O29" s="652"/>
      <c r="P29" s="636">
        <f t="shared" si="0"/>
        <v>0</v>
      </c>
      <c r="Q29" s="636"/>
      <c r="R29" s="653">
        <v>1</v>
      </c>
      <c r="S29" s="653"/>
      <c r="T29" s="96">
        <f t="shared" si="4"/>
        <v>0</v>
      </c>
      <c r="U29" s="97">
        <f t="shared" si="5"/>
        <v>0</v>
      </c>
    </row>
    <row r="30" spans="1:21" x14ac:dyDescent="0.25">
      <c r="A30" s="584" t="s">
        <v>5</v>
      </c>
      <c r="B30" s="584"/>
      <c r="C30" s="95">
        <f>SUM(C14:C29)</f>
        <v>534.80999999999995</v>
      </c>
      <c r="D30" s="95">
        <f>SUM(D14:D29)</f>
        <v>525.53</v>
      </c>
      <c r="E30" s="95">
        <f>SUM(E14:E29)</f>
        <v>1060.3400000000001</v>
      </c>
      <c r="F30" s="609"/>
      <c r="G30" s="609"/>
      <c r="H30" s="100">
        <f>SUM(H14:H29)</f>
        <v>1057.5171</v>
      </c>
      <c r="I30" s="95">
        <f>SUM(I14:I29)</f>
        <v>5675594.9400000004</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1057.5171</v>
      </c>
      <c r="F46" s="34"/>
      <c r="G46" s="107"/>
      <c r="H46" s="108" t="s">
        <v>104</v>
      </c>
      <c r="I46" s="95">
        <f>SUM(I44,I30)</f>
        <v>5675594.9400000004</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5675594.9400000004</v>
      </c>
      <c r="G51" s="110" t="s">
        <v>6</v>
      </c>
      <c r="H51" s="425">
        <v>4.5199999999999997E-2</v>
      </c>
      <c r="I51" s="102">
        <f>ROUND(F51*H51,2)</f>
        <v>256536.89</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5675594.9400000004</v>
      </c>
      <c r="G52" s="110" t="s">
        <v>6</v>
      </c>
      <c r="H52" s="425">
        <v>1.41E-2</v>
      </c>
      <c r="I52" s="102">
        <f>ROUND(F52*H52,2)</f>
        <v>80025.89</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336562.78</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1060.3400000000001</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5.215E-3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1057.5171</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4.6480000000000002E-3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1060.3400000000001</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5.6730000000000001E-3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1060.3400000000001</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5.2209999999999999E-3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1060.3400000000001</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5.6800000000000002E-3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5.2209999999999999E-3</v>
      </c>
      <c r="I71" s="102">
        <f>ROUND(F71*H71,2)</f>
        <v>233198.76</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5.215E-3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5.6800000000000002E-3</v>
      </c>
      <c r="I76" s="102">
        <f>ROUND(F76*H76,2)</f>
        <v>91828.86</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5.6730000000000001E-3</v>
      </c>
      <c r="I78" s="102">
        <f t="shared" ref="I78:I87" si="10">ROUND(F78*H78,2)</f>
        <v>56957.48</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80.58</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80.58</v>
      </c>
      <c r="G83" s="37" t="s">
        <v>6</v>
      </c>
      <c r="H83" s="448">
        <f>'0664'!H83</f>
        <v>1951.26</v>
      </c>
      <c r="I83" s="102">
        <f>ROUND(F83*H83,2)</f>
        <v>157232.53</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4.6480000000000002E-3</v>
      </c>
      <c r="I85" s="102">
        <f t="shared" si="10"/>
        <v>1089437.43</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4.6480000000000002E-3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0</v>
      </c>
      <c r="D92" s="597"/>
      <c r="E92" s="47">
        <f>H8</f>
        <v>1.0442</v>
      </c>
      <c r="F92" s="320">
        <f>'0664'!F92</f>
        <v>947.59</v>
      </c>
      <c r="G92" s="39" t="s">
        <v>12</v>
      </c>
      <c r="H92" s="102">
        <f>ROUND(C92*E92*F92,2)</f>
        <v>0</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0</v>
      </c>
      <c r="D93" s="597"/>
      <c r="E93" s="47">
        <f>H8</f>
        <v>1.0442</v>
      </c>
      <c r="F93" s="320">
        <f>'0664'!F93</f>
        <v>904.74</v>
      </c>
      <c r="G93" s="39" t="s">
        <v>12</v>
      </c>
      <c r="H93" s="102">
        <f>ROUND(C93*E93*F93,2)</f>
        <v>0</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1057.5171</v>
      </c>
      <c r="D94" s="597"/>
      <c r="E94" s="47">
        <f>H8</f>
        <v>1.0442</v>
      </c>
      <c r="F94" s="320">
        <f>'0664'!F94</f>
        <v>906.93</v>
      </c>
      <c r="G94" s="39" t="s">
        <v>12</v>
      </c>
      <c r="H94" s="95">
        <f>ROUND(C94*E94*F94,2)</f>
        <v>1001485.94</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1057.5171</v>
      </c>
      <c r="D95" s="601"/>
      <c r="E95" s="130"/>
      <c r="F95" s="130"/>
      <c r="G95" s="130"/>
      <c r="H95" s="131" t="s">
        <v>112</v>
      </c>
      <c r="I95" s="102">
        <f>IF(A1=75,0,H94+H93+H92)</f>
        <v>1001485.94</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1</v>
      </c>
      <c r="D101" s="151">
        <v>0</v>
      </c>
      <c r="E101" s="117">
        <f>(C101+D101)/2</f>
        <v>0.5</v>
      </c>
      <c r="F101" s="134" t="s">
        <v>30</v>
      </c>
      <c r="G101" s="321">
        <f>'0664'!G101</f>
        <v>565</v>
      </c>
      <c r="I101" s="102">
        <f>ROUND(G101*E101,2)</f>
        <v>282.5</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8642581.2200000007</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8306018.4400000004</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400" t="s">
        <v>258</v>
      </c>
      <c r="H123" s="147">
        <f>IF(H121=1,I121,I118)</f>
        <v>8306018.4400000004</v>
      </c>
      <c r="I123" s="95">
        <f>ROUND(IF(E30=0,0,IF(E30&gt;250,-(((250/E30)*H123)*IF(G123="H",0.02,0.05)),IF(G123="H",-0.02*H123,-0.05*H123))),2)</f>
        <v>-39166.769999999997</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8603414.4500000011</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8603414.4500000011</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716951.2</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126953.60000000001</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CCCC"/>
  </sheetPr>
  <dimension ref="A1:V209"/>
  <sheetViews>
    <sheetView showGridLines="0" zoomScaleNormal="100" workbookViewId="0">
      <pane ySplit="1" topLeftCell="A96"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352</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9" t="s">
        <v>333</v>
      </c>
      <c r="D10" s="89"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249.92</v>
      </c>
      <c r="D14" s="149">
        <v>249.2</v>
      </c>
      <c r="E14" s="196">
        <f>IF(D$30=0,C14*2,C14+D14)</f>
        <v>499.12</v>
      </c>
      <c r="F14" s="625">
        <f>'0664'!F14:G14</f>
        <v>1.1220000000000001</v>
      </c>
      <c r="G14" s="625"/>
      <c r="H14" s="153">
        <f>ROUND(E14*F14,4)</f>
        <v>560.01260000000002</v>
      </c>
      <c r="I14" s="112">
        <f>ROUND(ROUND(ROUND(H14*$C$8,4)*($H$8),2)*(MAX($H$9,1)),2)</f>
        <v>3005535.02</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21.5</v>
      </c>
      <c r="D15" s="151">
        <v>23.54</v>
      </c>
      <c r="E15" s="117">
        <f t="shared" ref="E15:E29" si="1">IF(D$30=0,C15*2,C15+D15)</f>
        <v>45.04</v>
      </c>
      <c r="F15" s="622">
        <f>'0664'!F15:G15</f>
        <v>1.1220000000000001</v>
      </c>
      <c r="G15" s="622"/>
      <c r="H15" s="81">
        <f t="shared" ref="H15:H29" si="2">ROUND(E15*F15,4)</f>
        <v>50.5349</v>
      </c>
      <c r="I15" s="102">
        <f t="shared" ref="I15:I29" si="3">ROUND(ROUND(ROUND(H15*$C$8,4)*($H$8),2)*(MAX($H$9,1)),2)</f>
        <v>271216.06</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303.26</v>
      </c>
      <c r="D16" s="151">
        <v>295.35000000000002</v>
      </c>
      <c r="E16" s="117">
        <f t="shared" si="1"/>
        <v>598.61</v>
      </c>
      <c r="F16" s="622">
        <f>'0664'!F16:G16</f>
        <v>1</v>
      </c>
      <c r="G16" s="622"/>
      <c r="H16" s="81">
        <f t="shared" si="2"/>
        <v>598.61</v>
      </c>
      <c r="I16" s="102">
        <f t="shared" si="3"/>
        <v>3212683.64</v>
      </c>
      <c r="N16" s="635" t="s">
        <v>22</v>
      </c>
      <c r="O16" s="635"/>
      <c r="P16" s="636">
        <f t="shared" si="0"/>
        <v>0</v>
      </c>
      <c r="Q16" s="636"/>
      <c r="R16" s="637">
        <v>1</v>
      </c>
      <c r="S16" s="637"/>
      <c r="T16" s="96">
        <f t="shared" si="4"/>
        <v>0</v>
      </c>
      <c r="U16" s="97">
        <f t="shared" si="5"/>
        <v>0</v>
      </c>
    </row>
    <row r="17" spans="1:21" x14ac:dyDescent="0.25">
      <c r="A17" s="586" t="s">
        <v>23</v>
      </c>
      <c r="B17" s="586"/>
      <c r="C17" s="151">
        <v>39</v>
      </c>
      <c r="D17" s="151">
        <v>35.409999999999997</v>
      </c>
      <c r="E17" s="117">
        <f t="shared" si="1"/>
        <v>74.41</v>
      </c>
      <c r="F17" s="622">
        <f>'0664'!F17:G17</f>
        <v>1</v>
      </c>
      <c r="G17" s="622"/>
      <c r="H17" s="81">
        <f t="shared" si="2"/>
        <v>74.41</v>
      </c>
      <c r="I17" s="102">
        <f t="shared" si="3"/>
        <v>399351.48</v>
      </c>
      <c r="J17" s="66"/>
      <c r="N17" s="635" t="s">
        <v>23</v>
      </c>
      <c r="O17" s="635"/>
      <c r="P17" s="636">
        <f t="shared" si="0"/>
        <v>0</v>
      </c>
      <c r="Q17" s="636"/>
      <c r="R17" s="637">
        <v>1</v>
      </c>
      <c r="S17" s="637"/>
      <c r="T17" s="96">
        <f t="shared" si="4"/>
        <v>0</v>
      </c>
      <c r="U17" s="97">
        <f t="shared" si="5"/>
        <v>0</v>
      </c>
    </row>
    <row r="18" spans="1:21" x14ac:dyDescent="0.25">
      <c r="A18" s="586" t="s">
        <v>24</v>
      </c>
      <c r="B18" s="586"/>
      <c r="C18" s="151"/>
      <c r="D18" s="151"/>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c r="D19" s="151"/>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21.58</v>
      </c>
      <c r="D26" s="151">
        <v>22.53</v>
      </c>
      <c r="E26" s="117">
        <f t="shared" si="1"/>
        <v>44.11</v>
      </c>
      <c r="F26" s="622">
        <f>'0664'!F26:G26</f>
        <v>1.208</v>
      </c>
      <c r="G26" s="622"/>
      <c r="H26" s="81">
        <f t="shared" si="2"/>
        <v>53.2849</v>
      </c>
      <c r="I26" s="102">
        <f t="shared" si="3"/>
        <v>285975.05</v>
      </c>
      <c r="N26" s="635" t="s">
        <v>91</v>
      </c>
      <c r="O26" s="635"/>
      <c r="P26" s="636">
        <f t="shared" si="0"/>
        <v>0</v>
      </c>
      <c r="Q26" s="636"/>
      <c r="R26" s="637">
        <v>1</v>
      </c>
      <c r="S26" s="637"/>
      <c r="T26" s="96">
        <f t="shared" si="4"/>
        <v>0</v>
      </c>
      <c r="U26" s="97">
        <f t="shared" si="5"/>
        <v>0</v>
      </c>
    </row>
    <row r="27" spans="1:21" x14ac:dyDescent="0.25">
      <c r="A27" s="586" t="s">
        <v>92</v>
      </c>
      <c r="B27" s="586"/>
      <c r="C27" s="151">
        <v>17.850000000000001</v>
      </c>
      <c r="D27" s="151">
        <v>17.600000000000001</v>
      </c>
      <c r="E27" s="117">
        <f t="shared" si="1"/>
        <v>35.450000000000003</v>
      </c>
      <c r="F27" s="622">
        <f>'0664'!F27:G27</f>
        <v>1.208</v>
      </c>
      <c r="G27" s="622"/>
      <c r="H27" s="81">
        <f t="shared" si="2"/>
        <v>42.823599999999999</v>
      </c>
      <c r="I27" s="102">
        <f t="shared" si="3"/>
        <v>229830.24</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653.11</v>
      </c>
      <c r="D30" s="95">
        <f>SUM(D14:D29)</f>
        <v>643.63</v>
      </c>
      <c r="E30" s="95">
        <f>SUM(E14:E29)</f>
        <v>1296.74</v>
      </c>
      <c r="F30" s="609"/>
      <c r="G30" s="609"/>
      <c r="H30" s="100">
        <f>SUM(H14:H29)</f>
        <v>1379.6760000000002</v>
      </c>
      <c r="I30" s="95">
        <f>SUM(I14:I29)</f>
        <v>7404591.4900000012</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1379.6760000000002</v>
      </c>
      <c r="F46" s="34"/>
      <c r="G46" s="107"/>
      <c r="H46" s="108" t="s">
        <v>104</v>
      </c>
      <c r="I46" s="95">
        <f>SUM(I44,I30)</f>
        <v>7404591.4900000012</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7404591.4900000012</v>
      </c>
      <c r="G51" s="110" t="s">
        <v>6</v>
      </c>
      <c r="H51" s="425">
        <v>4.5199999999999997E-2</v>
      </c>
      <c r="I51" s="102">
        <f>ROUND(F51*H51,2)</f>
        <v>334687.53999999998</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7404591.4900000012</v>
      </c>
      <c r="G52" s="110" t="s">
        <v>6</v>
      </c>
      <c r="H52" s="425">
        <v>1.41E-2</v>
      </c>
      <c r="I52" s="102">
        <f>ROUND(F52*H52,2)</f>
        <v>104404.74</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439092.27999999997</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1296.74</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6.378E-3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1379.6760000000002</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6.0629999999999998E-3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1296.74</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6.9379999999999997E-3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1296.74</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6.3850000000000001E-3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1296.74</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6.9459999999999999E-3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6.3850000000000001E-3</v>
      </c>
      <c r="I71" s="102">
        <f>ROUND(F71*H71,2)</f>
        <v>285189.45</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6.378E-3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6.9459999999999999E-3</v>
      </c>
      <c r="I76" s="102">
        <f>ROUND(F76*H76,2)</f>
        <v>112296.34</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6.9379999999999997E-3</v>
      </c>
      <c r="I78" s="102">
        <f t="shared" ref="I78:I87" si="10">ROUND(F78*H78,2)</f>
        <v>69658.210000000006</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119.44999999999999</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119.44999999999999</v>
      </c>
      <c r="G83" s="37" t="s">
        <v>6</v>
      </c>
      <c r="H83" s="448">
        <f>'0664'!H83</f>
        <v>1951.26</v>
      </c>
      <c r="I83" s="102">
        <f>ROUND(F83*H83,2)</f>
        <v>233078.01</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6.0629999999999998E-3</v>
      </c>
      <c r="I85" s="102">
        <f t="shared" si="10"/>
        <v>1421097.06</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6.0629999999999998E-3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663.83240000000001</v>
      </c>
      <c r="D92" s="597"/>
      <c r="E92" s="47">
        <f>H8</f>
        <v>1.0442</v>
      </c>
      <c r="F92" s="320">
        <f>'0664'!F92</f>
        <v>947.59</v>
      </c>
      <c r="G92" s="39" t="s">
        <v>12</v>
      </c>
      <c r="H92" s="102">
        <f>ROUND(C92*E92*F92,2)</f>
        <v>656844.55000000005</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715.84359999999992</v>
      </c>
      <c r="D93" s="597"/>
      <c r="E93" s="47">
        <f>H8</f>
        <v>1.0442</v>
      </c>
      <c r="F93" s="320">
        <f>'0664'!F93</f>
        <v>904.74</v>
      </c>
      <c r="G93" s="39" t="s">
        <v>12</v>
      </c>
      <c r="H93" s="102">
        <f>ROUND(C93*E93*F93,2)</f>
        <v>676278.57</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1379.6759999999999</v>
      </c>
      <c r="D95" s="601"/>
      <c r="E95" s="130"/>
      <c r="F95" s="130"/>
      <c r="G95" s="130"/>
      <c r="H95" s="131" t="s">
        <v>112</v>
      </c>
      <c r="I95" s="102">
        <f>IF(A1=75,0,H94+H93+H92)</f>
        <v>1333123.1200000001</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196</v>
      </c>
      <c r="D101" s="151">
        <v>200</v>
      </c>
      <c r="E101" s="117">
        <f>(C101+D101)/2</f>
        <v>198</v>
      </c>
      <c r="F101" s="134" t="s">
        <v>30</v>
      </c>
      <c r="G101" s="321">
        <f>'0664'!G101</f>
        <v>565</v>
      </c>
      <c r="I101" s="102">
        <f>ROUND(G101*E101,2)</f>
        <v>111870</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11409995.960000001</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10970903.680000002</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10970903.680000002</v>
      </c>
      <c r="I123" s="95">
        <f>ROUND(IF(E30=0,0,IF(E30&gt;250,-(((250/E30)*H123)*IF(G123="H",0.02,0.05)),IF(G123="H",-0.02*H123,-0.05*H123))),2)</f>
        <v>-105754.66</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11304241.300000001</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11304241.300000001</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942020.11</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442790.52</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CCCC"/>
  </sheetPr>
  <dimension ref="A1:V209"/>
  <sheetViews>
    <sheetView showGridLines="0" zoomScaleNormal="100" workbookViewId="0">
      <pane ySplit="1" topLeftCell="A114"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1.5703125" style="3" bestFit="1" customWidth="1"/>
    <col min="12"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337</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9" t="s">
        <v>333</v>
      </c>
      <c r="D10" s="89" t="s">
        <v>333</v>
      </c>
      <c r="E10" s="8"/>
      <c r="F10" s="9"/>
      <c r="G10" s="9"/>
      <c r="H10" s="10"/>
      <c r="I10" s="322" t="str">
        <f>'0664'!I10</f>
        <v>2023-24</v>
      </c>
      <c r="J10" s="267"/>
      <c r="K10" s="66"/>
      <c r="L10" s="66"/>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J11" s="269"/>
      <c r="K11" s="268"/>
      <c r="L11" s="268"/>
      <c r="N11" s="12"/>
      <c r="O11" s="12"/>
      <c r="P11" s="13"/>
      <c r="Q11" s="13"/>
      <c r="R11" s="646" t="s">
        <v>1</v>
      </c>
      <c r="S11" s="646"/>
      <c r="T11" s="15" t="s">
        <v>62</v>
      </c>
      <c r="U11" s="16" t="s">
        <v>27</v>
      </c>
    </row>
    <row r="12" spans="1:21" ht="15.75" customHeight="1" x14ac:dyDescent="0.25">
      <c r="A12" s="610" t="s">
        <v>1</v>
      </c>
      <c r="B12" s="610"/>
      <c r="C12" s="344" t="s">
        <v>2</v>
      </c>
      <c r="D12" s="342" t="s">
        <v>2</v>
      </c>
      <c r="E12" s="342" t="s">
        <v>2</v>
      </c>
      <c r="F12" s="619" t="s">
        <v>65</v>
      </c>
      <c r="G12" s="619"/>
      <c r="H12" s="17" t="s">
        <v>61</v>
      </c>
      <c r="I12" s="411" t="s">
        <v>452</v>
      </c>
      <c r="J12" s="267"/>
      <c r="K12" s="268"/>
      <c r="L12" s="268"/>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K13" s="268"/>
      <c r="L13" s="268"/>
      <c r="N13" s="638" t="s">
        <v>36</v>
      </c>
      <c r="O13" s="638"/>
      <c r="P13" s="639" t="s">
        <v>37</v>
      </c>
      <c r="Q13" s="639"/>
      <c r="R13" s="640" t="s">
        <v>38</v>
      </c>
      <c r="S13" s="640"/>
      <c r="T13" s="22" t="s">
        <v>39</v>
      </c>
      <c r="U13" s="23" t="s">
        <v>40</v>
      </c>
    </row>
    <row r="14" spans="1:21" x14ac:dyDescent="0.25">
      <c r="A14" s="611" t="s">
        <v>20</v>
      </c>
      <c r="B14" s="611"/>
      <c r="C14" s="151">
        <v>46.8</v>
      </c>
      <c r="D14" s="149">
        <v>46.52</v>
      </c>
      <c r="E14" s="196">
        <f>IF(D$30=0,C14*2,C14+D14)</f>
        <v>93.32</v>
      </c>
      <c r="F14" s="625">
        <f>'0664'!F14:G14</f>
        <v>1.1220000000000001</v>
      </c>
      <c r="G14" s="625"/>
      <c r="H14" s="153">
        <f>ROUND(E14*F14,4)</f>
        <v>104.705</v>
      </c>
      <c r="I14" s="112">
        <f>ROUND(ROUND(ROUND(H14*$C$8,4)*($H$8),2)*(MAX($H$9,1)),2)</f>
        <v>561941.9</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3.5</v>
      </c>
      <c r="D15" s="151">
        <v>3.41</v>
      </c>
      <c r="E15" s="117">
        <f t="shared" ref="E15:E29" si="1">IF(D$30=0,C15*2,C15+D15)</f>
        <v>6.91</v>
      </c>
      <c r="F15" s="622">
        <f>'0664'!F15:G15</f>
        <v>1.1220000000000001</v>
      </c>
      <c r="G15" s="622"/>
      <c r="H15" s="81">
        <f t="shared" ref="H15:H29" si="2">ROUND(E15*F15,4)</f>
        <v>7.7530000000000001</v>
      </c>
      <c r="I15" s="102">
        <f t="shared" ref="I15:I29" si="3">ROUND(ROUND(ROUND(H15*$C$8,4)*($H$8),2)*(MAX($H$9,1)),2)</f>
        <v>41609.620000000003</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26.41</v>
      </c>
      <c r="D16" s="151">
        <v>26.78</v>
      </c>
      <c r="E16" s="117">
        <f t="shared" si="1"/>
        <v>53.19</v>
      </c>
      <c r="F16" s="622">
        <f>'0664'!F16:G16</f>
        <v>1</v>
      </c>
      <c r="G16" s="622"/>
      <c r="H16" s="81">
        <f t="shared" si="2"/>
        <v>53.19</v>
      </c>
      <c r="I16" s="102">
        <f t="shared" si="3"/>
        <v>285465.73</v>
      </c>
      <c r="N16" s="635" t="s">
        <v>22</v>
      </c>
      <c r="O16" s="635"/>
      <c r="P16" s="636">
        <f t="shared" si="0"/>
        <v>0</v>
      </c>
      <c r="Q16" s="636"/>
      <c r="R16" s="637">
        <v>1</v>
      </c>
      <c r="S16" s="637"/>
      <c r="T16" s="96">
        <f t="shared" si="4"/>
        <v>0</v>
      </c>
      <c r="U16" s="97">
        <f t="shared" si="5"/>
        <v>0</v>
      </c>
    </row>
    <row r="17" spans="1:21" x14ac:dyDescent="0.25">
      <c r="A17" s="586" t="s">
        <v>23</v>
      </c>
      <c r="B17" s="586"/>
      <c r="C17" s="151">
        <v>1.5</v>
      </c>
      <c r="D17" s="151">
        <v>1.5</v>
      </c>
      <c r="E17" s="117">
        <f t="shared" si="1"/>
        <v>3</v>
      </c>
      <c r="F17" s="622">
        <f>'0664'!F17:G17</f>
        <v>1</v>
      </c>
      <c r="G17" s="622"/>
      <c r="H17" s="81">
        <f t="shared" si="2"/>
        <v>3</v>
      </c>
      <c r="I17" s="102">
        <f t="shared" si="3"/>
        <v>16100.72</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65.2</v>
      </c>
      <c r="D26" s="151">
        <v>62.35</v>
      </c>
      <c r="E26" s="117">
        <f t="shared" si="1"/>
        <v>127.55000000000001</v>
      </c>
      <c r="F26" s="622">
        <f>'0664'!F26:G26</f>
        <v>1.208</v>
      </c>
      <c r="G26" s="622"/>
      <c r="H26" s="81">
        <f t="shared" si="2"/>
        <v>154.0804</v>
      </c>
      <c r="I26" s="102">
        <f t="shared" si="3"/>
        <v>826935.03</v>
      </c>
      <c r="N26" s="635" t="s">
        <v>91</v>
      </c>
      <c r="O26" s="635"/>
      <c r="P26" s="636">
        <f t="shared" si="0"/>
        <v>0</v>
      </c>
      <c r="Q26" s="636"/>
      <c r="R26" s="637">
        <v>1</v>
      </c>
      <c r="S26" s="637"/>
      <c r="T26" s="96">
        <f t="shared" si="4"/>
        <v>0</v>
      </c>
      <c r="U26" s="97">
        <f t="shared" si="5"/>
        <v>0</v>
      </c>
    </row>
    <row r="27" spans="1:21" x14ac:dyDescent="0.25">
      <c r="A27" s="586" t="s">
        <v>92</v>
      </c>
      <c r="B27" s="586"/>
      <c r="C27" s="151">
        <v>29.1</v>
      </c>
      <c r="D27" s="151">
        <v>25.83</v>
      </c>
      <c r="E27" s="117">
        <f t="shared" si="1"/>
        <v>54.93</v>
      </c>
      <c r="F27" s="622">
        <f>'0664'!F27:G27</f>
        <v>1.208</v>
      </c>
      <c r="G27" s="622"/>
      <c r="H27" s="81">
        <f t="shared" si="2"/>
        <v>66.355400000000003</v>
      </c>
      <c r="I27" s="102">
        <f t="shared" si="3"/>
        <v>356123.2</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172.51</v>
      </c>
      <c r="D30" s="95">
        <f>SUM(D14:D29)+0</f>
        <v>166.39</v>
      </c>
      <c r="E30" s="95">
        <f>SUM(E14:E29)</f>
        <v>338.90000000000003</v>
      </c>
      <c r="F30" s="609"/>
      <c r="G30" s="609"/>
      <c r="H30" s="100">
        <f>SUM(H14:H29)</f>
        <v>389.0838</v>
      </c>
      <c r="I30" s="95">
        <f>SUM(I14:I29)</f>
        <v>2088176.2</v>
      </c>
      <c r="K30" s="250">
        <f>I30-J30</f>
        <v>2088176.2</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389.0838</v>
      </c>
      <c r="F46" s="34"/>
      <c r="G46" s="107"/>
      <c r="H46" s="108" t="s">
        <v>104</v>
      </c>
      <c r="I46" s="95">
        <f>SUM(I44,I30)</f>
        <v>2088176.2</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2088176.2</v>
      </c>
      <c r="G51" s="110" t="s">
        <v>6</v>
      </c>
      <c r="H51" s="425">
        <v>4.5199999999999997E-2</v>
      </c>
      <c r="I51" s="102">
        <f>ROUND(F51*H51,2)</f>
        <v>94385.56</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2088176.2</v>
      </c>
      <c r="G52" s="110" t="s">
        <v>6</v>
      </c>
      <c r="H52" s="425">
        <v>1.41E-2</v>
      </c>
      <c r="I52" s="102">
        <f>ROUND(F52*H52,2)</f>
        <v>29443.279999999999</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123828.84</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338.90000000000003</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1.6670000000000001E-3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389.0838</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1.7099999999999999E-3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338.90000000000003</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1.8129999999999999E-3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338.90000000000003</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1.6689999999999999E-3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338.90000000000003</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1.815E-3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1.6689999999999999E-3</v>
      </c>
      <c r="I71" s="102">
        <f>ROUND(F71*H71,2)</f>
        <v>74546.78</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1.6670000000000001E-3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1.815E-3</v>
      </c>
      <c r="I76" s="102">
        <f>ROUND(F76*H76,2)</f>
        <v>29343.200000000001</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1.8129999999999999E-3</v>
      </c>
      <c r="I78" s="102">
        <f t="shared" ref="I78:I87" si="10">ROUND(F78*H78,2)</f>
        <v>18202.7</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9.91</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9.91</v>
      </c>
      <c r="G83" s="37" t="s">
        <v>6</v>
      </c>
      <c r="H83" s="448">
        <f>'0664'!H83</f>
        <v>1951.26</v>
      </c>
      <c r="I83" s="102">
        <f>ROUND(F83*H83,2)</f>
        <v>19336.990000000002</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1.7099999999999999E-3</v>
      </c>
      <c r="I85" s="102">
        <f t="shared" si="10"/>
        <v>400804.22</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1.7099999999999999E-3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266.53840000000002</v>
      </c>
      <c r="D92" s="597"/>
      <c r="E92" s="47">
        <f>H8</f>
        <v>1.0442</v>
      </c>
      <c r="F92" s="320">
        <f>'0664'!F92</f>
        <v>947.59</v>
      </c>
      <c r="G92" s="39" t="s">
        <v>12</v>
      </c>
      <c r="H92" s="102">
        <f>ROUND(C92*E92*F92,2)</f>
        <v>263732.68</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122.5454</v>
      </c>
      <c r="D93" s="597"/>
      <c r="E93" s="47">
        <f>H8</f>
        <v>1.0442</v>
      </c>
      <c r="F93" s="320">
        <f>'0664'!F93</f>
        <v>904.74</v>
      </c>
      <c r="G93" s="39" t="s">
        <v>12</v>
      </c>
      <c r="H93" s="102">
        <f>ROUND(C93*E93*F93,2)</f>
        <v>115772.26</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389.0838</v>
      </c>
      <c r="D95" s="601"/>
      <c r="E95" s="130"/>
      <c r="F95" s="130"/>
      <c r="G95" s="130"/>
      <c r="H95" s="131" t="s">
        <v>112</v>
      </c>
      <c r="I95" s="102">
        <f>IF(A1=75,0,H94+H93+H92)</f>
        <v>379504.94</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4"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1</v>
      </c>
      <c r="D101" s="151">
        <v>0</v>
      </c>
      <c r="E101" s="117">
        <f>(C101+D101)/2</f>
        <v>0.5</v>
      </c>
      <c r="F101" s="134" t="s">
        <v>30</v>
      </c>
      <c r="G101" s="321">
        <f>'0664'!G101</f>
        <v>565</v>
      </c>
      <c r="I101" s="102">
        <f>ROUND(G101*E101,2)</f>
        <v>282.5</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3134026.3700000006</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3010197.5300000007</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3010197.5300000007</v>
      </c>
      <c r="I123" s="95">
        <f>ROUND(IF(E30=0,0,IF(E30&gt;250,-(((250/E30)*H123)*IF(G123="H",0.02,0.05)),IF(G123="H",-0.02*H123,-0.05*H123))),2)</f>
        <v>-111028.24</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3022998.1300000004</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82" t="s">
        <v>260</v>
      </c>
      <c r="B127" s="70"/>
      <c r="C127" s="148"/>
      <c r="D127" s="70"/>
      <c r="F127" s="70"/>
      <c r="G127" s="70"/>
      <c r="H127" s="66"/>
      <c r="I127" s="289">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280">
        <f>I125+I127</f>
        <v>3022998.1300000004</v>
      </c>
      <c r="N129" s="74"/>
      <c r="O129" s="74"/>
      <c r="P129" s="74"/>
      <c r="Q129" s="74"/>
      <c r="R129" s="74"/>
      <c r="S129" s="74"/>
      <c r="T129" s="74"/>
      <c r="U129" s="74"/>
    </row>
    <row r="130" spans="1:21" x14ac:dyDescent="0.25">
      <c r="A130" s="82"/>
      <c r="B130" s="70"/>
      <c r="C130" s="70"/>
      <c r="D130" s="70"/>
      <c r="E130" s="70"/>
      <c r="F130" s="70"/>
      <c r="G130" s="70"/>
      <c r="H130" s="66"/>
      <c r="I130" s="280"/>
      <c r="N130" s="74"/>
      <c r="O130" s="74"/>
      <c r="P130" s="74"/>
      <c r="Q130" s="74"/>
      <c r="R130" s="74"/>
      <c r="S130" s="74"/>
      <c r="T130" s="74"/>
      <c r="U130" s="74"/>
    </row>
    <row r="131" spans="1:21" x14ac:dyDescent="0.25">
      <c r="A131" s="82" t="s">
        <v>266</v>
      </c>
      <c r="B131" s="70"/>
      <c r="C131" s="70"/>
      <c r="D131" s="70"/>
      <c r="E131" s="70"/>
      <c r="F131" s="70"/>
      <c r="G131" s="70"/>
      <c r="H131" s="66"/>
      <c r="I131" s="288">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251916.51</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39481.64</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1" x14ac:dyDescent="0.25">
      <c r="A193" s="75"/>
    </row>
    <row r="194" spans="1:11" x14ac:dyDescent="0.25">
      <c r="A194" s="75"/>
      <c r="K194" s="264"/>
    </row>
    <row r="195" spans="1:11" x14ac:dyDescent="0.25">
      <c r="A195" s="75"/>
      <c r="K195" s="264"/>
    </row>
    <row r="196" spans="1:11" x14ac:dyDescent="0.25">
      <c r="A196" s="75"/>
    </row>
    <row r="197" spans="1:11" x14ac:dyDescent="0.25">
      <c r="A197" s="75"/>
    </row>
    <row r="198" spans="1:11" x14ac:dyDescent="0.25">
      <c r="A198" s="75"/>
    </row>
    <row r="199" spans="1:11" x14ac:dyDescent="0.25">
      <c r="A199" s="75"/>
    </row>
    <row r="200" spans="1:11" x14ac:dyDescent="0.25">
      <c r="A200" s="75"/>
    </row>
    <row r="201" spans="1:11" x14ac:dyDescent="0.25">
      <c r="A201" s="75"/>
    </row>
    <row r="202" spans="1:11" x14ac:dyDescent="0.25">
      <c r="A202" s="75"/>
    </row>
    <row r="203" spans="1:11" x14ac:dyDescent="0.25">
      <c r="A203" s="75"/>
    </row>
    <row r="204" spans="1:11" x14ac:dyDescent="0.25">
      <c r="A204" s="75"/>
    </row>
    <row r="205" spans="1:11" x14ac:dyDescent="0.25">
      <c r="A205" s="75"/>
    </row>
    <row r="206" spans="1:11" x14ac:dyDescent="0.25">
      <c r="A206" s="75"/>
    </row>
    <row r="207" spans="1:11" x14ac:dyDescent="0.25">
      <c r="A207" s="75"/>
    </row>
    <row r="208" spans="1:11" x14ac:dyDescent="0.25">
      <c r="A208" s="75"/>
    </row>
    <row r="209" spans="1:1" x14ac:dyDescent="0.25">
      <c r="A209" s="75"/>
    </row>
  </sheetData>
  <mergeCells count="243">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T69:U69"/>
    <mergeCell ref="A74:C74"/>
    <mergeCell ref="A85:C85"/>
    <mergeCell ref="N85:P85"/>
    <mergeCell ref="A87:C87"/>
    <mergeCell ref="N87:P87"/>
    <mergeCell ref="C90:D90"/>
    <mergeCell ref="C91:D91"/>
    <mergeCell ref="N91:O91"/>
    <mergeCell ref="P91:Q91"/>
    <mergeCell ref="N74:P74"/>
    <mergeCell ref="R91:U91"/>
    <mergeCell ref="C92:D92"/>
    <mergeCell ref="P92:Q92"/>
    <mergeCell ref="C93:D93"/>
    <mergeCell ref="P93:Q93"/>
    <mergeCell ref="C94:D94"/>
    <mergeCell ref="P94:Q94"/>
    <mergeCell ref="C95:D95"/>
    <mergeCell ref="P95:T95"/>
    <mergeCell ref="A96:I96"/>
    <mergeCell ref="N96:U96"/>
    <mergeCell ref="F98:I98"/>
    <mergeCell ref="N98:P98"/>
    <mergeCell ref="Q98:T98"/>
    <mergeCell ref="A101:B101"/>
    <mergeCell ref="N101:O101"/>
    <mergeCell ref="P101:R101"/>
    <mergeCell ref="A102:B102"/>
    <mergeCell ref="N102:O102"/>
    <mergeCell ref="P102:R102"/>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N140:U140"/>
    <mergeCell ref="N115:T115"/>
    <mergeCell ref="A116:H116"/>
    <mergeCell ref="A120:G120"/>
    <mergeCell ref="N120:U120"/>
    <mergeCell ref="A121:G121"/>
    <mergeCell ref="N121:U121"/>
    <mergeCell ref="A111:B111"/>
    <mergeCell ref="F111:G111"/>
    <mergeCell ref="N111:O111"/>
    <mergeCell ref="P111:Q111"/>
    <mergeCell ref="R111:S111"/>
    <mergeCell ref="A112:B112"/>
    <mergeCell ref="N112:O112"/>
    <mergeCell ref="A114:C114"/>
    <mergeCell ref="F114:H114"/>
    <mergeCell ref="N114:P114"/>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57"/>
  <sheetViews>
    <sheetView showGridLines="0" zoomScaleNormal="100" workbookViewId="0">
      <pane ySplit="4" topLeftCell="A5" activePane="bottomLeft" state="frozen"/>
      <selection activeCell="E26" sqref="E26"/>
      <selection pane="bottomLeft" activeCell="C29" sqref="C29"/>
    </sheetView>
  </sheetViews>
  <sheetFormatPr defaultRowHeight="12.75" x14ac:dyDescent="0.2"/>
  <cols>
    <col min="1" max="1" width="4.140625" style="197" bestFit="1" customWidth="1"/>
    <col min="2" max="2" width="9.140625" style="197"/>
    <col min="3" max="3" width="52.140625" style="197" bestFit="1" customWidth="1"/>
    <col min="4" max="4" width="2.140625" style="197" customWidth="1"/>
    <col min="5" max="5" width="9.140625" style="197" customWidth="1"/>
    <col min="6" max="6" width="52.140625" style="197" bestFit="1" customWidth="1"/>
    <col min="7" max="16384" width="9.140625" style="197"/>
  </cols>
  <sheetData>
    <row r="1" spans="1:6" x14ac:dyDescent="0.2">
      <c r="B1" s="213" t="s">
        <v>202</v>
      </c>
      <c r="C1" s="214"/>
      <c r="D1" s="214"/>
      <c r="E1" s="215"/>
      <c r="F1" s="214"/>
    </row>
    <row r="2" spans="1:6" x14ac:dyDescent="0.2">
      <c r="B2" s="216"/>
      <c r="C2" s="214"/>
      <c r="D2" s="214"/>
      <c r="E2" s="215"/>
      <c r="F2" s="214"/>
    </row>
    <row r="3" spans="1:6" x14ac:dyDescent="0.2">
      <c r="B3" s="581" t="s">
        <v>336</v>
      </c>
      <c r="C3" s="582"/>
      <c r="D3" s="214"/>
      <c r="E3" s="581" t="s">
        <v>203</v>
      </c>
      <c r="F3" s="582"/>
    </row>
    <row r="4" spans="1:6" x14ac:dyDescent="0.2">
      <c r="B4" s="217" t="s">
        <v>204</v>
      </c>
      <c r="C4" s="218" t="s">
        <v>205</v>
      </c>
      <c r="D4" s="214"/>
      <c r="E4" s="217" t="s">
        <v>204</v>
      </c>
      <c r="F4" s="218" t="s">
        <v>205</v>
      </c>
    </row>
    <row r="5" spans="1:6" x14ac:dyDescent="0.2">
      <c r="A5" s="225">
        <v>1</v>
      </c>
      <c r="B5" s="219" t="s">
        <v>174</v>
      </c>
      <c r="C5" s="221" t="s">
        <v>206</v>
      </c>
      <c r="D5" s="214"/>
      <c r="E5" s="219" t="s">
        <v>174</v>
      </c>
      <c r="F5" s="221" t="s">
        <v>206</v>
      </c>
    </row>
    <row r="6" spans="1:6" x14ac:dyDescent="0.2">
      <c r="A6" s="225">
        <v>2</v>
      </c>
      <c r="B6" s="219" t="s">
        <v>175</v>
      </c>
      <c r="C6" s="221" t="s">
        <v>208</v>
      </c>
      <c r="D6" s="214"/>
      <c r="E6" s="219" t="s">
        <v>192</v>
      </c>
      <c r="F6" s="220" t="s">
        <v>207</v>
      </c>
    </row>
    <row r="7" spans="1:6" x14ac:dyDescent="0.2">
      <c r="A7" s="225">
        <v>3</v>
      </c>
      <c r="B7" s="219" t="s">
        <v>176</v>
      </c>
      <c r="C7" s="221" t="s">
        <v>210</v>
      </c>
      <c r="D7" s="214"/>
      <c r="E7" s="219" t="s">
        <v>197</v>
      </c>
      <c r="F7" s="220" t="s">
        <v>209</v>
      </c>
    </row>
    <row r="8" spans="1:6" x14ac:dyDescent="0.2">
      <c r="A8" s="225">
        <v>4</v>
      </c>
      <c r="B8" s="219" t="s">
        <v>177</v>
      </c>
      <c r="C8" s="221" t="s">
        <v>211</v>
      </c>
      <c r="D8" s="214"/>
      <c r="E8" s="219" t="s">
        <v>305</v>
      </c>
      <c r="F8" s="220" t="s">
        <v>306</v>
      </c>
    </row>
    <row r="9" spans="1:6" x14ac:dyDescent="0.2">
      <c r="A9" s="225">
        <v>5</v>
      </c>
      <c r="B9" s="219" t="s">
        <v>178</v>
      </c>
      <c r="C9" s="220" t="s">
        <v>212</v>
      </c>
      <c r="D9" s="214"/>
      <c r="E9" s="219" t="s">
        <v>292</v>
      </c>
      <c r="F9" s="220" t="s">
        <v>291</v>
      </c>
    </row>
    <row r="10" spans="1:6" x14ac:dyDescent="0.2">
      <c r="A10" s="225">
        <v>6</v>
      </c>
      <c r="B10" s="219" t="s">
        <v>179</v>
      </c>
      <c r="C10" s="220" t="s">
        <v>274</v>
      </c>
      <c r="D10" s="214"/>
      <c r="E10" s="219" t="s">
        <v>177</v>
      </c>
      <c r="F10" s="221" t="s">
        <v>211</v>
      </c>
    </row>
    <row r="11" spans="1:6" x14ac:dyDescent="0.2">
      <c r="A11" s="225">
        <v>7</v>
      </c>
      <c r="B11" s="219" t="s">
        <v>180</v>
      </c>
      <c r="C11" s="220" t="s">
        <v>409</v>
      </c>
      <c r="D11" s="214"/>
      <c r="E11" s="219" t="s">
        <v>191</v>
      </c>
      <c r="F11" s="220" t="s">
        <v>213</v>
      </c>
    </row>
    <row r="12" spans="1:6" x14ac:dyDescent="0.2">
      <c r="A12" s="225">
        <v>8</v>
      </c>
      <c r="B12" s="219" t="s">
        <v>181</v>
      </c>
      <c r="C12" s="221" t="s">
        <v>214</v>
      </c>
      <c r="D12" s="214"/>
      <c r="E12" s="219" t="s">
        <v>251</v>
      </c>
      <c r="F12" s="220" t="s">
        <v>252</v>
      </c>
    </row>
    <row r="13" spans="1:6" x14ac:dyDescent="0.2">
      <c r="A13" s="225">
        <v>9</v>
      </c>
      <c r="B13" s="219" t="s">
        <v>182</v>
      </c>
      <c r="C13" s="220" t="s">
        <v>215</v>
      </c>
      <c r="D13" s="214"/>
      <c r="E13" s="219" t="s">
        <v>216</v>
      </c>
      <c r="F13" s="220" t="s">
        <v>351</v>
      </c>
    </row>
    <row r="14" spans="1:6" x14ac:dyDescent="0.2">
      <c r="A14" s="225">
        <v>10</v>
      </c>
      <c r="B14" s="219" t="s">
        <v>183</v>
      </c>
      <c r="C14" s="220" t="s">
        <v>341</v>
      </c>
      <c r="D14" s="214"/>
      <c r="E14" s="219" t="s">
        <v>217</v>
      </c>
      <c r="F14" s="220" t="s">
        <v>353</v>
      </c>
    </row>
    <row r="15" spans="1:6" x14ac:dyDescent="0.2">
      <c r="A15" s="225">
        <v>11</v>
      </c>
      <c r="B15" s="219" t="s">
        <v>184</v>
      </c>
      <c r="C15" s="222" t="s">
        <v>419</v>
      </c>
      <c r="D15" s="214"/>
      <c r="E15" s="219" t="s">
        <v>198</v>
      </c>
      <c r="F15" s="221" t="s">
        <v>219</v>
      </c>
    </row>
    <row r="16" spans="1:6" x14ac:dyDescent="0.2">
      <c r="A16" s="225">
        <v>12</v>
      </c>
      <c r="B16" s="219" t="s">
        <v>185</v>
      </c>
      <c r="C16" s="221" t="s">
        <v>218</v>
      </c>
      <c r="D16" s="214"/>
      <c r="E16" s="219" t="s">
        <v>186</v>
      </c>
      <c r="F16" s="221" t="s">
        <v>220</v>
      </c>
    </row>
    <row r="17" spans="1:9" x14ac:dyDescent="0.2">
      <c r="A17" s="225">
        <v>13</v>
      </c>
      <c r="B17" s="219" t="s">
        <v>186</v>
      </c>
      <c r="C17" s="221" t="s">
        <v>220</v>
      </c>
      <c r="D17" s="214"/>
      <c r="E17" s="219" t="s">
        <v>190</v>
      </c>
      <c r="F17" s="221" t="s">
        <v>221</v>
      </c>
    </row>
    <row r="18" spans="1:9" x14ac:dyDescent="0.2">
      <c r="A18" s="225">
        <v>14</v>
      </c>
      <c r="B18" s="219" t="s">
        <v>187</v>
      </c>
      <c r="C18" s="221" t="s">
        <v>222</v>
      </c>
      <c r="D18" s="214"/>
      <c r="E18" s="219" t="s">
        <v>184</v>
      </c>
      <c r="F18" s="222" t="s">
        <v>419</v>
      </c>
    </row>
    <row r="19" spans="1:9" x14ac:dyDescent="0.2">
      <c r="A19" s="225">
        <v>15</v>
      </c>
      <c r="B19" s="219" t="s">
        <v>188</v>
      </c>
      <c r="C19" s="221" t="s">
        <v>223</v>
      </c>
      <c r="D19" s="214"/>
      <c r="E19" s="219" t="s">
        <v>185</v>
      </c>
      <c r="F19" s="221" t="s">
        <v>218</v>
      </c>
    </row>
    <row r="20" spans="1:9" x14ac:dyDescent="0.2">
      <c r="A20" s="225">
        <v>16</v>
      </c>
      <c r="B20" s="219" t="s">
        <v>189</v>
      </c>
      <c r="C20" s="220" t="s">
        <v>310</v>
      </c>
      <c r="D20" s="214"/>
      <c r="E20" s="219" t="s">
        <v>175</v>
      </c>
      <c r="F20" s="221" t="s">
        <v>208</v>
      </c>
    </row>
    <row r="21" spans="1:9" x14ac:dyDescent="0.2">
      <c r="A21" s="225">
        <v>17</v>
      </c>
      <c r="B21" s="219" t="s">
        <v>190</v>
      </c>
      <c r="C21" s="221" t="s">
        <v>221</v>
      </c>
      <c r="D21" s="214"/>
      <c r="E21" s="219" t="s">
        <v>188</v>
      </c>
      <c r="F21" s="221" t="s">
        <v>223</v>
      </c>
    </row>
    <row r="22" spans="1:9" x14ac:dyDescent="0.2">
      <c r="A22" s="225">
        <v>18</v>
      </c>
      <c r="B22" s="219" t="s">
        <v>191</v>
      </c>
      <c r="C22" s="220" t="s">
        <v>213</v>
      </c>
      <c r="D22" s="214"/>
      <c r="E22" s="219" t="s">
        <v>343</v>
      </c>
      <c r="F22" s="224" t="s">
        <v>340</v>
      </c>
    </row>
    <row r="23" spans="1:9" x14ac:dyDescent="0.2">
      <c r="A23" s="225">
        <v>19</v>
      </c>
      <c r="B23" s="219" t="s">
        <v>192</v>
      </c>
      <c r="C23" s="220" t="s">
        <v>207</v>
      </c>
      <c r="D23" s="214"/>
      <c r="E23" s="219" t="s">
        <v>180</v>
      </c>
      <c r="F23" s="220" t="s">
        <v>409</v>
      </c>
    </row>
    <row r="24" spans="1:9" x14ac:dyDescent="0.2">
      <c r="A24" s="225">
        <v>20</v>
      </c>
      <c r="B24" s="219" t="s">
        <v>193</v>
      </c>
      <c r="C24" s="221" t="s">
        <v>224</v>
      </c>
      <c r="D24" s="214"/>
      <c r="E24" s="219" t="s">
        <v>227</v>
      </c>
      <c r="F24" s="224" t="s">
        <v>408</v>
      </c>
    </row>
    <row r="25" spans="1:9" x14ac:dyDescent="0.2">
      <c r="A25" s="225">
        <v>21</v>
      </c>
      <c r="B25" s="219" t="s">
        <v>194</v>
      </c>
      <c r="C25" s="220" t="s">
        <v>225</v>
      </c>
      <c r="D25" s="214"/>
      <c r="E25" s="219" t="s">
        <v>199</v>
      </c>
      <c r="F25" s="221" t="s">
        <v>345</v>
      </c>
    </row>
    <row r="26" spans="1:9" x14ac:dyDescent="0.2">
      <c r="A26" s="225">
        <v>22</v>
      </c>
      <c r="B26" s="223" t="s">
        <v>195</v>
      </c>
      <c r="C26" s="220" t="s">
        <v>226</v>
      </c>
      <c r="D26" s="214"/>
      <c r="E26" s="219" t="s">
        <v>182</v>
      </c>
      <c r="F26" s="220" t="s">
        <v>215</v>
      </c>
    </row>
    <row r="27" spans="1:9" x14ac:dyDescent="0.2">
      <c r="A27" s="225">
        <v>23</v>
      </c>
      <c r="B27" s="219" t="s">
        <v>196</v>
      </c>
      <c r="C27" s="221" t="s">
        <v>228</v>
      </c>
      <c r="D27" s="214"/>
      <c r="E27" s="219" t="s">
        <v>178</v>
      </c>
      <c r="F27" s="220" t="s">
        <v>212</v>
      </c>
    </row>
    <row r="28" spans="1:9" x14ac:dyDescent="0.2">
      <c r="A28" s="225">
        <v>24</v>
      </c>
      <c r="B28" s="219" t="s">
        <v>229</v>
      </c>
      <c r="C28" s="220" t="s">
        <v>230</v>
      </c>
      <c r="D28" s="214"/>
      <c r="E28" s="219" t="s">
        <v>193</v>
      </c>
      <c r="F28" s="221" t="s">
        <v>224</v>
      </c>
    </row>
    <row r="29" spans="1:9" x14ac:dyDescent="0.2">
      <c r="A29" s="225">
        <v>25</v>
      </c>
      <c r="B29" s="219" t="s">
        <v>227</v>
      </c>
      <c r="C29" s="224" t="s">
        <v>408</v>
      </c>
      <c r="D29" s="214"/>
      <c r="E29" s="219" t="s">
        <v>231</v>
      </c>
      <c r="F29" s="220" t="s">
        <v>232</v>
      </c>
    </row>
    <row r="30" spans="1:9" x14ac:dyDescent="0.2">
      <c r="A30" s="225">
        <v>26</v>
      </c>
      <c r="B30" s="219" t="s">
        <v>197</v>
      </c>
      <c r="C30" s="220" t="s">
        <v>209</v>
      </c>
      <c r="D30" s="214"/>
      <c r="E30" s="219" t="s">
        <v>233</v>
      </c>
      <c r="F30" s="220" t="s">
        <v>234</v>
      </c>
      <c r="I30" s="313"/>
    </row>
    <row r="31" spans="1:9" x14ac:dyDescent="0.2">
      <c r="A31" s="225">
        <v>27</v>
      </c>
      <c r="B31" s="219" t="s">
        <v>198</v>
      </c>
      <c r="C31" s="221" t="s">
        <v>219</v>
      </c>
      <c r="D31" s="214"/>
      <c r="E31" s="219" t="s">
        <v>235</v>
      </c>
      <c r="F31" s="220" t="s">
        <v>236</v>
      </c>
      <c r="I31" s="313"/>
    </row>
    <row r="32" spans="1:9" x14ac:dyDescent="0.2">
      <c r="A32" s="225">
        <v>28</v>
      </c>
      <c r="B32" s="219" t="s">
        <v>199</v>
      </c>
      <c r="C32" s="221" t="s">
        <v>345</v>
      </c>
      <c r="D32" s="214"/>
      <c r="E32" s="219" t="s">
        <v>200</v>
      </c>
      <c r="F32" s="221" t="s">
        <v>237</v>
      </c>
    </row>
    <row r="33" spans="1:6" x14ac:dyDescent="0.2">
      <c r="A33" s="225">
        <v>29</v>
      </c>
      <c r="B33" s="219" t="s">
        <v>200</v>
      </c>
      <c r="C33" s="221" t="s">
        <v>237</v>
      </c>
      <c r="D33" s="214"/>
      <c r="E33" s="219" t="s">
        <v>196</v>
      </c>
      <c r="F33" s="221" t="s">
        <v>228</v>
      </c>
    </row>
    <row r="34" spans="1:6" x14ac:dyDescent="0.2">
      <c r="A34" s="225">
        <v>30</v>
      </c>
      <c r="B34" s="219" t="s">
        <v>235</v>
      </c>
      <c r="C34" s="220" t="s">
        <v>236</v>
      </c>
      <c r="D34" s="214"/>
      <c r="E34" s="219" t="s">
        <v>187</v>
      </c>
      <c r="F34" s="221" t="s">
        <v>222</v>
      </c>
    </row>
    <row r="35" spans="1:6" x14ac:dyDescent="0.2">
      <c r="A35" s="225">
        <v>31</v>
      </c>
      <c r="B35" s="219" t="s">
        <v>238</v>
      </c>
      <c r="C35" s="224" t="s">
        <v>239</v>
      </c>
      <c r="D35" s="214"/>
      <c r="E35" s="219">
        <v>4111</v>
      </c>
      <c r="F35" s="221" t="s">
        <v>346</v>
      </c>
    </row>
    <row r="36" spans="1:6" x14ac:dyDescent="0.2">
      <c r="A36" s="225">
        <v>32</v>
      </c>
      <c r="B36" s="219" t="s">
        <v>240</v>
      </c>
      <c r="C36" s="221" t="s">
        <v>241</v>
      </c>
      <c r="D36" s="214"/>
      <c r="E36" s="219" t="s">
        <v>194</v>
      </c>
      <c r="F36" s="220" t="s">
        <v>225</v>
      </c>
    </row>
    <row r="37" spans="1:6" x14ac:dyDescent="0.2">
      <c r="A37" s="225">
        <v>33</v>
      </c>
      <c r="B37" s="219" t="s">
        <v>216</v>
      </c>
      <c r="C37" s="220" t="s">
        <v>351</v>
      </c>
      <c r="D37" s="214"/>
      <c r="E37" s="219" t="s">
        <v>242</v>
      </c>
      <c r="F37" s="220" t="s">
        <v>243</v>
      </c>
    </row>
    <row r="38" spans="1:6" x14ac:dyDescent="0.2">
      <c r="A38" s="225">
        <v>34</v>
      </c>
      <c r="B38" s="219" t="s">
        <v>343</v>
      </c>
      <c r="C38" s="221" t="s">
        <v>340</v>
      </c>
      <c r="D38" s="214"/>
      <c r="E38" s="219" t="s">
        <v>240</v>
      </c>
      <c r="F38" s="221" t="s">
        <v>241</v>
      </c>
    </row>
    <row r="39" spans="1:6" x14ac:dyDescent="0.2">
      <c r="A39" s="225">
        <v>35</v>
      </c>
      <c r="B39" s="219">
        <v>4031</v>
      </c>
      <c r="C39" s="220" t="s">
        <v>356</v>
      </c>
      <c r="D39" s="214"/>
      <c r="E39" s="219" t="s">
        <v>238</v>
      </c>
      <c r="F39" s="224" t="s">
        <v>239</v>
      </c>
    </row>
    <row r="40" spans="1:6" x14ac:dyDescent="0.2">
      <c r="A40" s="225">
        <v>36</v>
      </c>
      <c r="B40" s="219" t="s">
        <v>242</v>
      </c>
      <c r="C40" s="220" t="s">
        <v>243</v>
      </c>
      <c r="D40" s="214"/>
      <c r="E40" s="219" t="s">
        <v>189</v>
      </c>
      <c r="F40" s="221" t="s">
        <v>310</v>
      </c>
    </row>
    <row r="41" spans="1:6" x14ac:dyDescent="0.2">
      <c r="A41" s="225">
        <v>37</v>
      </c>
      <c r="B41" s="219" t="s">
        <v>233</v>
      </c>
      <c r="C41" s="220" t="s">
        <v>234</v>
      </c>
      <c r="D41" s="214"/>
      <c r="E41" s="219">
        <v>4091</v>
      </c>
      <c r="F41" s="221" t="s">
        <v>299</v>
      </c>
    </row>
    <row r="42" spans="1:6" x14ac:dyDescent="0.2">
      <c r="A42" s="225">
        <v>38</v>
      </c>
      <c r="B42" s="219" t="s">
        <v>231</v>
      </c>
      <c r="C42" s="220" t="s">
        <v>232</v>
      </c>
      <c r="D42" s="214"/>
      <c r="E42" s="219">
        <v>4031</v>
      </c>
      <c r="F42" s="220" t="s">
        <v>356</v>
      </c>
    </row>
    <row r="43" spans="1:6" x14ac:dyDescent="0.2">
      <c r="A43" s="225">
        <v>39</v>
      </c>
      <c r="B43" s="219" t="s">
        <v>217</v>
      </c>
      <c r="C43" s="220" t="s">
        <v>353</v>
      </c>
      <c r="D43" s="214"/>
      <c r="E43" s="223" t="s">
        <v>404</v>
      </c>
      <c r="F43" s="220" t="s">
        <v>405</v>
      </c>
    </row>
    <row r="44" spans="1:6" x14ac:dyDescent="0.2">
      <c r="A44" s="225">
        <v>40</v>
      </c>
      <c r="B44" s="219" t="s">
        <v>257</v>
      </c>
      <c r="C44" s="220" t="s">
        <v>261</v>
      </c>
      <c r="D44" s="214"/>
      <c r="E44" s="219" t="s">
        <v>176</v>
      </c>
      <c r="F44" s="221" t="s">
        <v>210</v>
      </c>
    </row>
    <row r="45" spans="1:6" x14ac:dyDescent="0.2">
      <c r="A45" s="225">
        <v>41</v>
      </c>
      <c r="B45" s="256" t="s">
        <v>251</v>
      </c>
      <c r="C45" s="197" t="s">
        <v>252</v>
      </c>
      <c r="D45" s="214"/>
      <c r="E45" s="219" t="s">
        <v>229</v>
      </c>
      <c r="F45" s="220" t="s">
        <v>230</v>
      </c>
    </row>
    <row r="46" spans="1:6" x14ac:dyDescent="0.2">
      <c r="A46" s="225">
        <v>42</v>
      </c>
      <c r="B46" s="256">
        <v>4090</v>
      </c>
      <c r="C46" s="197" t="s">
        <v>300</v>
      </c>
      <c r="D46" s="214"/>
      <c r="E46" s="219">
        <v>4090</v>
      </c>
      <c r="F46" s="221" t="s">
        <v>300</v>
      </c>
    </row>
    <row r="47" spans="1:6" x14ac:dyDescent="0.2">
      <c r="A47" s="225">
        <v>43</v>
      </c>
      <c r="B47" s="256">
        <v>4091</v>
      </c>
      <c r="C47" s="197" t="s">
        <v>299</v>
      </c>
      <c r="D47" s="214"/>
      <c r="E47" s="219" t="s">
        <v>331</v>
      </c>
      <c r="F47" s="221" t="s">
        <v>332</v>
      </c>
    </row>
    <row r="48" spans="1:6" x14ac:dyDescent="0.2">
      <c r="A48" s="225">
        <v>44</v>
      </c>
      <c r="B48" s="219" t="s">
        <v>292</v>
      </c>
      <c r="C48" s="220" t="s">
        <v>291</v>
      </c>
      <c r="D48" s="214"/>
      <c r="E48" s="219" t="s">
        <v>183</v>
      </c>
      <c r="F48" s="220" t="s">
        <v>341</v>
      </c>
    </row>
    <row r="49" spans="1:6" x14ac:dyDescent="0.2">
      <c r="A49" s="225">
        <v>45</v>
      </c>
      <c r="B49" s="219" t="s">
        <v>305</v>
      </c>
      <c r="C49" s="220" t="s">
        <v>306</v>
      </c>
      <c r="D49" s="214"/>
      <c r="E49" s="219" t="s">
        <v>179</v>
      </c>
      <c r="F49" s="220" t="s">
        <v>274</v>
      </c>
    </row>
    <row r="50" spans="1:6" x14ac:dyDescent="0.2">
      <c r="A50" s="225">
        <v>46</v>
      </c>
      <c r="B50" s="219" t="s">
        <v>331</v>
      </c>
      <c r="C50" s="255" t="s">
        <v>332</v>
      </c>
      <c r="D50" s="214"/>
      <c r="E50" s="219" t="s">
        <v>257</v>
      </c>
      <c r="F50" s="220" t="s">
        <v>261</v>
      </c>
    </row>
    <row r="51" spans="1:6" x14ac:dyDescent="0.2">
      <c r="A51" s="225">
        <v>47</v>
      </c>
      <c r="B51" s="219">
        <v>4111</v>
      </c>
      <c r="C51" s="220" t="s">
        <v>346</v>
      </c>
      <c r="D51" s="214"/>
      <c r="E51" s="219" t="s">
        <v>181</v>
      </c>
      <c r="F51" s="221" t="s">
        <v>214</v>
      </c>
    </row>
    <row r="52" spans="1:6" x14ac:dyDescent="0.2">
      <c r="A52" s="225">
        <v>48</v>
      </c>
      <c r="B52" s="219" t="s">
        <v>404</v>
      </c>
      <c r="C52" s="220" t="s">
        <v>405</v>
      </c>
      <c r="D52" s="214"/>
      <c r="E52" s="223" t="s">
        <v>195</v>
      </c>
      <c r="F52" s="220" t="s">
        <v>226</v>
      </c>
    </row>
    <row r="53" spans="1:6" x14ac:dyDescent="0.2">
      <c r="A53" s="225"/>
      <c r="D53" s="214"/>
    </row>
    <row r="54" spans="1:6" x14ac:dyDescent="0.2">
      <c r="A54" s="225"/>
      <c r="D54" s="214"/>
    </row>
    <row r="55" spans="1:6" x14ac:dyDescent="0.2">
      <c r="A55" s="225"/>
      <c r="D55" s="214"/>
    </row>
    <row r="56" spans="1:6" x14ac:dyDescent="0.2">
      <c r="A56" s="225"/>
      <c r="D56" s="214"/>
    </row>
    <row r="57" spans="1:6" x14ac:dyDescent="0.2">
      <c r="D57" s="214"/>
    </row>
  </sheetData>
  <mergeCells count="2">
    <mergeCell ref="B3:C3"/>
    <mergeCell ref="E3:F3"/>
  </mergeCells>
  <conditionalFormatting sqref="B5:C52">
    <cfRule type="expression" dxfId="1" priority="2" stopIfTrue="1">
      <formula>MOD(ROW(),2)=0</formula>
    </cfRule>
  </conditionalFormatting>
  <conditionalFormatting sqref="E5:F52">
    <cfRule type="expression" dxfId="0" priority="1">
      <formula>MOD(ROW(),2)=0</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CCCC"/>
  </sheetPr>
  <dimension ref="A1:V209"/>
  <sheetViews>
    <sheetView showGridLines="0" zoomScaleNormal="100" workbookViewId="0">
      <pane ySplit="1" topLeftCell="A102"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357</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9" t="s">
        <v>333</v>
      </c>
      <c r="D10" s="89" t="s">
        <v>333</v>
      </c>
      <c r="E10" s="8"/>
      <c r="F10" s="9"/>
      <c r="G10" s="9"/>
      <c r="H10" s="10"/>
      <c r="I10" s="322" t="str">
        <f>'0664'!I10</f>
        <v>2023-24</v>
      </c>
      <c r="J10" s="267"/>
      <c r="K10" s="66"/>
      <c r="L10" s="66"/>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J11" s="269"/>
      <c r="K11" s="268"/>
      <c r="L11" s="268"/>
      <c r="N11" s="12"/>
      <c r="O11" s="12"/>
      <c r="P11" s="13"/>
      <c r="Q11" s="13"/>
      <c r="R11" s="646" t="s">
        <v>1</v>
      </c>
      <c r="S11" s="646"/>
      <c r="T11" s="15" t="s">
        <v>62</v>
      </c>
      <c r="U11" s="16" t="s">
        <v>27</v>
      </c>
    </row>
    <row r="12" spans="1:21" ht="15.75" customHeight="1" x14ac:dyDescent="0.25">
      <c r="A12" s="610" t="s">
        <v>1</v>
      </c>
      <c r="B12" s="610"/>
      <c r="C12" s="344" t="s">
        <v>2</v>
      </c>
      <c r="D12" s="342" t="s">
        <v>2</v>
      </c>
      <c r="E12" s="342" t="s">
        <v>2</v>
      </c>
      <c r="F12" s="619" t="s">
        <v>65</v>
      </c>
      <c r="G12" s="619"/>
      <c r="H12" s="17" t="s">
        <v>61</v>
      </c>
      <c r="I12" s="411" t="s">
        <v>452</v>
      </c>
      <c r="J12" s="267"/>
      <c r="K12" s="268"/>
      <c r="L12" s="268"/>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K13" s="268"/>
      <c r="L13" s="268"/>
      <c r="N13" s="638" t="s">
        <v>36</v>
      </c>
      <c r="O13" s="638"/>
      <c r="P13" s="639" t="s">
        <v>37</v>
      </c>
      <c r="Q13" s="639"/>
      <c r="R13" s="640" t="s">
        <v>38</v>
      </c>
      <c r="S13" s="640"/>
      <c r="T13" s="22" t="s">
        <v>39</v>
      </c>
      <c r="U13" s="23" t="s">
        <v>40</v>
      </c>
    </row>
    <row r="14" spans="1:21" x14ac:dyDescent="0.25">
      <c r="A14" s="611" t="s">
        <v>20</v>
      </c>
      <c r="B14" s="611"/>
      <c r="C14" s="151">
        <v>81.58</v>
      </c>
      <c r="D14" s="149">
        <v>81.75</v>
      </c>
      <c r="E14" s="196">
        <f>IF(D$30=0,C14*2,C14+D14)</f>
        <v>163.32999999999998</v>
      </c>
      <c r="F14" s="625">
        <f>'0664'!F14:G14</f>
        <v>1.1220000000000001</v>
      </c>
      <c r="G14" s="625"/>
      <c r="H14" s="153">
        <f>ROUND(E14*F14,4)</f>
        <v>183.25630000000001</v>
      </c>
      <c r="I14" s="112">
        <f>ROUND(ROUND(ROUND(H14*$C$8,4)*($H$8),2)*(MAX($H$9,1)),2)</f>
        <v>983519.35</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5.5</v>
      </c>
      <c r="D15" s="151">
        <v>5.5</v>
      </c>
      <c r="E15" s="117">
        <f t="shared" ref="E15:E29" si="1">IF(D$30=0,C15*2,C15+D15)</f>
        <v>11</v>
      </c>
      <c r="F15" s="622">
        <f>'0664'!F15:G15</f>
        <v>1.1220000000000001</v>
      </c>
      <c r="G15" s="622"/>
      <c r="H15" s="81">
        <f t="shared" ref="H15:H29" si="2">ROUND(E15*F15,4)</f>
        <v>12.342000000000001</v>
      </c>
      <c r="I15" s="102">
        <f t="shared" ref="I15:I29" si="3">ROUND(ROUND(ROUND(H15*$C$8,4)*($H$8),2)*(MAX($H$9,1)),2)</f>
        <v>66238.350000000006</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96.88</v>
      </c>
      <c r="D16" s="151">
        <v>101.5</v>
      </c>
      <c r="E16" s="117">
        <f t="shared" si="1"/>
        <v>198.38</v>
      </c>
      <c r="F16" s="622">
        <f>'0664'!F16:G16</f>
        <v>1</v>
      </c>
      <c r="G16" s="622"/>
      <c r="H16" s="81">
        <f t="shared" si="2"/>
        <v>198.38</v>
      </c>
      <c r="I16" s="102">
        <f t="shared" si="3"/>
        <v>1064686.83</v>
      </c>
      <c r="N16" s="635" t="s">
        <v>22</v>
      </c>
      <c r="O16" s="635"/>
      <c r="P16" s="636">
        <f t="shared" si="0"/>
        <v>0</v>
      </c>
      <c r="Q16" s="636"/>
      <c r="R16" s="637">
        <v>1</v>
      </c>
      <c r="S16" s="637"/>
      <c r="T16" s="96">
        <f t="shared" si="4"/>
        <v>0</v>
      </c>
      <c r="U16" s="97">
        <f t="shared" si="5"/>
        <v>0</v>
      </c>
    </row>
    <row r="17" spans="1:21" x14ac:dyDescent="0.25">
      <c r="A17" s="586" t="s">
        <v>23</v>
      </c>
      <c r="B17" s="586"/>
      <c r="C17" s="151">
        <v>19.78</v>
      </c>
      <c r="D17" s="151">
        <v>18.059999999999999</v>
      </c>
      <c r="E17" s="117">
        <f t="shared" si="1"/>
        <v>37.840000000000003</v>
      </c>
      <c r="F17" s="622">
        <f>'0664'!F17:G17</f>
        <v>1</v>
      </c>
      <c r="G17" s="622"/>
      <c r="H17" s="81">
        <f t="shared" si="2"/>
        <v>37.840000000000003</v>
      </c>
      <c r="I17" s="102">
        <f t="shared" si="3"/>
        <v>203083.73</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14.92</v>
      </c>
      <c r="D26" s="151">
        <v>17.09</v>
      </c>
      <c r="E26" s="117">
        <f t="shared" si="1"/>
        <v>32.01</v>
      </c>
      <c r="F26" s="622">
        <f>'0664'!F26:G26</f>
        <v>1.208</v>
      </c>
      <c r="G26" s="622"/>
      <c r="H26" s="81">
        <f t="shared" si="2"/>
        <v>38.668100000000003</v>
      </c>
      <c r="I26" s="102">
        <f t="shared" si="3"/>
        <v>207528.06</v>
      </c>
      <c r="N26" s="635" t="s">
        <v>91</v>
      </c>
      <c r="O26" s="635"/>
      <c r="P26" s="636">
        <f t="shared" si="0"/>
        <v>0</v>
      </c>
      <c r="Q26" s="636"/>
      <c r="R26" s="637">
        <v>1</v>
      </c>
      <c r="S26" s="637"/>
      <c r="T26" s="96">
        <f t="shared" si="4"/>
        <v>0</v>
      </c>
      <c r="U26" s="97">
        <f t="shared" si="5"/>
        <v>0</v>
      </c>
    </row>
    <row r="27" spans="1:21" x14ac:dyDescent="0.25">
      <c r="A27" s="586" t="s">
        <v>92</v>
      </c>
      <c r="B27" s="586"/>
      <c r="C27" s="151">
        <v>12.66</v>
      </c>
      <c r="D27" s="151">
        <v>12.98</v>
      </c>
      <c r="E27" s="117">
        <f t="shared" si="1"/>
        <v>25.64</v>
      </c>
      <c r="F27" s="622">
        <f>'0664'!F27:G27</f>
        <v>1.208</v>
      </c>
      <c r="G27" s="622"/>
      <c r="H27" s="81">
        <f t="shared" si="2"/>
        <v>30.973099999999999</v>
      </c>
      <c r="I27" s="102">
        <f t="shared" si="3"/>
        <v>166229.72</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231.31999999999996</v>
      </c>
      <c r="D30" s="95">
        <f>SUM(D14:D29)</f>
        <v>236.88</v>
      </c>
      <c r="E30" s="95">
        <f>SUM(E14:E29)</f>
        <v>468.19999999999993</v>
      </c>
      <c r="F30" s="609"/>
      <c r="G30" s="609"/>
      <c r="H30" s="100">
        <f>SUM(H14:H29)</f>
        <v>501.45949999999999</v>
      </c>
      <c r="I30" s="95">
        <f>SUM(I14:I29)</f>
        <v>2691286.0400000005</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501.45949999999999</v>
      </c>
      <c r="F46" s="34"/>
      <c r="G46" s="107"/>
      <c r="H46" s="108" t="s">
        <v>104</v>
      </c>
      <c r="I46" s="95">
        <f>SUM(I44,I30)</f>
        <v>2691286.0400000005</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2691286.0400000005</v>
      </c>
      <c r="G51" s="110" t="s">
        <v>6</v>
      </c>
      <c r="H51" s="425">
        <v>4.5199999999999997E-2</v>
      </c>
      <c r="I51" s="102">
        <f>ROUND(F51*H51,2)</f>
        <v>121646.13</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2691286.0400000005</v>
      </c>
      <c r="G52" s="110" t="s">
        <v>6</v>
      </c>
      <c r="H52" s="425">
        <v>1.41E-2</v>
      </c>
      <c r="I52" s="102">
        <f>ROUND(F52*H52,2)</f>
        <v>37947.129999999997</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159593.26</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468.19999999999993</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2.3029999999999999E-3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501.45949999999999</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2.2039999999999998E-3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468.19999999999993</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2.5049999999999998E-3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468.19999999999993</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2.3050000000000002E-3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468.19999999999993</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2.5079999999999998E-3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2.3050000000000002E-3</v>
      </c>
      <c r="I71" s="102">
        <f>ROUND(F71*H71,2)</f>
        <v>102954.06</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2.3029999999999999E-3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2.5079999999999998E-3</v>
      </c>
      <c r="I76" s="102">
        <f>ROUND(F76*H76,2)</f>
        <v>40546.97</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2.5049999999999998E-3</v>
      </c>
      <c r="I78" s="102">
        <f t="shared" ref="I78:I87" si="10">ROUND(F78*H78,2)</f>
        <v>25150.45</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48.84</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48.84</v>
      </c>
      <c r="G83" s="37" t="s">
        <v>6</v>
      </c>
      <c r="H83" s="448">
        <f>'0664'!H83</f>
        <v>1951.26</v>
      </c>
      <c r="I83" s="102">
        <f>ROUND(F83*H83,2)</f>
        <v>95299.54</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2.2039999999999998E-3</v>
      </c>
      <c r="I85" s="102">
        <f t="shared" si="10"/>
        <v>516592.1</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2.2039999999999998E-3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234.26640000000003</v>
      </c>
      <c r="D92" s="597"/>
      <c r="E92" s="47">
        <f>H8</f>
        <v>1.0442</v>
      </c>
      <c r="F92" s="320">
        <f>'0664'!F92</f>
        <v>947.59</v>
      </c>
      <c r="G92" s="39" t="s">
        <v>12</v>
      </c>
      <c r="H92" s="102">
        <f>ROUND(C92*E92*F92,2)</f>
        <v>231800.39</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267.19310000000002</v>
      </c>
      <c r="D93" s="597"/>
      <c r="E93" s="47">
        <f>H8</f>
        <v>1.0442</v>
      </c>
      <c r="F93" s="320">
        <f>'0664'!F93</f>
        <v>904.74</v>
      </c>
      <c r="G93" s="39" t="s">
        <v>12</v>
      </c>
      <c r="H93" s="102">
        <f>ROUND(C93*E93*F93,2)</f>
        <v>252425.21</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501.45950000000005</v>
      </c>
      <c r="D95" s="601"/>
      <c r="E95" s="130"/>
      <c r="F95" s="130"/>
      <c r="G95" s="130"/>
      <c r="H95" s="131" t="s">
        <v>112</v>
      </c>
      <c r="I95" s="102">
        <f>IF(A1=75,0,H94+H93+H92)</f>
        <v>484225.6</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4"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0</v>
      </c>
      <c r="D101" s="151">
        <v>0</v>
      </c>
      <c r="E101" s="117">
        <f>(C101+D101)/2</f>
        <v>0</v>
      </c>
      <c r="F101" s="134" t="s">
        <v>30</v>
      </c>
      <c r="G101" s="321">
        <f>'0664'!G101</f>
        <v>565</v>
      </c>
      <c r="I101" s="102">
        <f>ROUND(G101*E101,2)</f>
        <v>0</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4115648.0200000014</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3956054.7600000016</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3956054.7600000016</v>
      </c>
      <c r="I123" s="95">
        <f>ROUND(IF(E30=0,0,IF(E30&gt;250,-(((250/E30)*H123)*IF(G123="H",0.02,0.05)),IF(G123="H",-0.02*H123,-0.05*H123))),2)</f>
        <v>-105618.72</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4010029.3000000012</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82" t="s">
        <v>260</v>
      </c>
      <c r="B127" s="70"/>
      <c r="C127" s="148"/>
      <c r="D127" s="70"/>
      <c r="F127" s="70"/>
      <c r="G127" s="70"/>
      <c r="H127" s="66"/>
      <c r="I127" s="289">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280">
        <f>I125+I127</f>
        <v>4010029.3000000012</v>
      </c>
      <c r="N129" s="74"/>
      <c r="O129" s="74"/>
      <c r="P129" s="74"/>
      <c r="Q129" s="74"/>
      <c r="R129" s="74"/>
      <c r="S129" s="74"/>
      <c r="T129" s="74"/>
      <c r="U129" s="74"/>
    </row>
    <row r="130" spans="1:21" x14ac:dyDescent="0.25">
      <c r="A130" s="82"/>
      <c r="B130" s="70"/>
      <c r="C130" s="70"/>
      <c r="D130" s="70"/>
      <c r="E130" s="70"/>
      <c r="F130" s="70"/>
      <c r="G130" s="70"/>
      <c r="H130" s="66"/>
      <c r="I130" s="280"/>
      <c r="N130" s="74"/>
      <c r="O130" s="74"/>
      <c r="P130" s="74"/>
      <c r="Q130" s="74"/>
      <c r="R130" s="74"/>
      <c r="S130" s="74"/>
      <c r="T130" s="74"/>
      <c r="U130" s="74"/>
    </row>
    <row r="131" spans="1:21" x14ac:dyDescent="0.25">
      <c r="A131" s="82" t="s">
        <v>266</v>
      </c>
      <c r="B131" s="70"/>
      <c r="C131" s="70"/>
      <c r="D131" s="70"/>
      <c r="E131" s="70"/>
      <c r="F131" s="70"/>
      <c r="G131" s="70"/>
      <c r="H131" s="66"/>
      <c r="I131" s="288">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334169.11</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92184.02</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T69:U69"/>
    <mergeCell ref="A74:C74"/>
    <mergeCell ref="A85:C85"/>
    <mergeCell ref="N85:P85"/>
    <mergeCell ref="A87:C87"/>
    <mergeCell ref="N87:P87"/>
    <mergeCell ref="C90:D90"/>
    <mergeCell ref="C91:D91"/>
    <mergeCell ref="N91:O91"/>
    <mergeCell ref="P91:Q91"/>
    <mergeCell ref="N74:P74"/>
    <mergeCell ref="R91:U91"/>
    <mergeCell ref="C92:D92"/>
    <mergeCell ref="P92:Q92"/>
    <mergeCell ref="C93:D93"/>
    <mergeCell ref="P93:Q93"/>
    <mergeCell ref="C94:D94"/>
    <mergeCell ref="P94:Q94"/>
    <mergeCell ref="C95:D95"/>
    <mergeCell ref="P95:T95"/>
    <mergeCell ref="A96:I96"/>
    <mergeCell ref="N96:U96"/>
    <mergeCell ref="F98:I98"/>
    <mergeCell ref="N98:P98"/>
    <mergeCell ref="Q98:T98"/>
    <mergeCell ref="A101:B101"/>
    <mergeCell ref="N101:O101"/>
    <mergeCell ref="P101:R101"/>
    <mergeCell ref="A102:B102"/>
    <mergeCell ref="N102:O102"/>
    <mergeCell ref="P102:R102"/>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N140:U140"/>
    <mergeCell ref="N115:T115"/>
    <mergeCell ref="A116:H116"/>
    <mergeCell ref="A120:G120"/>
    <mergeCell ref="N120:U120"/>
    <mergeCell ref="A121:G121"/>
    <mergeCell ref="N121:U121"/>
    <mergeCell ref="A111:B111"/>
    <mergeCell ref="F111:G111"/>
    <mergeCell ref="N111:O111"/>
    <mergeCell ref="P111:Q111"/>
    <mergeCell ref="R111:S111"/>
    <mergeCell ref="A112:B112"/>
    <mergeCell ref="N112:O112"/>
    <mergeCell ref="A114:C114"/>
    <mergeCell ref="F114:H114"/>
    <mergeCell ref="N114:P114"/>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CCCC"/>
  </sheetPr>
  <dimension ref="A1:V209"/>
  <sheetViews>
    <sheetView showGridLines="0" zoomScaleNormal="100" workbookViewId="0">
      <pane ySplit="1" topLeftCell="A93"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147</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34.5</v>
      </c>
      <c r="D16" s="151">
        <v>32.43</v>
      </c>
      <c r="E16" s="117">
        <f t="shared" si="1"/>
        <v>66.930000000000007</v>
      </c>
      <c r="F16" s="622">
        <f>'0664'!F16:G16</f>
        <v>1</v>
      </c>
      <c r="G16" s="622"/>
      <c r="H16" s="81">
        <f t="shared" si="2"/>
        <v>66.930000000000007</v>
      </c>
      <c r="I16" s="102">
        <f t="shared" si="3"/>
        <v>359207.02</v>
      </c>
      <c r="N16" s="635" t="s">
        <v>22</v>
      </c>
      <c r="O16" s="635"/>
      <c r="P16" s="636">
        <f t="shared" si="0"/>
        <v>0</v>
      </c>
      <c r="Q16" s="636"/>
      <c r="R16" s="637">
        <v>1</v>
      </c>
      <c r="S16" s="637"/>
      <c r="T16" s="96">
        <f t="shared" si="4"/>
        <v>0</v>
      </c>
      <c r="U16" s="97">
        <f t="shared" si="5"/>
        <v>0</v>
      </c>
    </row>
    <row r="17" spans="1:21" x14ac:dyDescent="0.25">
      <c r="A17" s="586" t="s">
        <v>23</v>
      </c>
      <c r="B17" s="586"/>
      <c r="C17" s="151">
        <v>6.94</v>
      </c>
      <c r="D17" s="151">
        <v>7.28</v>
      </c>
      <c r="E17" s="117">
        <f t="shared" si="1"/>
        <v>14.22</v>
      </c>
      <c r="F17" s="622">
        <f>'0664'!F17:G17</f>
        <v>1</v>
      </c>
      <c r="G17" s="622"/>
      <c r="H17" s="81">
        <f t="shared" si="2"/>
        <v>14.22</v>
      </c>
      <c r="I17" s="102">
        <f t="shared" si="3"/>
        <v>76317.399999999994</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0</v>
      </c>
      <c r="D27" s="151">
        <v>0</v>
      </c>
      <c r="E27" s="117">
        <f t="shared" si="1"/>
        <v>0</v>
      </c>
      <c r="F27" s="622">
        <f>'0664'!F27:G27</f>
        <v>1.208</v>
      </c>
      <c r="G27" s="622"/>
      <c r="H27" s="81">
        <f t="shared" si="2"/>
        <v>0</v>
      </c>
      <c r="I27" s="102">
        <f t="shared" si="3"/>
        <v>0</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41.44</v>
      </c>
      <c r="D30" s="95">
        <f>SUM(D14:D29)</f>
        <v>39.71</v>
      </c>
      <c r="E30" s="95">
        <f>SUM(E14:E29)</f>
        <v>81.150000000000006</v>
      </c>
      <c r="F30" s="609"/>
      <c r="G30" s="609"/>
      <c r="H30" s="100">
        <f>SUM(H14:H29)</f>
        <v>81.150000000000006</v>
      </c>
      <c r="I30" s="95">
        <f>SUM(I14:I29)</f>
        <v>435524.42000000004</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81.150000000000006</v>
      </c>
      <c r="F46" s="34"/>
      <c r="G46" s="107"/>
      <c r="H46" s="108" t="s">
        <v>104</v>
      </c>
      <c r="I46" s="95">
        <f>SUM(I44,I30)</f>
        <v>435524.42000000004</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435524.42000000004</v>
      </c>
      <c r="G51" s="110" t="s">
        <v>6</v>
      </c>
      <c r="H51" s="425">
        <v>4.5199999999999997E-2</v>
      </c>
      <c r="I51" s="102">
        <f>ROUND(F51*H51,2)</f>
        <v>19685.7</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435524.42000000004</v>
      </c>
      <c r="G52" s="110" t="s">
        <v>6</v>
      </c>
      <c r="H52" s="425">
        <v>1.41E-2</v>
      </c>
      <c r="I52" s="102">
        <f>ROUND(F52*H52,2)</f>
        <v>6140.89</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25826.59</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81.150000000000006</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3.9899999999999999E-4</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81.150000000000006</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3.57E-4</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81.150000000000006</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4.3399999999999998E-4</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81.150000000000006</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4.0000000000000002E-4</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81.150000000000006</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4.35E-4</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4.0000000000000002E-4</v>
      </c>
      <c r="I71" s="102">
        <f>ROUND(F71*H71,2)</f>
        <v>17866.21</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3.9899999999999999E-4</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4.35E-4</v>
      </c>
      <c r="I76" s="102">
        <f>ROUND(F76*H76,2)</f>
        <v>7032.67</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4.3399999999999998E-4</v>
      </c>
      <c r="I78" s="102">
        <f t="shared" ref="I78:I87" si="10">ROUND(F78*H78,2)</f>
        <v>4357.3999999999996</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14.22</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14.22</v>
      </c>
      <c r="G83" s="37" t="s">
        <v>6</v>
      </c>
      <c r="H83" s="448">
        <f>'0664'!H83</f>
        <v>1951.26</v>
      </c>
      <c r="I83" s="102">
        <f>ROUND(F83*H83,2)</f>
        <v>27746.92</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3.57E-4</v>
      </c>
      <c r="I85" s="102">
        <f t="shared" si="10"/>
        <v>83676.67</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3.57E-4</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0</v>
      </c>
      <c r="D92" s="597"/>
      <c r="E92" s="47">
        <f>H8</f>
        <v>1.0442</v>
      </c>
      <c r="F92" s="320">
        <f>'0664'!F92</f>
        <v>947.59</v>
      </c>
      <c r="G92" s="39" t="s">
        <v>12</v>
      </c>
      <c r="H92" s="102">
        <f>ROUND(C92*E92*F92,2)</f>
        <v>0</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81.150000000000006</v>
      </c>
      <c r="D93" s="597"/>
      <c r="E93" s="47">
        <f>H8</f>
        <v>1.0442</v>
      </c>
      <c r="F93" s="320">
        <f>'0664'!F93</f>
        <v>904.74</v>
      </c>
      <c r="G93" s="39" t="s">
        <v>12</v>
      </c>
      <c r="H93" s="102">
        <f>ROUND(C93*E93*F93,2)</f>
        <v>76664.800000000003</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81.150000000000006</v>
      </c>
      <c r="D95" s="601"/>
      <c r="E95" s="130"/>
      <c r="F95" s="130"/>
      <c r="G95" s="130"/>
      <c r="H95" s="131" t="s">
        <v>112</v>
      </c>
      <c r="I95" s="102">
        <f>IF(A1=75,0,H94+H93+H92)</f>
        <v>76664.800000000003</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0</v>
      </c>
      <c r="D101" s="151">
        <v>0</v>
      </c>
      <c r="E101" s="117">
        <f>(C101+D101)/2</f>
        <v>0</v>
      </c>
      <c r="F101" s="134" t="s">
        <v>30</v>
      </c>
      <c r="G101" s="321">
        <f>'0664'!G101</f>
        <v>565</v>
      </c>
      <c r="I101" s="102">
        <f>ROUND(G101*E101,2)</f>
        <v>0</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678695.68000000017</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652869.0900000002</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1" t="s">
        <v>258</v>
      </c>
      <c r="H123" s="147">
        <f>IF(H121=1,I121,I118)</f>
        <v>652869.0900000002</v>
      </c>
      <c r="I123" s="95">
        <f>ROUND(IF(E30=0,0,IF(E30&gt;250,-(((250/E30)*H123)*IF(G123="H",0.02,0.05)),IF(G123="H",-0.02*H123,-0.05*H123))),2)</f>
        <v>-13057.38</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665638.30000000016</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665638.30000000016</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55469.86</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0</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T69:U69"/>
    <mergeCell ref="A85:C85"/>
    <mergeCell ref="A74:C74"/>
    <mergeCell ref="N85:P85"/>
    <mergeCell ref="A87:C87"/>
    <mergeCell ref="N87:P87"/>
    <mergeCell ref="C90:D90"/>
    <mergeCell ref="C91:D91"/>
    <mergeCell ref="N91:O91"/>
    <mergeCell ref="P91:Q91"/>
    <mergeCell ref="N74:P74"/>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CCCC"/>
  </sheetPr>
  <dimension ref="A1:V209"/>
  <sheetViews>
    <sheetView showGridLines="0" zoomScaleNormal="100" workbookViewId="0">
      <pane ySplit="1" topLeftCell="A102"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148</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9" t="s">
        <v>333</v>
      </c>
      <c r="D10" s="89"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150.74</v>
      </c>
      <c r="D14" s="149">
        <v>146.88999999999999</v>
      </c>
      <c r="E14" s="196">
        <f>IF(D$30=0,C14*2,C14+D14)</f>
        <v>297.63</v>
      </c>
      <c r="F14" s="625">
        <f>'0664'!F14:G14</f>
        <v>1.1220000000000001</v>
      </c>
      <c r="G14" s="625"/>
      <c r="H14" s="153">
        <f>ROUND(E14*F14,4)</f>
        <v>333.9409</v>
      </c>
      <c r="I14" s="112">
        <f>ROUND(ROUND(ROUND(H14*$C$8,4)*($H$8),2)*(MAX($H$9,1)),2)</f>
        <v>1792229.44</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8</v>
      </c>
      <c r="D15" s="151">
        <v>7.97</v>
      </c>
      <c r="E15" s="117">
        <f t="shared" ref="E15:E29" si="1">IF(D$30=0,C15*2,C15+D15)</f>
        <v>15.969999999999999</v>
      </c>
      <c r="F15" s="622">
        <f>'0664'!F15:G15</f>
        <v>1.1220000000000001</v>
      </c>
      <c r="G15" s="622"/>
      <c r="H15" s="81">
        <f t="shared" ref="H15:H29" si="2">ROUND(E15*F15,4)</f>
        <v>17.918299999999999</v>
      </c>
      <c r="I15" s="102">
        <f t="shared" ref="I15:I29" si="3">ROUND(ROUND(ROUND(H15*$C$8,4)*($H$8),2)*(MAX($H$9,1)),2)</f>
        <v>96165.83</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193.55</v>
      </c>
      <c r="D16" s="151">
        <v>189.08</v>
      </c>
      <c r="E16" s="117">
        <f t="shared" si="1"/>
        <v>382.63</v>
      </c>
      <c r="F16" s="622">
        <f>'0664'!F16:G16</f>
        <v>1</v>
      </c>
      <c r="G16" s="622"/>
      <c r="H16" s="81">
        <f t="shared" si="2"/>
        <v>382.63</v>
      </c>
      <c r="I16" s="102">
        <f t="shared" si="3"/>
        <v>2053539.27</v>
      </c>
      <c r="N16" s="635" t="s">
        <v>22</v>
      </c>
      <c r="O16" s="635"/>
      <c r="P16" s="636">
        <f t="shared" si="0"/>
        <v>0</v>
      </c>
      <c r="Q16" s="636"/>
      <c r="R16" s="637">
        <v>1</v>
      </c>
      <c r="S16" s="637"/>
      <c r="T16" s="96">
        <f t="shared" si="4"/>
        <v>0</v>
      </c>
      <c r="U16" s="97">
        <f t="shared" si="5"/>
        <v>0</v>
      </c>
    </row>
    <row r="17" spans="1:21" x14ac:dyDescent="0.25">
      <c r="A17" s="586" t="s">
        <v>23</v>
      </c>
      <c r="B17" s="586"/>
      <c r="C17" s="151">
        <v>23.5</v>
      </c>
      <c r="D17" s="151">
        <v>20.94</v>
      </c>
      <c r="E17" s="117">
        <f t="shared" si="1"/>
        <v>44.44</v>
      </c>
      <c r="F17" s="622">
        <f>'0664'!F17:G17</f>
        <v>1</v>
      </c>
      <c r="G17" s="622"/>
      <c r="H17" s="81">
        <f t="shared" si="2"/>
        <v>44.44</v>
      </c>
      <c r="I17" s="102">
        <f t="shared" si="3"/>
        <v>238505.31</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21.28</v>
      </c>
      <c r="D26" s="151">
        <v>19.68</v>
      </c>
      <c r="E26" s="117">
        <f t="shared" si="1"/>
        <v>40.96</v>
      </c>
      <c r="F26" s="622">
        <f>'0664'!F26:G26</f>
        <v>1.208</v>
      </c>
      <c r="G26" s="622"/>
      <c r="H26" s="81">
        <f t="shared" si="2"/>
        <v>49.479700000000001</v>
      </c>
      <c r="I26" s="102">
        <f t="shared" si="3"/>
        <v>265552.90000000002</v>
      </c>
      <c r="N26" s="635" t="s">
        <v>91</v>
      </c>
      <c r="O26" s="635"/>
      <c r="P26" s="636">
        <f t="shared" si="0"/>
        <v>0</v>
      </c>
      <c r="Q26" s="636"/>
      <c r="R26" s="637">
        <v>1</v>
      </c>
      <c r="S26" s="637"/>
      <c r="T26" s="96">
        <f t="shared" si="4"/>
        <v>0</v>
      </c>
      <c r="U26" s="97">
        <f t="shared" si="5"/>
        <v>0</v>
      </c>
    </row>
    <row r="27" spans="1:21" x14ac:dyDescent="0.25">
      <c r="A27" s="586" t="s">
        <v>92</v>
      </c>
      <c r="B27" s="586"/>
      <c r="C27" s="151">
        <v>10.56</v>
      </c>
      <c r="D27" s="151">
        <v>13.52</v>
      </c>
      <c r="E27" s="117">
        <f t="shared" si="1"/>
        <v>24.08</v>
      </c>
      <c r="F27" s="622">
        <f>'0664'!F27:G27</f>
        <v>1.208</v>
      </c>
      <c r="G27" s="622"/>
      <c r="H27" s="81">
        <f t="shared" si="2"/>
        <v>29.0886</v>
      </c>
      <c r="I27" s="102">
        <f t="shared" si="3"/>
        <v>156115.78</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407.63000000000005</v>
      </c>
      <c r="D30" s="95">
        <f>SUM(D14:D29)</f>
        <v>398.08</v>
      </c>
      <c r="E30" s="95">
        <f>SUM(E14:E29)</f>
        <v>805.71000000000015</v>
      </c>
      <c r="F30" s="609"/>
      <c r="G30" s="609"/>
      <c r="H30" s="100">
        <f>SUM(H14:H29)</f>
        <v>857.49750000000006</v>
      </c>
      <c r="I30" s="95">
        <f>SUM(I14:I29)</f>
        <v>4602108.53</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857.49750000000006</v>
      </c>
      <c r="F46" s="34"/>
      <c r="G46" s="107"/>
      <c r="H46" s="108" t="s">
        <v>104</v>
      </c>
      <c r="I46" s="95">
        <f>SUM(I44,I30)</f>
        <v>4602108.53</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4602108.53</v>
      </c>
      <c r="G51" s="110" t="s">
        <v>6</v>
      </c>
      <c r="H51" s="425">
        <v>4.5199999999999997E-2</v>
      </c>
      <c r="I51" s="102">
        <f>ROUND(F51*H51,2)</f>
        <v>208015.31</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4602108.53</v>
      </c>
      <c r="G52" s="110" t="s">
        <v>6</v>
      </c>
      <c r="H52" s="425">
        <v>1.41E-2</v>
      </c>
      <c r="I52" s="102">
        <f>ROUND(F52*H52,2)</f>
        <v>64889.73</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272905.03999999998</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805.71000000000015</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3.9630000000000004E-3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857.49750000000006</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3.7690000000000002E-3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805.71000000000015</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4.3109999999999997E-3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805.71000000000015</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3.967E-3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805.71000000000015</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4.3160000000000004E-3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3.967E-3</v>
      </c>
      <c r="I71" s="102">
        <f>ROUND(F71*H71,2)</f>
        <v>177188.18</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3.9630000000000004E-3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4.3160000000000004E-3</v>
      </c>
      <c r="I76" s="102">
        <f>ROUND(F76*H76,2)</f>
        <v>69777</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4.3109999999999997E-3</v>
      </c>
      <c r="I78" s="102">
        <f t="shared" ref="I78:I87" si="10">ROUND(F78*H78,2)</f>
        <v>43282.87</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60.41</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60.41</v>
      </c>
      <c r="G83" s="37" t="s">
        <v>6</v>
      </c>
      <c r="H83" s="448">
        <f>'0664'!H83</f>
        <v>1951.26</v>
      </c>
      <c r="I83" s="102">
        <f>ROUND(F83*H83,2)</f>
        <v>117875.62</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3.7690000000000002E-3</v>
      </c>
      <c r="I85" s="102">
        <f t="shared" si="10"/>
        <v>883410</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3.7690000000000002E-3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401.33889999999997</v>
      </c>
      <c r="D92" s="597"/>
      <c r="E92" s="47">
        <f>H8</f>
        <v>1.0442</v>
      </c>
      <c r="F92" s="320">
        <f>'0664'!F92</f>
        <v>947.59</v>
      </c>
      <c r="G92" s="39" t="s">
        <v>12</v>
      </c>
      <c r="H92" s="102">
        <f>ROUND(C92*E92*F92,2)</f>
        <v>397114.2</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456.15859999999998</v>
      </c>
      <c r="D93" s="597"/>
      <c r="E93" s="47">
        <f>H8</f>
        <v>1.0442</v>
      </c>
      <c r="F93" s="320">
        <f>'0664'!F93</f>
        <v>904.74</v>
      </c>
      <c r="G93" s="39" t="s">
        <v>12</v>
      </c>
      <c r="H93" s="102">
        <f>ROUND(C93*E93*F93,2)</f>
        <v>430946.49</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857.49749999999995</v>
      </c>
      <c r="D95" s="601"/>
      <c r="E95" s="130"/>
      <c r="F95" s="130"/>
      <c r="G95" s="130"/>
      <c r="H95" s="131" t="s">
        <v>112</v>
      </c>
      <c r="I95" s="102">
        <f>IF(A1=75,0,H94+H93+H92)</f>
        <v>828060.69</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5</v>
      </c>
      <c r="D101" s="151">
        <v>0</v>
      </c>
      <c r="E101" s="117">
        <f>(C101+D101)/2</f>
        <v>2.5</v>
      </c>
      <c r="F101" s="134" t="s">
        <v>30</v>
      </c>
      <c r="G101" s="321">
        <f>'0664'!G101</f>
        <v>565</v>
      </c>
      <c r="I101" s="102">
        <f>ROUND(G101*E101,2)</f>
        <v>1412.5</v>
      </c>
      <c r="N101" s="684" t="s">
        <v>54</v>
      </c>
      <c r="O101" s="684"/>
      <c r="P101" s="672">
        <f>IF(H121=1,E101,0)</f>
        <v>0</v>
      </c>
      <c r="Q101" s="672"/>
      <c r="R101" s="672"/>
      <c r="S101" s="84" t="s">
        <v>30</v>
      </c>
      <c r="T101" s="59">
        <f>G101</f>
        <v>565</v>
      </c>
      <c r="U101" s="97">
        <f>ROUND(T101*P101,0)</f>
        <v>0</v>
      </c>
    </row>
    <row r="102" spans="1:21" x14ac:dyDescent="0.25">
      <c r="A102" s="590" t="s">
        <v>436</v>
      </c>
      <c r="B102" s="596"/>
      <c r="C102" s="151">
        <v>1</v>
      </c>
      <c r="D102" s="151">
        <v>0</v>
      </c>
      <c r="E102" s="117">
        <f>(C102+D102)/2</f>
        <v>0.5</v>
      </c>
      <c r="F102" s="134" t="s">
        <v>30</v>
      </c>
      <c r="G102" s="321">
        <f>'0664'!G102</f>
        <v>1762</v>
      </c>
      <c r="I102" s="102">
        <f>ROUND(G102*E102,2)</f>
        <v>881</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6996901.4299999997</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6723996.3899999997</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6723996.3899999997</v>
      </c>
      <c r="I123" s="95">
        <f>ROUND(IF(E30=0,0,IF(E30&gt;250,-(((250/E30)*H123)*IF(G123="H",0.02,0.05)),IF(G123="H",-0.02*H123,-0.05*H123))),2)</f>
        <v>-104317.87</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6892583.5599999996</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6892583.5599999996</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574381.96</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231881.95</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CCCC"/>
  </sheetPr>
  <dimension ref="A1:V209"/>
  <sheetViews>
    <sheetView showGridLines="0" zoomScaleNormal="100" workbookViewId="0">
      <pane ySplit="1" topLeftCell="A117"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149</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9" t="s">
        <v>333</v>
      </c>
      <c r="D10" s="89"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150.04</v>
      </c>
      <c r="D14" s="149">
        <v>143.28</v>
      </c>
      <c r="E14" s="196">
        <f>IF(D$30=0,C14*2,C14+D14)</f>
        <v>293.32</v>
      </c>
      <c r="F14" s="625">
        <f>'0664'!F14:G14</f>
        <v>1.1220000000000001</v>
      </c>
      <c r="G14" s="625"/>
      <c r="H14" s="153">
        <f>ROUND(E14*F14,4)</f>
        <v>329.10500000000002</v>
      </c>
      <c r="I14" s="112">
        <f>ROUND(ROUND(ROUND(H14*$C$8,4)*($H$8),2)*(MAX($H$9,1)),2)</f>
        <v>1766275.62</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18</v>
      </c>
      <c r="D15" s="151">
        <v>19.149999999999999</v>
      </c>
      <c r="E15" s="117">
        <f t="shared" ref="E15:E29" si="1">IF(D$30=0,C15*2,C15+D15)</f>
        <v>37.15</v>
      </c>
      <c r="F15" s="622">
        <f>'0664'!F15:G15</f>
        <v>1.1220000000000001</v>
      </c>
      <c r="G15" s="622"/>
      <c r="H15" s="81">
        <f t="shared" ref="H15:H29" si="2">ROUND(E15*F15,4)</f>
        <v>41.682299999999998</v>
      </c>
      <c r="I15" s="102">
        <f t="shared" ref="I15:I29" si="3">ROUND(ROUND(ROUND(H15*$C$8,4)*($H$8),2)*(MAX($H$9,1)),2)</f>
        <v>223704.99</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174.36</v>
      </c>
      <c r="D16" s="151">
        <v>172.79</v>
      </c>
      <c r="E16" s="117">
        <f t="shared" si="1"/>
        <v>347.15</v>
      </c>
      <c r="F16" s="622">
        <f>'0664'!F16:G16</f>
        <v>1</v>
      </c>
      <c r="G16" s="622"/>
      <c r="H16" s="81">
        <f t="shared" si="2"/>
        <v>347.15</v>
      </c>
      <c r="I16" s="102">
        <f t="shared" si="3"/>
        <v>1863121.44</v>
      </c>
      <c r="N16" s="635" t="s">
        <v>22</v>
      </c>
      <c r="O16" s="635"/>
      <c r="P16" s="636">
        <f t="shared" si="0"/>
        <v>0</v>
      </c>
      <c r="Q16" s="636"/>
      <c r="R16" s="637">
        <v>1</v>
      </c>
      <c r="S16" s="637"/>
      <c r="T16" s="96">
        <f t="shared" si="4"/>
        <v>0</v>
      </c>
      <c r="U16" s="97">
        <f t="shared" si="5"/>
        <v>0</v>
      </c>
    </row>
    <row r="17" spans="1:21" x14ac:dyDescent="0.25">
      <c r="A17" s="586" t="s">
        <v>23</v>
      </c>
      <c r="B17" s="586"/>
      <c r="C17" s="151">
        <v>26</v>
      </c>
      <c r="D17" s="151">
        <v>26.76</v>
      </c>
      <c r="E17" s="117">
        <f t="shared" si="1"/>
        <v>52.760000000000005</v>
      </c>
      <c r="F17" s="622">
        <f>'0664'!F17:G17</f>
        <v>1</v>
      </c>
      <c r="G17" s="622"/>
      <c r="H17" s="81">
        <f t="shared" si="2"/>
        <v>52.76</v>
      </c>
      <c r="I17" s="102">
        <f t="shared" si="3"/>
        <v>283157.96000000002</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22.78</v>
      </c>
      <c r="D26" s="151">
        <v>25.83</v>
      </c>
      <c r="E26" s="117">
        <f t="shared" si="1"/>
        <v>48.61</v>
      </c>
      <c r="F26" s="622">
        <f>'0664'!F26:G26</f>
        <v>1.208</v>
      </c>
      <c r="G26" s="622"/>
      <c r="H26" s="81">
        <f t="shared" si="2"/>
        <v>58.7209</v>
      </c>
      <c r="I26" s="102">
        <f t="shared" si="3"/>
        <v>315149.55</v>
      </c>
      <c r="N26" s="635" t="s">
        <v>91</v>
      </c>
      <c r="O26" s="635"/>
      <c r="P26" s="636">
        <f t="shared" si="0"/>
        <v>0</v>
      </c>
      <c r="Q26" s="636"/>
      <c r="R26" s="637">
        <v>1</v>
      </c>
      <c r="S26" s="637"/>
      <c r="T26" s="96">
        <f t="shared" si="4"/>
        <v>0</v>
      </c>
      <c r="U26" s="97">
        <f t="shared" si="5"/>
        <v>0</v>
      </c>
    </row>
    <row r="27" spans="1:21" x14ac:dyDescent="0.25">
      <c r="A27" s="586" t="s">
        <v>92</v>
      </c>
      <c r="B27" s="586"/>
      <c r="C27" s="151">
        <v>24.09</v>
      </c>
      <c r="D27" s="151">
        <v>29.18</v>
      </c>
      <c r="E27" s="117">
        <f t="shared" si="1"/>
        <v>53.269999999999996</v>
      </c>
      <c r="F27" s="622">
        <f>'0664'!F27:G27</f>
        <v>1.208</v>
      </c>
      <c r="G27" s="622"/>
      <c r="H27" s="81">
        <f t="shared" si="2"/>
        <v>64.350200000000001</v>
      </c>
      <c r="I27" s="102">
        <f t="shared" si="3"/>
        <v>345361.48</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415.26999999999992</v>
      </c>
      <c r="D30" s="95">
        <f>SUM(D14:D29)</f>
        <v>416.99</v>
      </c>
      <c r="E30" s="95">
        <f>SUM(E14:E29)</f>
        <v>832.25999999999988</v>
      </c>
      <c r="F30" s="609"/>
      <c r="G30" s="609"/>
      <c r="H30" s="100">
        <f>SUM(H14:H29)</f>
        <v>893.76840000000004</v>
      </c>
      <c r="I30" s="95">
        <f>SUM(I14:I29)</f>
        <v>4796771.0399999991</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893.76840000000004</v>
      </c>
      <c r="F46" s="34"/>
      <c r="G46" s="107"/>
      <c r="H46" s="108" t="s">
        <v>104</v>
      </c>
      <c r="I46" s="95">
        <f>SUM(I44,I30)</f>
        <v>4796771.0399999991</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4796771.0399999991</v>
      </c>
      <c r="G51" s="110" t="s">
        <v>6</v>
      </c>
      <c r="H51" s="425">
        <v>4.5199999999999997E-2</v>
      </c>
      <c r="I51" s="102">
        <f>ROUND(F51*H51,2)</f>
        <v>216814.05</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4796771.0399999991</v>
      </c>
      <c r="G52" s="110" t="s">
        <v>6</v>
      </c>
      <c r="H52" s="425">
        <v>1.41E-2</v>
      </c>
      <c r="I52" s="102">
        <f>ROUND(F52*H52,2)</f>
        <v>67634.47</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284448.52</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832.25999999999988</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4.0940000000000004E-3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893.76840000000004</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3.9280000000000001E-3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832.25999999999988</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4.4530000000000004E-3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832.25999999999988</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4.0980000000000001E-3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832.25999999999988</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4.4580000000000002E-3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4.0980000000000001E-3</v>
      </c>
      <c r="I71" s="102">
        <f>ROUND(F71*H71,2)</f>
        <v>183039.37</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4.0940000000000004E-3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4.4580000000000002E-3</v>
      </c>
      <c r="I76" s="102">
        <f>ROUND(F76*H76,2)</f>
        <v>72072.72</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4.4530000000000004E-3</v>
      </c>
      <c r="I78" s="102">
        <f t="shared" ref="I78:I87" si="10">ROUND(F78*H78,2)</f>
        <v>44708.56</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89.91</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89.91</v>
      </c>
      <c r="G83" s="37" t="s">
        <v>6</v>
      </c>
      <c r="H83" s="448">
        <f>'0664'!H83</f>
        <v>1951.26</v>
      </c>
      <c r="I83" s="102">
        <f>ROUND(F83*H83,2)</f>
        <v>175437.79</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3.9280000000000001E-3</v>
      </c>
      <c r="I85" s="102">
        <f t="shared" si="10"/>
        <v>920677.76</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3.9280000000000001E-3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429.50819999999999</v>
      </c>
      <c r="D92" s="597"/>
      <c r="E92" s="47">
        <f>H8</f>
        <v>1.0442</v>
      </c>
      <c r="F92" s="320">
        <f>'0664'!F92</f>
        <v>947.59</v>
      </c>
      <c r="G92" s="39" t="s">
        <v>12</v>
      </c>
      <c r="H92" s="102">
        <f>ROUND(C92*E92*F92,2)</f>
        <v>424986.97</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464.26019999999994</v>
      </c>
      <c r="D93" s="597"/>
      <c r="E93" s="47">
        <f>H8</f>
        <v>1.0442</v>
      </c>
      <c r="F93" s="320">
        <f>'0664'!F93</f>
        <v>904.74</v>
      </c>
      <c r="G93" s="39" t="s">
        <v>12</v>
      </c>
      <c r="H93" s="102">
        <f>ROUND(C93*E93*F93,2)</f>
        <v>438600.31</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893.76839999999993</v>
      </c>
      <c r="D95" s="601"/>
      <c r="E95" s="130"/>
      <c r="F95" s="130"/>
      <c r="G95" s="130"/>
      <c r="H95" s="131" t="s">
        <v>112</v>
      </c>
      <c r="I95" s="102">
        <f>IF(A1=75,0,H94+H93+H92)</f>
        <v>863587.28</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7</v>
      </c>
      <c r="D101" s="151">
        <v>0</v>
      </c>
      <c r="E101" s="117">
        <f>(C101+D101)/2</f>
        <v>3.5</v>
      </c>
      <c r="F101" s="134" t="s">
        <v>30</v>
      </c>
      <c r="G101" s="321">
        <f>'0664'!G101</f>
        <v>565</v>
      </c>
      <c r="I101" s="102">
        <f>ROUND(G101*E101,2)</f>
        <v>1977.5</v>
      </c>
      <c r="N101" s="684" t="s">
        <v>54</v>
      </c>
      <c r="O101" s="684"/>
      <c r="P101" s="672">
        <f>IF(H121=1,E101,0)</f>
        <v>0</v>
      </c>
      <c r="Q101" s="672"/>
      <c r="R101" s="672"/>
      <c r="S101" s="84" t="s">
        <v>30</v>
      </c>
      <c r="T101" s="59">
        <f>G101</f>
        <v>565</v>
      </c>
      <c r="U101" s="97">
        <f>ROUND(T101*P101,0)</f>
        <v>0</v>
      </c>
    </row>
    <row r="102" spans="1:21" x14ac:dyDescent="0.25">
      <c r="A102" s="590" t="s">
        <v>436</v>
      </c>
      <c r="B102" s="596"/>
      <c r="C102" s="151">
        <v>2</v>
      </c>
      <c r="D102" s="151">
        <v>0</v>
      </c>
      <c r="E102" s="117">
        <f>(C102+D102)/2</f>
        <v>1</v>
      </c>
      <c r="F102" s="134" t="s">
        <v>30</v>
      </c>
      <c r="G102" s="321">
        <f>'0664'!G102</f>
        <v>1762</v>
      </c>
      <c r="I102" s="102">
        <f>ROUND(G102*E102,2)</f>
        <v>1762</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7344482.5399999982</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7060034.0199999977</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7060034.0199999977</v>
      </c>
      <c r="I123" s="95">
        <f>ROUND(IF(E30=0,0,IF(E30&gt;250,-(((250/E30)*H123)*IF(G123="H",0.02,0.05)),IF(G123="H",-0.02*H123,-0.05*H123))),2)</f>
        <v>-106037.09</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7238445.4499999983</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7238445.4499999983</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603203.79</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246964.61</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CCCC"/>
  </sheetPr>
  <dimension ref="A1:V209"/>
  <sheetViews>
    <sheetView showGridLines="0" zoomScaleNormal="100" workbookViewId="0">
      <pane ySplit="1" topLeftCell="A96"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354</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9" t="s">
        <v>333</v>
      </c>
      <c r="D10" s="89" t="s">
        <v>333</v>
      </c>
      <c r="E10" s="8"/>
      <c r="F10" s="9"/>
      <c r="G10" s="9"/>
      <c r="H10" s="10"/>
      <c r="I10" s="322" t="str">
        <f>'0664'!I10</f>
        <v>2023-24</v>
      </c>
      <c r="J10" s="267"/>
      <c r="K10" s="66"/>
      <c r="L10" s="66"/>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J11" s="269"/>
      <c r="K11" s="268"/>
      <c r="L11" s="268"/>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J12" s="267"/>
      <c r="K12" s="268"/>
      <c r="L12" s="268"/>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K13" s="268"/>
      <c r="L13" s="268"/>
      <c r="N13" s="638" t="s">
        <v>36</v>
      </c>
      <c r="O13" s="638"/>
      <c r="P13" s="639" t="s">
        <v>37</v>
      </c>
      <c r="Q13" s="639"/>
      <c r="R13" s="640" t="s">
        <v>38</v>
      </c>
      <c r="S13" s="640"/>
      <c r="T13" s="22" t="s">
        <v>39</v>
      </c>
      <c r="U13" s="23" t="s">
        <v>40</v>
      </c>
    </row>
    <row r="14" spans="1:21" x14ac:dyDescent="0.25">
      <c r="A14" s="611" t="s">
        <v>20</v>
      </c>
      <c r="B14" s="611"/>
      <c r="C14" s="151">
        <v>223.21</v>
      </c>
      <c r="D14" s="149">
        <v>211.42</v>
      </c>
      <c r="E14" s="196">
        <f>IF(D$30=0,C14*2,C14+D14)</f>
        <v>434.63</v>
      </c>
      <c r="F14" s="625">
        <f>'0664'!F14:G14</f>
        <v>1.1220000000000001</v>
      </c>
      <c r="G14" s="625"/>
      <c r="H14" s="153">
        <f>ROUND(E14*F14,4)</f>
        <v>487.6549</v>
      </c>
      <c r="I14" s="112">
        <f>ROUND(ROUND(ROUND(H14*$C$8,4)*($H$8),2)*(MAX($H$9,1)),2)</f>
        <v>2617198.04</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17</v>
      </c>
      <c r="D15" s="151">
        <v>17.489999999999998</v>
      </c>
      <c r="E15" s="117">
        <f t="shared" ref="E15:E29" si="1">IF(D$30=0,C15*2,C15+D15)</f>
        <v>34.489999999999995</v>
      </c>
      <c r="F15" s="622">
        <f>'0664'!F15:G15</f>
        <v>1.1220000000000001</v>
      </c>
      <c r="G15" s="622"/>
      <c r="H15" s="81">
        <f t="shared" ref="H15:H29" si="2">ROUND(E15*F15,4)</f>
        <v>38.697800000000001</v>
      </c>
      <c r="I15" s="102">
        <f t="shared" ref="I15:I29" si="3">ROUND(ROUND(ROUND(H15*$C$8,4)*($H$8),2)*(MAX($H$9,1)),2)</f>
        <v>207687.46</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231.37</v>
      </c>
      <c r="D16" s="151">
        <v>224.37</v>
      </c>
      <c r="E16" s="117">
        <f t="shared" si="1"/>
        <v>455.74</v>
      </c>
      <c r="F16" s="622">
        <f>'0664'!F16:G16</f>
        <v>1</v>
      </c>
      <c r="G16" s="622"/>
      <c r="H16" s="81">
        <f t="shared" si="2"/>
        <v>455.74</v>
      </c>
      <c r="I16" s="102">
        <f t="shared" si="3"/>
        <v>2445913.77</v>
      </c>
      <c r="N16" s="635" t="s">
        <v>22</v>
      </c>
      <c r="O16" s="635"/>
      <c r="P16" s="636">
        <f t="shared" si="0"/>
        <v>0</v>
      </c>
      <c r="Q16" s="636"/>
      <c r="R16" s="637">
        <v>1</v>
      </c>
      <c r="S16" s="637"/>
      <c r="T16" s="96">
        <f t="shared" si="4"/>
        <v>0</v>
      </c>
      <c r="U16" s="97">
        <f t="shared" si="5"/>
        <v>0</v>
      </c>
    </row>
    <row r="17" spans="1:21" x14ac:dyDescent="0.25">
      <c r="A17" s="586" t="s">
        <v>23</v>
      </c>
      <c r="B17" s="586"/>
      <c r="C17" s="151">
        <v>35.94</v>
      </c>
      <c r="D17" s="151">
        <v>35.96</v>
      </c>
      <c r="E17" s="117">
        <f t="shared" si="1"/>
        <v>71.900000000000006</v>
      </c>
      <c r="F17" s="622">
        <f>'0664'!F17:G17</f>
        <v>1</v>
      </c>
      <c r="G17" s="622"/>
      <c r="H17" s="81">
        <f t="shared" si="2"/>
        <v>71.900000000000006</v>
      </c>
      <c r="I17" s="102">
        <f t="shared" si="3"/>
        <v>385880.55</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6.09</v>
      </c>
      <c r="D26" s="151">
        <v>6.45</v>
      </c>
      <c r="E26" s="117">
        <f t="shared" si="1"/>
        <v>12.54</v>
      </c>
      <c r="F26" s="622">
        <f>'0664'!F26:G26</f>
        <v>1.208</v>
      </c>
      <c r="G26" s="622"/>
      <c r="H26" s="81">
        <f t="shared" si="2"/>
        <v>15.148300000000001</v>
      </c>
      <c r="I26" s="102">
        <f t="shared" si="3"/>
        <v>81299.5</v>
      </c>
      <c r="N26" s="635" t="s">
        <v>91</v>
      </c>
      <c r="O26" s="635"/>
      <c r="P26" s="636">
        <f t="shared" si="0"/>
        <v>0</v>
      </c>
      <c r="Q26" s="636"/>
      <c r="R26" s="637">
        <v>1</v>
      </c>
      <c r="S26" s="637"/>
      <c r="T26" s="96">
        <f t="shared" si="4"/>
        <v>0</v>
      </c>
      <c r="U26" s="97">
        <f t="shared" si="5"/>
        <v>0</v>
      </c>
    </row>
    <row r="27" spans="1:21" x14ac:dyDescent="0.25">
      <c r="A27" s="586" t="s">
        <v>92</v>
      </c>
      <c r="B27" s="586"/>
      <c r="C27" s="151">
        <v>7.47</v>
      </c>
      <c r="D27" s="151">
        <v>6.45</v>
      </c>
      <c r="E27" s="117">
        <f t="shared" si="1"/>
        <v>13.92</v>
      </c>
      <c r="F27" s="622">
        <f>'0664'!F27:G27</f>
        <v>1.208</v>
      </c>
      <c r="G27" s="622"/>
      <c r="H27" s="81">
        <f t="shared" si="2"/>
        <v>16.8154</v>
      </c>
      <c r="I27" s="102">
        <f t="shared" si="3"/>
        <v>90246.67</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521.08000000000004</v>
      </c>
      <c r="D30" s="95">
        <f>SUM(D14:D29)</f>
        <v>502.13999999999993</v>
      </c>
      <c r="E30" s="95">
        <f>SUM(E14:E29)</f>
        <v>1023.2199999999999</v>
      </c>
      <c r="F30" s="609"/>
      <c r="G30" s="609"/>
      <c r="H30" s="100">
        <f>SUM(H14:H29)</f>
        <v>1085.9564</v>
      </c>
      <c r="I30" s="95">
        <f>SUM(I14:I29)</f>
        <v>5828225.9899999993</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1085.9564</v>
      </c>
      <c r="F46" s="34"/>
      <c r="G46" s="107"/>
      <c r="H46" s="108" t="s">
        <v>104</v>
      </c>
      <c r="I46" s="95">
        <f>SUM(I44,I30)</f>
        <v>5828225.9899999993</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5828225.9899999993</v>
      </c>
      <c r="G51" s="110" t="s">
        <v>6</v>
      </c>
      <c r="H51" s="425">
        <v>4.5199999999999997E-2</v>
      </c>
      <c r="I51" s="102">
        <f>ROUND(F51*H51,2)</f>
        <v>263435.81</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5828225.9899999993</v>
      </c>
      <c r="G52" s="110" t="s">
        <v>6</v>
      </c>
      <c r="H52" s="425">
        <v>1.41E-2</v>
      </c>
      <c r="I52" s="102">
        <f>ROUND(F52*H52,2)</f>
        <v>82177.990000000005</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345613.8</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1023.2199999999999</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5.0330000000000001E-3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1085.9564</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4.7730000000000003E-3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1023.2199999999999</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5.4739999999999997E-3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1023.2199999999999</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5.0379999999999999E-3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1023.2199999999999</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5.4809999999999998E-3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5.0379999999999999E-3</v>
      </c>
      <c r="I71" s="102">
        <f>ROUND(F71*H71,2)</f>
        <v>225024.97</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5.0330000000000001E-3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5.4809999999999998E-3</v>
      </c>
      <c r="I76" s="102">
        <f>ROUND(F76*H76,2)</f>
        <v>88611.61</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5.4739999999999997E-3</v>
      </c>
      <c r="I78" s="102">
        <f t="shared" ref="I78:I87" si="10">ROUND(F78*H78,2)</f>
        <v>54959.5</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106.39</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106.39</v>
      </c>
      <c r="G83" s="37" t="s">
        <v>6</v>
      </c>
      <c r="H83" s="448">
        <f>'0664'!H83</f>
        <v>1951.26</v>
      </c>
      <c r="I83" s="102">
        <f>ROUND(F83*H83,2)</f>
        <v>207594.55</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4.7730000000000003E-3</v>
      </c>
      <c r="I85" s="102">
        <f t="shared" si="10"/>
        <v>1118735.98</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4.7730000000000003E-3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541.50099999999998</v>
      </c>
      <c r="D92" s="597"/>
      <c r="E92" s="47">
        <f>H8</f>
        <v>1.0442</v>
      </c>
      <c r="F92" s="320">
        <f>'0664'!F92</f>
        <v>947.59</v>
      </c>
      <c r="G92" s="39" t="s">
        <v>12</v>
      </c>
      <c r="H92" s="102">
        <f>ROUND(C92*E92*F92,2)</f>
        <v>535800.88</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544.45539999999994</v>
      </c>
      <c r="D93" s="597"/>
      <c r="E93" s="47">
        <f>H8</f>
        <v>1.0442</v>
      </c>
      <c r="F93" s="320">
        <f>'0664'!F93</f>
        <v>904.74</v>
      </c>
      <c r="G93" s="39" t="s">
        <v>12</v>
      </c>
      <c r="H93" s="102">
        <f>ROUND(C93*E93*F93,2)</f>
        <v>514363.08</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1085.9564</v>
      </c>
      <c r="D95" s="601"/>
      <c r="E95" s="130"/>
      <c r="F95" s="130"/>
      <c r="G95" s="130"/>
      <c r="H95" s="131" t="s">
        <v>112</v>
      </c>
      <c r="I95" s="102">
        <f>IF(A1=75,0,H94+H93+H92)</f>
        <v>1050163.96</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140</v>
      </c>
      <c r="D101" s="151">
        <v>141</v>
      </c>
      <c r="E101" s="117">
        <f>(C101+D101)/2</f>
        <v>140.5</v>
      </c>
      <c r="F101" s="134" t="s">
        <v>30</v>
      </c>
      <c r="G101" s="321">
        <f>'0664'!G101</f>
        <v>565</v>
      </c>
      <c r="I101" s="102">
        <f>ROUND(G101*E101,2)</f>
        <v>79382.5</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8998312.8599999994</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8652699.0599999987</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1" t="s">
        <v>258</v>
      </c>
      <c r="H123" s="147">
        <f>IF(H121=1,I121,I118)</f>
        <v>8652699.0599999987</v>
      </c>
      <c r="I123" s="95">
        <f>ROUND(IF(E30=0,0,IF(E30&gt;250,-(((250/E30)*H123)*IF(G123="H",0.02,0.05)),IF(G123="H",-0.02*H123,-0.05*H123))),2)</f>
        <v>-42281.71</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8956031.1499999985</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82" t="s">
        <v>260</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8956031.1499999985</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746335.93</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130772.27</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T68:U68"/>
    <mergeCell ref="N69:S69"/>
    <mergeCell ref="T69:U69"/>
    <mergeCell ref="N74:P74"/>
    <mergeCell ref="O1:U1"/>
    <mergeCell ref="N2:U2"/>
    <mergeCell ref="N3:U3"/>
    <mergeCell ref="F11:G11"/>
    <mergeCell ref="R11:S11"/>
    <mergeCell ref="N12:O12"/>
    <mergeCell ref="P12:Q12"/>
    <mergeCell ref="R12:S12"/>
    <mergeCell ref="T9:U9"/>
    <mergeCell ref="N35:T35"/>
    <mergeCell ref="T65:U65"/>
    <mergeCell ref="T66:U66"/>
    <mergeCell ref="A4:B4"/>
    <mergeCell ref="C4:E4"/>
    <mergeCell ref="N4:O4"/>
    <mergeCell ref="P4:Q4"/>
    <mergeCell ref="B1:I1"/>
    <mergeCell ref="N7:U7"/>
    <mergeCell ref="N8:O8"/>
    <mergeCell ref="P8:Q8"/>
    <mergeCell ref="R8:S8"/>
    <mergeCell ref="T8:U8"/>
    <mergeCell ref="A7:I7"/>
    <mergeCell ref="A13:B13"/>
    <mergeCell ref="F13:G13"/>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6:B56"/>
    <mergeCell ref="D56:G56"/>
    <mergeCell ref="N56:O56"/>
    <mergeCell ref="Q56:S56"/>
    <mergeCell ref="T56:U56"/>
    <mergeCell ref="A62:B62"/>
    <mergeCell ref="D62:G62"/>
    <mergeCell ref="N62:O62"/>
    <mergeCell ref="Q62:S62"/>
    <mergeCell ref="T62:U62"/>
    <mergeCell ref="N63:S63"/>
    <mergeCell ref="T63:U63"/>
    <mergeCell ref="N57:S57"/>
    <mergeCell ref="T57:U57"/>
    <mergeCell ref="A59:B59"/>
    <mergeCell ref="D59:G59"/>
    <mergeCell ref="N59:O59"/>
    <mergeCell ref="Q59:S59"/>
    <mergeCell ref="T59:U59"/>
    <mergeCell ref="N60:S60"/>
    <mergeCell ref="T60:U60"/>
    <mergeCell ref="A73:C73"/>
    <mergeCell ref="N73:P73"/>
    <mergeCell ref="A85:C85"/>
    <mergeCell ref="A74:C74"/>
    <mergeCell ref="N85:P85"/>
    <mergeCell ref="A65:B65"/>
    <mergeCell ref="D65:G65"/>
    <mergeCell ref="N65:O65"/>
    <mergeCell ref="Q65:S65"/>
    <mergeCell ref="N66:S66"/>
    <mergeCell ref="A68:B68"/>
    <mergeCell ref="D68:G68"/>
    <mergeCell ref="N68:O68"/>
    <mergeCell ref="Q68:S68"/>
    <mergeCell ref="A87:C87"/>
    <mergeCell ref="N87:P87"/>
    <mergeCell ref="C90:D90"/>
    <mergeCell ref="C91:D91"/>
    <mergeCell ref="N91:O91"/>
    <mergeCell ref="P91:Q91"/>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CCCC"/>
  </sheetPr>
  <dimension ref="A1:V209"/>
  <sheetViews>
    <sheetView showGridLines="0" zoomScaleNormal="100" workbookViewId="0">
      <pane ySplit="1" topLeftCell="A99"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262</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9" t="s">
        <v>333</v>
      </c>
      <c r="D10" s="89"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52.6</v>
      </c>
      <c r="D14" s="149">
        <v>49.75</v>
      </c>
      <c r="E14" s="196">
        <f>IF(D$30=0,C14*2,C14+D14)</f>
        <v>102.35</v>
      </c>
      <c r="F14" s="625">
        <f>'0664'!F14:G14</f>
        <v>1.1220000000000001</v>
      </c>
      <c r="G14" s="625"/>
      <c r="H14" s="153">
        <f>ROUND(E14*F14,4)</f>
        <v>114.83669999999999</v>
      </c>
      <c r="I14" s="112">
        <f>ROUND(ROUND(ROUND(H14*$C$8,4)*($H$8),2)*(MAX($H$9,1)),2)</f>
        <v>616317.78</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5.35</v>
      </c>
      <c r="D15" s="151">
        <v>4.41</v>
      </c>
      <c r="E15" s="117">
        <f t="shared" ref="E15:E29" si="1">IF(D$30=0,C15*2,C15+D15)</f>
        <v>9.76</v>
      </c>
      <c r="F15" s="622">
        <f>'0664'!F15:G15</f>
        <v>1.1220000000000001</v>
      </c>
      <c r="G15" s="622"/>
      <c r="H15" s="81">
        <f t="shared" ref="H15:H29" si="2">ROUND(E15*F15,4)</f>
        <v>10.950699999999999</v>
      </c>
      <c r="I15" s="102">
        <f t="shared" ref="I15:I29" si="3">ROUND(ROUND(ROUND(H15*$C$8,4)*($H$8),2)*(MAX($H$9,1)),2)</f>
        <v>58771.38</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69.58</v>
      </c>
      <c r="D16" s="151">
        <v>68.790000000000006</v>
      </c>
      <c r="E16" s="117">
        <f t="shared" si="1"/>
        <v>138.37</v>
      </c>
      <c r="F16" s="622">
        <f>'0664'!F16:G16</f>
        <v>1</v>
      </c>
      <c r="G16" s="622"/>
      <c r="H16" s="81">
        <f t="shared" si="2"/>
        <v>138.37</v>
      </c>
      <c r="I16" s="102">
        <f t="shared" si="3"/>
        <v>742618.79</v>
      </c>
      <c r="N16" s="635" t="s">
        <v>22</v>
      </c>
      <c r="O16" s="635"/>
      <c r="P16" s="636">
        <f t="shared" si="0"/>
        <v>0</v>
      </c>
      <c r="Q16" s="636"/>
      <c r="R16" s="637">
        <v>1</v>
      </c>
      <c r="S16" s="637"/>
      <c r="T16" s="96">
        <f t="shared" si="4"/>
        <v>0</v>
      </c>
      <c r="U16" s="97">
        <f t="shared" si="5"/>
        <v>0</v>
      </c>
    </row>
    <row r="17" spans="1:21" x14ac:dyDescent="0.25">
      <c r="A17" s="586" t="s">
        <v>23</v>
      </c>
      <c r="B17" s="586"/>
      <c r="C17" s="151">
        <v>10.5</v>
      </c>
      <c r="D17" s="151">
        <v>11.43</v>
      </c>
      <c r="E17" s="117">
        <f t="shared" si="1"/>
        <v>21.93</v>
      </c>
      <c r="F17" s="622">
        <f>'0664'!F17:G17</f>
        <v>1</v>
      </c>
      <c r="G17" s="622"/>
      <c r="H17" s="81">
        <f t="shared" si="2"/>
        <v>21.93</v>
      </c>
      <c r="I17" s="102">
        <f t="shared" si="3"/>
        <v>117696.25</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2.16</v>
      </c>
      <c r="D26" s="151">
        <v>3.03</v>
      </c>
      <c r="E26" s="117">
        <f t="shared" si="1"/>
        <v>5.1899999999999995</v>
      </c>
      <c r="F26" s="622">
        <f>'0664'!F26:G26</f>
        <v>1.208</v>
      </c>
      <c r="G26" s="622"/>
      <c r="H26" s="81">
        <f t="shared" si="2"/>
        <v>6.2694999999999999</v>
      </c>
      <c r="I26" s="102">
        <f t="shared" si="3"/>
        <v>33647.82</v>
      </c>
      <c r="N26" s="635" t="s">
        <v>91</v>
      </c>
      <c r="O26" s="635"/>
      <c r="P26" s="636">
        <f t="shared" si="0"/>
        <v>0</v>
      </c>
      <c r="Q26" s="636"/>
      <c r="R26" s="637">
        <v>1</v>
      </c>
      <c r="S26" s="637"/>
      <c r="T26" s="96">
        <f t="shared" si="4"/>
        <v>0</v>
      </c>
      <c r="U26" s="97">
        <f t="shared" si="5"/>
        <v>0</v>
      </c>
    </row>
    <row r="27" spans="1:21" x14ac:dyDescent="0.25">
      <c r="A27" s="586" t="s">
        <v>92</v>
      </c>
      <c r="B27" s="586"/>
      <c r="C27" s="151">
        <v>2.1800000000000002</v>
      </c>
      <c r="D27" s="151">
        <v>2.1800000000000002</v>
      </c>
      <c r="E27" s="117">
        <f t="shared" si="1"/>
        <v>4.3600000000000003</v>
      </c>
      <c r="F27" s="622">
        <f>'0664'!F27:G27</f>
        <v>1.208</v>
      </c>
      <c r="G27" s="622"/>
      <c r="H27" s="81">
        <f t="shared" si="2"/>
        <v>5.2668999999999997</v>
      </c>
      <c r="I27" s="102">
        <f t="shared" si="3"/>
        <v>28266.959999999999</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142.37</v>
      </c>
      <c r="D30" s="95">
        <f>SUM(D14:D29)</f>
        <v>139.59</v>
      </c>
      <c r="E30" s="95">
        <f>SUM(E14:E29)</f>
        <v>281.96000000000004</v>
      </c>
      <c r="F30" s="609"/>
      <c r="G30" s="609"/>
      <c r="H30" s="100">
        <f>SUM(H14:H29)</f>
        <v>297.62380000000002</v>
      </c>
      <c r="I30" s="95">
        <f>SUM(I14:I29)</f>
        <v>1597318.9800000002</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50">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52">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52">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52">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52">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44">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297.62380000000002</v>
      </c>
      <c r="F46" s="34"/>
      <c r="G46" s="107"/>
      <c r="H46" s="108" t="s">
        <v>104</v>
      </c>
      <c r="I46" s="95">
        <f>SUM(I44,I30)</f>
        <v>1597318.9800000002</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1597318.9800000002</v>
      </c>
      <c r="G51" s="110" t="s">
        <v>6</v>
      </c>
      <c r="H51" s="425">
        <v>4.5199999999999997E-2</v>
      </c>
      <c r="I51" s="102">
        <f>ROUND(F51*H51,2)</f>
        <v>72198.820000000007</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1597318.9800000002</v>
      </c>
      <c r="G52" s="110" t="s">
        <v>6</v>
      </c>
      <c r="H52" s="425">
        <v>1.41E-2</v>
      </c>
      <c r="I52" s="102">
        <f>ROUND(F52*H52,2)</f>
        <v>22522.2</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94721.02</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281.96000000000004</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1.387E-3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297.62380000000002</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1.3079999999999999E-3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281.96000000000004</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1.5089999999999999E-3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281.96000000000004</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1.3879999999999999E-3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281.96000000000004</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1.5100000000000001E-3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1.3879999999999999E-3</v>
      </c>
      <c r="I71" s="102">
        <f>ROUND(F71*H71,2)</f>
        <v>61995.76</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61"/>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1.387E-3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1.5100000000000001E-3</v>
      </c>
      <c r="I76" s="102">
        <f>ROUND(F76*H76,2)</f>
        <v>24412.25</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1.5089999999999999E-3</v>
      </c>
      <c r="I78" s="102">
        <f t="shared" ref="I78:I87" si="10">ROUND(F78*H78,2)</f>
        <v>15150.51</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31.689999999999998</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31.689999999999998</v>
      </c>
      <c r="G83" s="37" t="s">
        <v>6</v>
      </c>
      <c r="H83" s="448">
        <f>'0664'!H83</f>
        <v>1951.26</v>
      </c>
      <c r="I83" s="102">
        <f>ROUND(F83*H83,2)</f>
        <v>61835.43</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1.3079999999999999E-3</v>
      </c>
      <c r="I85" s="102">
        <f t="shared" si="10"/>
        <v>306580.07</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1.3079999999999999E-3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132.05689999999998</v>
      </c>
      <c r="D92" s="597"/>
      <c r="E92" s="47">
        <f>H8</f>
        <v>1.0442</v>
      </c>
      <c r="F92" s="320">
        <f>'0664'!F92</f>
        <v>947.59</v>
      </c>
      <c r="G92" s="39" t="s">
        <v>12</v>
      </c>
      <c r="H92" s="102">
        <f>ROUND(C92*E92*F92,2)</f>
        <v>130666.8</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165.5669</v>
      </c>
      <c r="D93" s="597"/>
      <c r="E93" s="47">
        <f>H8</f>
        <v>1.0442</v>
      </c>
      <c r="F93" s="320">
        <f>'0664'!F93</f>
        <v>904.74</v>
      </c>
      <c r="G93" s="39" t="s">
        <v>12</v>
      </c>
      <c r="H93" s="102">
        <f>ROUND(C93*E93*F93,2)</f>
        <v>156415.94</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297.62379999999996</v>
      </c>
      <c r="D95" s="601"/>
      <c r="E95" s="130"/>
      <c r="F95" s="130"/>
      <c r="G95" s="130"/>
      <c r="H95" s="131" t="s">
        <v>112</v>
      </c>
      <c r="I95" s="102">
        <f>IF(A1=75,0,H94+H93+H92)</f>
        <v>287082.74</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26</v>
      </c>
      <c r="D101" s="151">
        <v>41</v>
      </c>
      <c r="E101" s="152">
        <f>(C101+D101)/2</f>
        <v>33.5</v>
      </c>
      <c r="F101" s="134" t="s">
        <v>30</v>
      </c>
      <c r="G101" s="321">
        <f>'0664'!G101</f>
        <v>565</v>
      </c>
      <c r="I101" s="102">
        <f>ROUND(G101*E101,2)</f>
        <v>18927.5</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52">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50">
        <f>IF(D30=0,C109*2,C109+D109)</f>
        <v>0</v>
      </c>
      <c r="F109" s="688">
        <v>0</v>
      </c>
      <c r="G109" s="688"/>
      <c r="H109" s="62">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52">
        <f>IF(D31=0,C110*2,C110+D110)</f>
        <v>0</v>
      </c>
      <c r="F110" s="588">
        <f>ROUND(F109/2,2)</f>
        <v>0</v>
      </c>
      <c r="G110" s="588"/>
      <c r="H110" s="62">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52">
        <f>IF(D32=0,C111*2,C111+D111)</f>
        <v>0</v>
      </c>
      <c r="F111" s="589"/>
      <c r="G111" s="589"/>
      <c r="H111" s="64">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2468024.2599999998</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2373303.2399999998</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2373303.2399999998</v>
      </c>
      <c r="I123" s="95">
        <f>ROUND(IF(E30=0,0,IF(E30&gt;250,-(((250/E30)*H123)*IF(G123="H",0.02,0.05)),IF(G123="H",-0.02*H123,-0.05*H123))),2)</f>
        <v>-105214.54</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2362809.7199999997</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2362809.7199999997</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196900.81</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13450.62</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F13:G13"/>
    <mergeCell ref="N13:O13"/>
    <mergeCell ref="P13:Q13"/>
    <mergeCell ref="R13:S13"/>
    <mergeCell ref="A12:B12"/>
    <mergeCell ref="F12:G12"/>
    <mergeCell ref="N14:O14"/>
    <mergeCell ref="P14:Q14"/>
    <mergeCell ref="R14:S14"/>
    <mergeCell ref="A13:B13"/>
    <mergeCell ref="A15:B15"/>
    <mergeCell ref="F15:G15"/>
    <mergeCell ref="N15:O15"/>
    <mergeCell ref="P15:Q15"/>
    <mergeCell ref="R15:S15"/>
    <mergeCell ref="A14:B14"/>
    <mergeCell ref="F14:G14"/>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T62:U62"/>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A73:C73"/>
    <mergeCell ref="N73:P73"/>
    <mergeCell ref="N69:S69"/>
    <mergeCell ref="T69:U69"/>
    <mergeCell ref="A85:C85"/>
    <mergeCell ref="A74:C74"/>
    <mergeCell ref="N85:P85"/>
    <mergeCell ref="A87:C87"/>
    <mergeCell ref="N87:P87"/>
    <mergeCell ref="C90:D90"/>
    <mergeCell ref="C91:D91"/>
    <mergeCell ref="N91:O91"/>
    <mergeCell ref="P91:Q91"/>
    <mergeCell ref="N74:P74"/>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CCCC"/>
  </sheetPr>
  <dimension ref="A1:V209"/>
  <sheetViews>
    <sheetView showGridLines="0" zoomScaleNormal="100" workbookViewId="0">
      <pane ySplit="1" topLeftCell="A96"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253</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0</v>
      </c>
      <c r="D16" s="151">
        <v>0</v>
      </c>
      <c r="E16" s="117">
        <f t="shared" si="1"/>
        <v>0</v>
      </c>
      <c r="F16" s="622">
        <f>'0664'!F16:G16</f>
        <v>1</v>
      </c>
      <c r="G16" s="622"/>
      <c r="H16" s="81">
        <f t="shared" si="2"/>
        <v>0</v>
      </c>
      <c r="I16" s="102">
        <f t="shared" si="3"/>
        <v>0</v>
      </c>
      <c r="N16" s="635" t="s">
        <v>22</v>
      </c>
      <c r="O16" s="635"/>
      <c r="P16" s="636">
        <f t="shared" si="0"/>
        <v>0</v>
      </c>
      <c r="Q16" s="636"/>
      <c r="R16" s="637">
        <v>1</v>
      </c>
      <c r="S16" s="637"/>
      <c r="T16" s="96">
        <f t="shared" si="4"/>
        <v>0</v>
      </c>
      <c r="U16" s="97">
        <f t="shared" si="5"/>
        <v>0</v>
      </c>
    </row>
    <row r="17" spans="1:21" x14ac:dyDescent="0.25">
      <c r="A17" s="586" t="s">
        <v>23</v>
      </c>
      <c r="B17" s="586"/>
      <c r="C17" s="151">
        <v>0</v>
      </c>
      <c r="D17" s="151">
        <v>0</v>
      </c>
      <c r="E17" s="117">
        <f t="shared" si="1"/>
        <v>0</v>
      </c>
      <c r="F17" s="622">
        <f>'0664'!F17:G17</f>
        <v>1</v>
      </c>
      <c r="G17" s="622"/>
      <c r="H17" s="81">
        <f t="shared" si="2"/>
        <v>0</v>
      </c>
      <c r="I17" s="102">
        <f t="shared" si="3"/>
        <v>0</v>
      </c>
      <c r="J17" s="66"/>
      <c r="N17" s="635" t="s">
        <v>23</v>
      </c>
      <c r="O17" s="635"/>
      <c r="P17" s="636">
        <f t="shared" si="0"/>
        <v>0</v>
      </c>
      <c r="Q17" s="636"/>
      <c r="R17" s="637">
        <v>1</v>
      </c>
      <c r="S17" s="637"/>
      <c r="T17" s="96">
        <f t="shared" si="4"/>
        <v>0</v>
      </c>
      <c r="U17" s="97">
        <f t="shared" si="5"/>
        <v>0</v>
      </c>
    </row>
    <row r="18" spans="1:21" x14ac:dyDescent="0.25">
      <c r="A18" s="586" t="s">
        <v>24</v>
      </c>
      <c r="B18" s="586"/>
      <c r="C18" s="151">
        <v>53.55</v>
      </c>
      <c r="D18" s="151">
        <v>52.95</v>
      </c>
      <c r="E18" s="117">
        <f t="shared" si="1"/>
        <v>106.5</v>
      </c>
      <c r="F18" s="622">
        <f>'0664'!F18:G18</f>
        <v>0.98799999999999999</v>
      </c>
      <c r="G18" s="622"/>
      <c r="H18" s="81">
        <f t="shared" si="2"/>
        <v>105.22199999999999</v>
      </c>
      <c r="I18" s="102">
        <f t="shared" si="3"/>
        <v>564716.59</v>
      </c>
      <c r="N18" s="635" t="s">
        <v>24</v>
      </c>
      <c r="O18" s="635"/>
      <c r="P18" s="636">
        <f t="shared" si="0"/>
        <v>0</v>
      </c>
      <c r="Q18" s="636"/>
      <c r="R18" s="637">
        <v>1</v>
      </c>
      <c r="S18" s="637"/>
      <c r="T18" s="96">
        <f t="shared" si="4"/>
        <v>0</v>
      </c>
      <c r="U18" s="97">
        <f t="shared" si="5"/>
        <v>0</v>
      </c>
    </row>
    <row r="19" spans="1:21" x14ac:dyDescent="0.25">
      <c r="A19" s="586" t="s">
        <v>25</v>
      </c>
      <c r="B19" s="586"/>
      <c r="C19" s="151">
        <v>13.5</v>
      </c>
      <c r="D19" s="151">
        <v>16.149999999999999</v>
      </c>
      <c r="E19" s="117">
        <f t="shared" si="1"/>
        <v>29.65</v>
      </c>
      <c r="F19" s="622">
        <f>'0664'!F19:G19</f>
        <v>0.98799999999999999</v>
      </c>
      <c r="G19" s="622"/>
      <c r="H19" s="81">
        <f t="shared" si="2"/>
        <v>29.2942</v>
      </c>
      <c r="I19" s="102">
        <f t="shared" si="3"/>
        <v>157219.22</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0</v>
      </c>
      <c r="D27" s="151">
        <v>0</v>
      </c>
      <c r="E27" s="117">
        <f t="shared" si="1"/>
        <v>0</v>
      </c>
      <c r="F27" s="622">
        <f>'0664'!F27:G27</f>
        <v>1.208</v>
      </c>
      <c r="G27" s="622"/>
      <c r="H27" s="81">
        <f t="shared" si="2"/>
        <v>0</v>
      </c>
      <c r="I27" s="102">
        <f t="shared" si="3"/>
        <v>0</v>
      </c>
      <c r="N27" s="635" t="s">
        <v>92</v>
      </c>
      <c r="O27" s="635"/>
      <c r="P27" s="636">
        <f t="shared" si="0"/>
        <v>0</v>
      </c>
      <c r="Q27" s="636"/>
      <c r="R27" s="637">
        <v>1</v>
      </c>
      <c r="S27" s="637"/>
      <c r="T27" s="96">
        <f t="shared" si="4"/>
        <v>0</v>
      </c>
      <c r="U27" s="97">
        <f t="shared" si="5"/>
        <v>0</v>
      </c>
    </row>
    <row r="28" spans="1:21" x14ac:dyDescent="0.25">
      <c r="A28" s="586" t="s">
        <v>93</v>
      </c>
      <c r="B28" s="586"/>
      <c r="C28" s="151">
        <v>2.5499999999999998</v>
      </c>
      <c r="D28" s="151">
        <v>2.2799999999999998</v>
      </c>
      <c r="E28" s="117">
        <f t="shared" si="1"/>
        <v>4.83</v>
      </c>
      <c r="F28" s="622">
        <f>'0664'!F28:G28</f>
        <v>1.208</v>
      </c>
      <c r="G28" s="622"/>
      <c r="H28" s="81">
        <f t="shared" si="2"/>
        <v>5.8346</v>
      </c>
      <c r="I28" s="102">
        <f t="shared" si="3"/>
        <v>31313.75</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69.599999999999994</v>
      </c>
      <c r="D30" s="95">
        <f>SUM(D14:D29)</f>
        <v>71.38</v>
      </c>
      <c r="E30" s="95">
        <f>SUM(E14:E29)</f>
        <v>140.98000000000002</v>
      </c>
      <c r="F30" s="609"/>
      <c r="G30" s="609"/>
      <c r="H30" s="100">
        <f>SUM(H14:H29)</f>
        <v>140.35079999999999</v>
      </c>
      <c r="I30" s="95">
        <f>SUM(I14:I29)</f>
        <v>753249.55999999994</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50">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52">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52">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52">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52">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44">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140.35079999999999</v>
      </c>
      <c r="F46" s="34"/>
      <c r="G46" s="107"/>
      <c r="H46" s="108" t="s">
        <v>104</v>
      </c>
      <c r="I46" s="95">
        <f>SUM(I44,I30)</f>
        <v>753249.55999999994</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753249.55999999994</v>
      </c>
      <c r="G51" s="110" t="s">
        <v>6</v>
      </c>
      <c r="H51" s="425">
        <v>4.5199999999999997E-2</v>
      </c>
      <c r="I51" s="102">
        <f>ROUND(F51*H51,2)</f>
        <v>34046.879999999997</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753249.55999999994</v>
      </c>
      <c r="G52" s="110" t="s">
        <v>6</v>
      </c>
      <c r="H52" s="425">
        <v>1.41E-2</v>
      </c>
      <c r="I52" s="102">
        <f>ROUND(F52*H52,2)</f>
        <v>10620.82</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44667.7</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140.98000000000002</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6.9300000000000004E-4</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140.35079999999999</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6.1700000000000004E-4</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140.98000000000002</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7.54E-4</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140.98000000000002</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6.9399999999999996E-4</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140.98000000000002</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7.5500000000000003E-4</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6.9399999999999996E-4</v>
      </c>
      <c r="I71" s="102">
        <f>ROUND(F71*H71,2)</f>
        <v>30997.88</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61"/>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6.9300000000000004E-4</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7.5500000000000003E-4</v>
      </c>
      <c r="I76" s="102">
        <f>ROUND(F76*H76,2)</f>
        <v>12206.12</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7.54E-4</v>
      </c>
      <c r="I78" s="102">
        <f t="shared" ref="I78:I87" si="10">ROUND(F78*H78,2)</f>
        <v>7570.23</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29.65</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29.65</v>
      </c>
      <c r="G83" s="37" t="s">
        <v>6</v>
      </c>
      <c r="H83" s="448">
        <f>'0664'!H83</f>
        <v>1951.26</v>
      </c>
      <c r="I83" s="102">
        <f>ROUND(F83*H83,2)</f>
        <v>57854.86</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6.1700000000000004E-4</v>
      </c>
      <c r="I85" s="102">
        <f t="shared" si="10"/>
        <v>144617.66</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6.1700000000000004E-4</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0</v>
      </c>
      <c r="D92" s="597"/>
      <c r="E92" s="47">
        <f>H8</f>
        <v>1.0442</v>
      </c>
      <c r="F92" s="320">
        <f>'0664'!F92</f>
        <v>947.59</v>
      </c>
      <c r="G92" s="39" t="s">
        <v>12</v>
      </c>
      <c r="H92" s="102">
        <f>ROUND(C92*E92*F92,2)</f>
        <v>0</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0</v>
      </c>
      <c r="D93" s="597"/>
      <c r="E93" s="47">
        <f>H8</f>
        <v>1.0442</v>
      </c>
      <c r="F93" s="320">
        <f>'0664'!F93</f>
        <v>904.74</v>
      </c>
      <c r="G93" s="39" t="s">
        <v>12</v>
      </c>
      <c r="H93" s="102">
        <f>ROUND(C93*E93*F93,2)</f>
        <v>0</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140.35079999999999</v>
      </c>
      <c r="D94" s="597"/>
      <c r="E94" s="47">
        <f>H8</f>
        <v>1.0442</v>
      </c>
      <c r="F94" s="320">
        <f>'0664'!F94</f>
        <v>906.93</v>
      </c>
      <c r="G94" s="39" t="s">
        <v>12</v>
      </c>
      <c r="H94" s="95">
        <f>ROUND(C94*E94*F94,2)</f>
        <v>132914.5</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140.35079999999999</v>
      </c>
      <c r="D95" s="601"/>
      <c r="E95" s="130"/>
      <c r="F95" s="130"/>
      <c r="G95" s="130"/>
      <c r="H95" s="131" t="s">
        <v>112</v>
      </c>
      <c r="I95" s="102">
        <f>IF(A1=75,0,H94+H93+H92)</f>
        <v>132914.5</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33</v>
      </c>
      <c r="D101" s="151">
        <v>35</v>
      </c>
      <c r="E101" s="152">
        <f>(C101+D101)/2</f>
        <v>34</v>
      </c>
      <c r="F101" s="134" t="s">
        <v>30</v>
      </c>
      <c r="G101" s="321">
        <f>'0664'!G101</f>
        <v>565</v>
      </c>
      <c r="I101" s="102">
        <f>ROUND(G101*E101,2)</f>
        <v>19210</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52">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50">
        <f>IF(D30=0,C109*2,C109+D109)</f>
        <v>0</v>
      </c>
      <c r="F109" s="688">
        <v>0</v>
      </c>
      <c r="G109" s="688"/>
      <c r="H109" s="62">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52">
        <f>IF(D31=0,C110*2,C110+D110)</f>
        <v>0</v>
      </c>
      <c r="F110" s="588">
        <f>ROUND(F109/2,2)</f>
        <v>0</v>
      </c>
      <c r="G110" s="588"/>
      <c r="H110" s="62">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52">
        <f>IF(D32=0,C111*2,C111+D111)</f>
        <v>0</v>
      </c>
      <c r="F111" s="589"/>
      <c r="G111" s="589"/>
      <c r="H111" s="64">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1203288.5099999998</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1158620.8099999998</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1158620.8099999998</v>
      </c>
      <c r="I123" s="95">
        <f>ROUND(IF(E30=0,0,IF(E30&gt;250,-(((250/E30)*H123)*IF(G123="H",0.02,0.05)),IF(G123="H",-0.02*H123,-0.05*H123))),2)</f>
        <v>-57931.040000000001</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1145357.4699999997</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1145357.4699999997</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95446.46</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0</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T69:U69"/>
    <mergeCell ref="A85:C85"/>
    <mergeCell ref="A74:C74"/>
    <mergeCell ref="N85:P85"/>
    <mergeCell ref="A87:C87"/>
    <mergeCell ref="N87:P87"/>
    <mergeCell ref="C90:D90"/>
    <mergeCell ref="C91:D91"/>
    <mergeCell ref="N91:O91"/>
    <mergeCell ref="P91:Q91"/>
    <mergeCell ref="N74:P74"/>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F110:G110"/>
    <mergeCell ref="N110:O110"/>
    <mergeCell ref="P110:Q110"/>
    <mergeCell ref="R110:S110"/>
    <mergeCell ref="A105:C105"/>
    <mergeCell ref="F105:I105"/>
    <mergeCell ref="N105:U105"/>
    <mergeCell ref="C106:E106"/>
    <mergeCell ref="F107:G107"/>
    <mergeCell ref="A108:B108"/>
    <mergeCell ref="F108:G108"/>
    <mergeCell ref="N108:O108"/>
    <mergeCell ref="P108:Q108"/>
    <mergeCell ref="R108:S108"/>
    <mergeCell ref="N140:U140"/>
    <mergeCell ref="N120:U120"/>
    <mergeCell ref="N114:P114"/>
    <mergeCell ref="A114:C114"/>
    <mergeCell ref="F114:H114"/>
    <mergeCell ref="N115:T115"/>
    <mergeCell ref="A116:H116"/>
    <mergeCell ref="A120:G120"/>
    <mergeCell ref="A12:B12"/>
    <mergeCell ref="A121:G121"/>
    <mergeCell ref="N121:U121"/>
    <mergeCell ref="A111:B111"/>
    <mergeCell ref="F111:G111"/>
    <mergeCell ref="N111:O111"/>
    <mergeCell ref="P111:Q111"/>
    <mergeCell ref="R111:S111"/>
    <mergeCell ref="A112:B112"/>
    <mergeCell ref="N112:O112"/>
    <mergeCell ref="A109:B109"/>
    <mergeCell ref="F109:G109"/>
    <mergeCell ref="N109:O109"/>
    <mergeCell ref="P109:Q109"/>
    <mergeCell ref="R109:S109"/>
    <mergeCell ref="A110:B110"/>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CCCC"/>
  </sheetPr>
  <dimension ref="A1:V209"/>
  <sheetViews>
    <sheetView showGridLines="0" zoomScaleNormal="100" workbookViewId="0">
      <pane ySplit="1" topLeftCell="A99"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296</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138.01</v>
      </c>
      <c r="D16" s="151">
        <v>134.74</v>
      </c>
      <c r="E16" s="117">
        <f t="shared" si="1"/>
        <v>272.75</v>
      </c>
      <c r="F16" s="622">
        <f>'0664'!F16:G16</f>
        <v>1</v>
      </c>
      <c r="G16" s="622"/>
      <c r="H16" s="81">
        <f t="shared" si="2"/>
        <v>272.75</v>
      </c>
      <c r="I16" s="102">
        <f t="shared" si="3"/>
        <v>1463823.63</v>
      </c>
      <c r="N16" s="635" t="s">
        <v>22</v>
      </c>
      <c r="O16" s="635"/>
      <c r="P16" s="636">
        <f t="shared" si="0"/>
        <v>0</v>
      </c>
      <c r="Q16" s="636"/>
      <c r="R16" s="637">
        <v>1</v>
      </c>
      <c r="S16" s="637"/>
      <c r="T16" s="96">
        <f t="shared" si="4"/>
        <v>0</v>
      </c>
      <c r="U16" s="97">
        <f t="shared" si="5"/>
        <v>0</v>
      </c>
    </row>
    <row r="17" spans="1:21" x14ac:dyDescent="0.25">
      <c r="A17" s="586" t="s">
        <v>23</v>
      </c>
      <c r="B17" s="586"/>
      <c r="C17" s="151">
        <v>23.94</v>
      </c>
      <c r="D17" s="151">
        <v>23.41</v>
      </c>
      <c r="E17" s="117">
        <f t="shared" si="1"/>
        <v>47.35</v>
      </c>
      <c r="F17" s="622">
        <f>'0664'!F17:G17</f>
        <v>1</v>
      </c>
      <c r="G17" s="622"/>
      <c r="H17" s="81">
        <f t="shared" si="2"/>
        <v>47.35</v>
      </c>
      <c r="I17" s="102">
        <f t="shared" si="3"/>
        <v>254123</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11.93</v>
      </c>
      <c r="D27" s="151">
        <v>12.28</v>
      </c>
      <c r="E27" s="117">
        <f t="shared" si="1"/>
        <v>24.21</v>
      </c>
      <c r="F27" s="622">
        <f>'0664'!F27:G27</f>
        <v>1.208</v>
      </c>
      <c r="G27" s="622"/>
      <c r="H27" s="81">
        <f t="shared" si="2"/>
        <v>29.245699999999999</v>
      </c>
      <c r="I27" s="102">
        <f t="shared" si="3"/>
        <v>156958.92000000001</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173.88</v>
      </c>
      <c r="D30" s="95">
        <f>SUM(D14:D29)</f>
        <v>170.43</v>
      </c>
      <c r="E30" s="95">
        <f>SUM(E14:E29)</f>
        <v>344.31</v>
      </c>
      <c r="F30" s="609"/>
      <c r="G30" s="609"/>
      <c r="H30" s="100">
        <f>SUM(H14:H29)</f>
        <v>349.34570000000002</v>
      </c>
      <c r="I30" s="95">
        <f>SUM(I14:I29)</f>
        <v>1874905.5499999998</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50">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52">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52">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52">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52">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44">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349.34570000000002</v>
      </c>
      <c r="F46" s="34"/>
      <c r="G46" s="107"/>
      <c r="H46" s="108" t="s">
        <v>104</v>
      </c>
      <c r="I46" s="95">
        <f>SUM(I44,I30)</f>
        <v>1874905.5499999998</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1874905.5499999998</v>
      </c>
      <c r="G51" s="110" t="s">
        <v>6</v>
      </c>
      <c r="H51" s="425">
        <v>4.5199999999999997E-2</v>
      </c>
      <c r="I51" s="102">
        <f>ROUND(F51*H51,2)</f>
        <v>84745.73</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1874905.5499999998</v>
      </c>
      <c r="G52" s="110" t="s">
        <v>6</v>
      </c>
      <c r="H52" s="425">
        <v>1.41E-2</v>
      </c>
      <c r="I52" s="102">
        <f>ROUND(F52*H52,2)</f>
        <v>26436.17</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111181.9</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344.31</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1.694E-3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349.34570000000002</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1.5349999999999999E-3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344.31</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1.8420000000000001E-3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344.31</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1.6949999999999999E-3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344.31</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1.8439999999999999E-3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1.6949999999999999E-3</v>
      </c>
      <c r="I71" s="102">
        <f>ROUND(F71*H71,2)</f>
        <v>75708.08</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61"/>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1.694E-3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1.8439999999999999E-3</v>
      </c>
      <c r="I76" s="102">
        <f>ROUND(F76*H76,2)</f>
        <v>29812.04</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1.8420000000000001E-3</v>
      </c>
      <c r="I78" s="102">
        <f t="shared" ref="I78:I87" si="10">ROUND(F78*H78,2)</f>
        <v>18493.86</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47.35</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47.35</v>
      </c>
      <c r="G83" s="37" t="s">
        <v>6</v>
      </c>
      <c r="H83" s="448">
        <f>'0664'!H83</f>
        <v>1951.26</v>
      </c>
      <c r="I83" s="102">
        <f>ROUND(F83*H83,2)</f>
        <v>92392.16</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1.5349999999999999E-3</v>
      </c>
      <c r="I85" s="102">
        <f t="shared" si="10"/>
        <v>359786.23999999999</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1.5349999999999999E-3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0</v>
      </c>
      <c r="D92" s="597"/>
      <c r="E92" s="47">
        <f>H8</f>
        <v>1.0442</v>
      </c>
      <c r="F92" s="320">
        <f>'0664'!F92</f>
        <v>947.59</v>
      </c>
      <c r="G92" s="39" t="s">
        <v>12</v>
      </c>
      <c r="H92" s="102">
        <f>ROUND(C92*E92*F92,2)</f>
        <v>0</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349.34570000000002</v>
      </c>
      <c r="D93" s="597"/>
      <c r="E93" s="47">
        <f>H8</f>
        <v>1.0442</v>
      </c>
      <c r="F93" s="320">
        <f>'0664'!F93</f>
        <v>904.74</v>
      </c>
      <c r="G93" s="39" t="s">
        <v>12</v>
      </c>
      <c r="H93" s="102">
        <f>ROUND(C93*E93*F93,2)</f>
        <v>330037.19</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349.34570000000002</v>
      </c>
      <c r="D95" s="601"/>
      <c r="E95" s="130"/>
      <c r="F95" s="130"/>
      <c r="G95" s="130"/>
      <c r="H95" s="131" t="s">
        <v>112</v>
      </c>
      <c r="I95" s="102">
        <f>IF(A1=75,0,H94+H93+H92)</f>
        <v>330037.19</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1</v>
      </c>
      <c r="D101" s="151">
        <v>1</v>
      </c>
      <c r="E101" s="152">
        <f>(C101+D101)/2</f>
        <v>1</v>
      </c>
      <c r="F101" s="134" t="s">
        <v>30</v>
      </c>
      <c r="G101" s="321">
        <f>'0664'!G101</f>
        <v>565</v>
      </c>
      <c r="I101" s="102">
        <f>ROUND(G101*E101,2)</f>
        <v>565</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52">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50">
        <f>IF(D30=0,C109*2,C109+D109)</f>
        <v>0</v>
      </c>
      <c r="F109" s="688">
        <v>0</v>
      </c>
      <c r="G109" s="688"/>
      <c r="H109" s="62">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52">
        <f>IF(D31=0,C110*2,C110+D110)</f>
        <v>0</v>
      </c>
      <c r="F110" s="588">
        <f>ROUND(F109/2,2)</f>
        <v>0</v>
      </c>
      <c r="G110" s="588"/>
      <c r="H110" s="62">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52">
        <f>IF(D32=0,C111*2,C111+D111)</f>
        <v>0</v>
      </c>
      <c r="F111" s="589"/>
      <c r="G111" s="589"/>
      <c r="H111" s="64">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2892882.02</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2781700.12</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2781700.12</v>
      </c>
      <c r="I123" s="95">
        <f>ROUND(IF(E30=0,0,IF(E30&gt;250,-(((250/E30)*H123)*IF(G123="H",0.02,0.05)),IF(G123="H",-0.02*H123,-0.05*H123))),2)</f>
        <v>-100988.21</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2791893.81</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2791893.81</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232657.82</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38096.800000000003</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T69:U69"/>
    <mergeCell ref="A85:C85"/>
    <mergeCell ref="A74:C74"/>
    <mergeCell ref="N85:P85"/>
    <mergeCell ref="A87:C87"/>
    <mergeCell ref="N87:P87"/>
    <mergeCell ref="C90:D90"/>
    <mergeCell ref="C91:D91"/>
    <mergeCell ref="N91:O91"/>
    <mergeCell ref="P91:Q91"/>
    <mergeCell ref="N74:P74"/>
    <mergeCell ref="R91:U91"/>
    <mergeCell ref="C92:D92"/>
    <mergeCell ref="P92:Q92"/>
    <mergeCell ref="C93:D93"/>
    <mergeCell ref="P93:Q93"/>
    <mergeCell ref="C94:D94"/>
    <mergeCell ref="P94:Q94"/>
    <mergeCell ref="C95:D95"/>
    <mergeCell ref="P95:T95"/>
    <mergeCell ref="A96:I96"/>
    <mergeCell ref="N96:U96"/>
    <mergeCell ref="F98:I98"/>
    <mergeCell ref="N98:P98"/>
    <mergeCell ref="Q98:T98"/>
    <mergeCell ref="A101:B101"/>
    <mergeCell ref="N101:O101"/>
    <mergeCell ref="P101:R101"/>
    <mergeCell ref="A102:B102"/>
    <mergeCell ref="N102:O102"/>
    <mergeCell ref="P102:R102"/>
    <mergeCell ref="A105:C105"/>
    <mergeCell ref="F105:I105"/>
    <mergeCell ref="N105:U105"/>
    <mergeCell ref="C106:E106"/>
    <mergeCell ref="F107:G107"/>
    <mergeCell ref="A108:B108"/>
    <mergeCell ref="F108:G108"/>
    <mergeCell ref="N108:O108"/>
    <mergeCell ref="P108:Q108"/>
    <mergeCell ref="R108:S108"/>
    <mergeCell ref="A111:B111"/>
    <mergeCell ref="F111:G111"/>
    <mergeCell ref="N111:O111"/>
    <mergeCell ref="P111:Q111"/>
    <mergeCell ref="R111:S111"/>
    <mergeCell ref="A112:B112"/>
    <mergeCell ref="N112:O112"/>
    <mergeCell ref="A109:B109"/>
    <mergeCell ref="F109:G109"/>
    <mergeCell ref="N109:O109"/>
    <mergeCell ref="P109:Q109"/>
    <mergeCell ref="R109:S109"/>
    <mergeCell ref="A110:B110"/>
    <mergeCell ref="F110:G110"/>
    <mergeCell ref="N110:O110"/>
    <mergeCell ref="P110:Q110"/>
    <mergeCell ref="R110:S110"/>
    <mergeCell ref="N140:U140"/>
    <mergeCell ref="A114:C114"/>
    <mergeCell ref="F114:H114"/>
    <mergeCell ref="N115:T115"/>
    <mergeCell ref="A116:H116"/>
    <mergeCell ref="A120:G120"/>
    <mergeCell ref="N120:U120"/>
    <mergeCell ref="A121:G121"/>
    <mergeCell ref="N121:U121"/>
    <mergeCell ref="N114:P114"/>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CCCC"/>
  </sheetPr>
  <dimension ref="A1:V209"/>
  <sheetViews>
    <sheetView showGridLines="0" zoomScaleNormal="100" workbookViewId="0">
      <pane ySplit="1" topLeftCell="A120"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295</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100.87</v>
      </c>
      <c r="D14" s="149">
        <v>102.03</v>
      </c>
      <c r="E14" s="196">
        <f>IF(D$30=0,C14*2,C14+D14)</f>
        <v>202.9</v>
      </c>
      <c r="F14" s="625">
        <f>'0664'!F14:G14</f>
        <v>1.1220000000000001</v>
      </c>
      <c r="G14" s="625"/>
      <c r="H14" s="153">
        <f>ROUND(E14*F14,4)</f>
        <v>227.65379999999999</v>
      </c>
      <c r="I14" s="112">
        <f>ROUND(ROUND(ROUND(H14*$C$8,4)*($H$8),2)*(MAX($H$9,1)),2)</f>
        <v>1221796.56</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7</v>
      </c>
      <c r="D15" s="151">
        <v>7.08</v>
      </c>
      <c r="E15" s="117">
        <f t="shared" ref="E15:E29" si="1">IF(D$30=0,C15*2,C15+D15)</f>
        <v>14.08</v>
      </c>
      <c r="F15" s="622">
        <f>'0664'!F15:G15</f>
        <v>1.1220000000000001</v>
      </c>
      <c r="G15" s="622"/>
      <c r="H15" s="81">
        <f t="shared" ref="H15:H29" si="2">ROUND(E15*F15,4)</f>
        <v>15.797800000000001</v>
      </c>
      <c r="I15" s="102">
        <f t="shared" ref="I15:I29" si="3">ROUND(ROUND(ROUND(H15*$C$8,4)*($H$8),2)*(MAX($H$9,1)),2)</f>
        <v>84785.31</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50.64</v>
      </c>
      <c r="D16" s="151">
        <v>48.63</v>
      </c>
      <c r="E16" s="117">
        <f t="shared" si="1"/>
        <v>99.27000000000001</v>
      </c>
      <c r="F16" s="622">
        <f>'0664'!F16:G16</f>
        <v>1</v>
      </c>
      <c r="G16" s="622"/>
      <c r="H16" s="81">
        <f t="shared" si="2"/>
        <v>99.27</v>
      </c>
      <c r="I16" s="102">
        <f t="shared" si="3"/>
        <v>532772.77</v>
      </c>
      <c r="N16" s="635" t="s">
        <v>22</v>
      </c>
      <c r="O16" s="635"/>
      <c r="P16" s="636">
        <f t="shared" si="0"/>
        <v>0</v>
      </c>
      <c r="Q16" s="636"/>
      <c r="R16" s="637">
        <v>1</v>
      </c>
      <c r="S16" s="637"/>
      <c r="T16" s="96">
        <f t="shared" si="4"/>
        <v>0</v>
      </c>
      <c r="U16" s="97">
        <f t="shared" si="5"/>
        <v>0</v>
      </c>
    </row>
    <row r="17" spans="1:21" x14ac:dyDescent="0.25">
      <c r="A17" s="586" t="s">
        <v>23</v>
      </c>
      <c r="B17" s="586"/>
      <c r="C17" s="151">
        <v>10</v>
      </c>
      <c r="D17" s="151">
        <v>9.09</v>
      </c>
      <c r="E17" s="117">
        <f t="shared" si="1"/>
        <v>19.09</v>
      </c>
      <c r="F17" s="622">
        <f>'0664'!F17:G17</f>
        <v>1</v>
      </c>
      <c r="G17" s="622"/>
      <c r="H17" s="81">
        <f t="shared" si="2"/>
        <v>19.09</v>
      </c>
      <c r="I17" s="102">
        <f t="shared" si="3"/>
        <v>102454.24</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32.869999999999997</v>
      </c>
      <c r="D26" s="151">
        <v>31.69</v>
      </c>
      <c r="E26" s="117">
        <f t="shared" si="1"/>
        <v>64.56</v>
      </c>
      <c r="F26" s="622">
        <f>'0664'!F26:G26</f>
        <v>1.208</v>
      </c>
      <c r="G26" s="622"/>
      <c r="H26" s="81">
        <f t="shared" si="2"/>
        <v>77.988500000000002</v>
      </c>
      <c r="I26" s="102">
        <f t="shared" si="3"/>
        <v>418556.95</v>
      </c>
      <c r="N26" s="635" t="s">
        <v>91</v>
      </c>
      <c r="O26" s="635"/>
      <c r="P26" s="636">
        <f t="shared" si="0"/>
        <v>0</v>
      </c>
      <c r="Q26" s="636"/>
      <c r="R26" s="637">
        <v>1</v>
      </c>
      <c r="S26" s="637"/>
      <c r="T26" s="96">
        <f t="shared" si="4"/>
        <v>0</v>
      </c>
      <c r="U26" s="97">
        <f t="shared" si="5"/>
        <v>0</v>
      </c>
    </row>
    <row r="27" spans="1:21" x14ac:dyDescent="0.25">
      <c r="A27" s="586" t="s">
        <v>92</v>
      </c>
      <c r="B27" s="586"/>
      <c r="C27" s="151">
        <v>6.86</v>
      </c>
      <c r="D27" s="151">
        <v>6.41</v>
      </c>
      <c r="E27" s="117">
        <f t="shared" si="1"/>
        <v>13.27</v>
      </c>
      <c r="F27" s="622">
        <f>'0664'!F27:G27</f>
        <v>1.208</v>
      </c>
      <c r="G27" s="622"/>
      <c r="H27" s="81">
        <f t="shared" si="2"/>
        <v>16.030200000000001</v>
      </c>
      <c r="I27" s="102">
        <f t="shared" si="3"/>
        <v>86032.58</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208.24</v>
      </c>
      <c r="D30" s="95">
        <f>SUM(D14:D29)</f>
        <v>204.93</v>
      </c>
      <c r="E30" s="95">
        <f>SUM(E14:E29)</f>
        <v>413.16999999999996</v>
      </c>
      <c r="F30" s="609"/>
      <c r="G30" s="609"/>
      <c r="H30" s="100">
        <f>SUM(H14:H29)</f>
        <v>455.83029999999991</v>
      </c>
      <c r="I30" s="95">
        <f>SUM(I14:I29)</f>
        <v>2446398.41</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50">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52">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52">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52">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52">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44">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455.83029999999991</v>
      </c>
      <c r="F46" s="34"/>
      <c r="G46" s="107"/>
      <c r="H46" s="108" t="s">
        <v>104</v>
      </c>
      <c r="I46" s="95">
        <f>SUM(I44,I30)</f>
        <v>2446398.41</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2446398.41</v>
      </c>
      <c r="G51" s="110" t="s">
        <v>6</v>
      </c>
      <c r="H51" s="425">
        <v>4.5199999999999997E-2</v>
      </c>
      <c r="I51" s="102">
        <f>ROUND(F51*H51,2)</f>
        <v>110577.21</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2446398.41</v>
      </c>
      <c r="G52" s="110" t="s">
        <v>6</v>
      </c>
      <c r="H52" s="425">
        <v>1.41E-2</v>
      </c>
      <c r="I52" s="102">
        <f>ROUND(F52*H52,2)</f>
        <v>34494.22</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145071.43</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413.16999999999996</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2.032E-3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455.83029999999991</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2.003E-3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413.16999999999996</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2.2109999999999999E-3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413.16999999999996</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2.0349999999999999E-3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413.16999999999996</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2.2130000000000001E-3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2.0349999999999999E-3</v>
      </c>
      <c r="I71" s="102">
        <f>ROUND(F71*H71,2)</f>
        <v>90894.37</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61"/>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2.032E-3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2.2130000000000001E-3</v>
      </c>
      <c r="I76" s="102">
        <f>ROUND(F76*H76,2)</f>
        <v>35777.69</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2.2109999999999999E-3</v>
      </c>
      <c r="I78" s="102">
        <f t="shared" ref="I78:I87" si="10">ROUND(F78*H78,2)</f>
        <v>22198.66</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33.17</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33.17</v>
      </c>
      <c r="G83" s="37" t="s">
        <v>6</v>
      </c>
      <c r="H83" s="448">
        <f>'0664'!H83</f>
        <v>1951.26</v>
      </c>
      <c r="I83" s="102">
        <f>ROUND(F83*H83,2)</f>
        <v>64723.29</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2.003E-3</v>
      </c>
      <c r="I85" s="102">
        <f t="shared" si="10"/>
        <v>469480.03</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2.003E-3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321.44009999999997</v>
      </c>
      <c r="D92" s="597"/>
      <c r="E92" s="47">
        <f>H8</f>
        <v>1.0442</v>
      </c>
      <c r="F92" s="320">
        <f>'0664'!F92</f>
        <v>947.59</v>
      </c>
      <c r="G92" s="39" t="s">
        <v>12</v>
      </c>
      <c r="H92" s="102">
        <f>ROUND(C92*E92*F92,2)</f>
        <v>318056.45</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134.39019999999999</v>
      </c>
      <c r="D93" s="597"/>
      <c r="E93" s="47">
        <f>H8</f>
        <v>1.0442</v>
      </c>
      <c r="F93" s="320">
        <f>'0664'!F93</f>
        <v>904.74</v>
      </c>
      <c r="G93" s="39" t="s">
        <v>12</v>
      </c>
      <c r="H93" s="102">
        <f>ROUND(C93*E93*F93,2)</f>
        <v>126962.39</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455.83029999999997</v>
      </c>
      <c r="D95" s="601"/>
      <c r="E95" s="130"/>
      <c r="F95" s="130"/>
      <c r="G95" s="130"/>
      <c r="H95" s="131" t="s">
        <v>112</v>
      </c>
      <c r="I95" s="102">
        <f>IF(A1=75,0,H94+H93+H92)</f>
        <v>445018.84</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0</v>
      </c>
      <c r="D101" s="151">
        <v>0</v>
      </c>
      <c r="E101" s="152">
        <f>(C101+D101)/2</f>
        <v>0</v>
      </c>
      <c r="F101" s="134" t="s">
        <v>30</v>
      </c>
      <c r="G101" s="321">
        <f>'0664'!G101</f>
        <v>565</v>
      </c>
      <c r="I101" s="102">
        <f>ROUND(G101*E101,2)</f>
        <v>0</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52">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50">
        <f>IF(D30=0,C109*2,C109+D109)</f>
        <v>0</v>
      </c>
      <c r="F109" s="688">
        <v>0</v>
      </c>
      <c r="G109" s="688"/>
      <c r="H109" s="62">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52">
        <f>IF(D31=0,C110*2,C110+D110)</f>
        <v>0</v>
      </c>
      <c r="F110" s="588">
        <f>ROUND(F109/2,2)</f>
        <v>0</v>
      </c>
      <c r="G110" s="588"/>
      <c r="H110" s="62">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52">
        <f>IF(D32=0,C111*2,C111+D111)</f>
        <v>0</v>
      </c>
      <c r="F111" s="589"/>
      <c r="G111" s="589"/>
      <c r="H111" s="64">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3719562.7200000007</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3574491.2900000005</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3574491.2900000005</v>
      </c>
      <c r="I123" s="95">
        <f>ROUND(IF(E30=0,0,IF(E30&gt;250,-(((250/E30)*H123)*IF(G123="H",0.02,0.05)),IF(G123="H",-0.02*H123,-0.05*H123))),2)</f>
        <v>-108142.27</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3611420.4500000007</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3611420.4500000007</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300951.7</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70582.289999999994</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T69:U69"/>
    <mergeCell ref="A85:C85"/>
    <mergeCell ref="A74:C74"/>
    <mergeCell ref="N85:P85"/>
    <mergeCell ref="A87:C87"/>
    <mergeCell ref="N87:P87"/>
    <mergeCell ref="C90:D90"/>
    <mergeCell ref="C91:D91"/>
    <mergeCell ref="N91:O91"/>
    <mergeCell ref="P91:Q91"/>
    <mergeCell ref="N74:P74"/>
    <mergeCell ref="R91:U91"/>
    <mergeCell ref="C92:D92"/>
    <mergeCell ref="P92:Q92"/>
    <mergeCell ref="C93:D93"/>
    <mergeCell ref="P93:Q93"/>
    <mergeCell ref="C94:D94"/>
    <mergeCell ref="P94:Q94"/>
    <mergeCell ref="C95:D95"/>
    <mergeCell ref="P95:T95"/>
    <mergeCell ref="A96:I96"/>
    <mergeCell ref="N96:U96"/>
    <mergeCell ref="F98:I98"/>
    <mergeCell ref="N98:P98"/>
    <mergeCell ref="Q98:T98"/>
    <mergeCell ref="A101:B101"/>
    <mergeCell ref="N101:O101"/>
    <mergeCell ref="P101:R101"/>
    <mergeCell ref="A102:B102"/>
    <mergeCell ref="N102:O102"/>
    <mergeCell ref="P102:R102"/>
    <mergeCell ref="A105:C105"/>
    <mergeCell ref="F105:I105"/>
    <mergeCell ref="N105:U105"/>
    <mergeCell ref="C106:E106"/>
    <mergeCell ref="F107:G107"/>
    <mergeCell ref="A108:B108"/>
    <mergeCell ref="F108:G108"/>
    <mergeCell ref="N108:O108"/>
    <mergeCell ref="P108:Q108"/>
    <mergeCell ref="R108:S108"/>
    <mergeCell ref="A111:B111"/>
    <mergeCell ref="F111:G111"/>
    <mergeCell ref="N111:O111"/>
    <mergeCell ref="P111:Q111"/>
    <mergeCell ref="R111:S111"/>
    <mergeCell ref="A112:B112"/>
    <mergeCell ref="N112:O112"/>
    <mergeCell ref="A109:B109"/>
    <mergeCell ref="F109:G109"/>
    <mergeCell ref="N109:O109"/>
    <mergeCell ref="P109:Q109"/>
    <mergeCell ref="R109:S109"/>
    <mergeCell ref="A110:B110"/>
    <mergeCell ref="F110:G110"/>
    <mergeCell ref="N110:O110"/>
    <mergeCell ref="P110:Q110"/>
    <mergeCell ref="R110:S110"/>
    <mergeCell ref="N140:U140"/>
    <mergeCell ref="A114:C114"/>
    <mergeCell ref="F114:H114"/>
    <mergeCell ref="N115:T115"/>
    <mergeCell ref="A116:H116"/>
    <mergeCell ref="A120:G120"/>
    <mergeCell ref="N120:U120"/>
    <mergeCell ref="A121:G121"/>
    <mergeCell ref="N121:U121"/>
    <mergeCell ref="N114:P114"/>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CCCC"/>
  </sheetPr>
  <dimension ref="A1:V209"/>
  <sheetViews>
    <sheetView showGridLines="0" zoomScaleNormal="100" workbookViewId="0">
      <pane ySplit="1" topLeftCell="A117"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289</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4"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0</v>
      </c>
      <c r="D16" s="151">
        <v>0</v>
      </c>
      <c r="E16" s="117">
        <f t="shared" si="1"/>
        <v>0</v>
      </c>
      <c r="F16" s="622">
        <f>'0664'!F16:G16</f>
        <v>1</v>
      </c>
      <c r="G16" s="622"/>
      <c r="H16" s="81">
        <f t="shared" si="2"/>
        <v>0</v>
      </c>
      <c r="I16" s="102">
        <f t="shared" si="3"/>
        <v>0</v>
      </c>
      <c r="N16" s="635" t="s">
        <v>22</v>
      </c>
      <c r="O16" s="635"/>
      <c r="P16" s="636">
        <f t="shared" si="0"/>
        <v>0</v>
      </c>
      <c r="Q16" s="636"/>
      <c r="R16" s="637">
        <v>1</v>
      </c>
      <c r="S16" s="637"/>
      <c r="T16" s="96">
        <f t="shared" si="4"/>
        <v>0</v>
      </c>
      <c r="U16" s="97">
        <f t="shared" si="5"/>
        <v>0</v>
      </c>
    </row>
    <row r="17" spans="1:21" x14ac:dyDescent="0.25">
      <c r="A17" s="586" t="s">
        <v>23</v>
      </c>
      <c r="B17" s="586"/>
      <c r="C17" s="151">
        <v>1</v>
      </c>
      <c r="D17" s="151">
        <v>1.5</v>
      </c>
      <c r="E17" s="117">
        <f t="shared" si="1"/>
        <v>2.5</v>
      </c>
      <c r="F17" s="622">
        <f>'0664'!F17:G17</f>
        <v>1</v>
      </c>
      <c r="G17" s="622"/>
      <c r="H17" s="81">
        <f t="shared" si="2"/>
        <v>2.5</v>
      </c>
      <c r="I17" s="102">
        <f t="shared" si="3"/>
        <v>13417.27</v>
      </c>
      <c r="J17" s="66"/>
      <c r="N17" s="635" t="s">
        <v>23</v>
      </c>
      <c r="O17" s="635"/>
      <c r="P17" s="636">
        <f t="shared" si="0"/>
        <v>2.5</v>
      </c>
      <c r="Q17" s="636"/>
      <c r="R17" s="637">
        <v>1</v>
      </c>
      <c r="S17" s="637"/>
      <c r="T17" s="96">
        <f t="shared" si="4"/>
        <v>2.5</v>
      </c>
      <c r="U17" s="97">
        <f t="shared" si="5"/>
        <v>13417.27</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12.5</v>
      </c>
      <c r="D20" s="151">
        <v>10.5</v>
      </c>
      <c r="E20" s="117">
        <f t="shared" si="1"/>
        <v>23</v>
      </c>
      <c r="F20" s="622">
        <f>'0664'!F20:G20</f>
        <v>3.706</v>
      </c>
      <c r="G20" s="622"/>
      <c r="H20" s="81">
        <f t="shared" si="2"/>
        <v>85.238</v>
      </c>
      <c r="I20" s="102">
        <f t="shared" si="3"/>
        <v>457464.34</v>
      </c>
      <c r="N20" s="635" t="s">
        <v>85</v>
      </c>
      <c r="O20" s="635"/>
      <c r="P20" s="636">
        <f t="shared" si="0"/>
        <v>23</v>
      </c>
      <c r="Q20" s="636"/>
      <c r="R20" s="637">
        <v>1</v>
      </c>
      <c r="S20" s="637"/>
      <c r="T20" s="96">
        <f t="shared" si="4"/>
        <v>23</v>
      </c>
      <c r="U20" s="97">
        <f t="shared" si="5"/>
        <v>123438.84</v>
      </c>
    </row>
    <row r="21" spans="1:21" x14ac:dyDescent="0.25">
      <c r="A21" s="586" t="s">
        <v>86</v>
      </c>
      <c r="B21" s="586"/>
      <c r="C21" s="151">
        <v>11.5</v>
      </c>
      <c r="D21" s="151">
        <v>11.5</v>
      </c>
      <c r="E21" s="117">
        <f t="shared" si="1"/>
        <v>23</v>
      </c>
      <c r="F21" s="622">
        <f>'0664'!F21:G21</f>
        <v>3.706</v>
      </c>
      <c r="G21" s="622"/>
      <c r="H21" s="81">
        <f t="shared" si="2"/>
        <v>85.238</v>
      </c>
      <c r="I21" s="102">
        <f t="shared" si="3"/>
        <v>457464.34</v>
      </c>
      <c r="N21" s="635" t="s">
        <v>86</v>
      </c>
      <c r="O21" s="635"/>
      <c r="P21" s="636">
        <f t="shared" si="0"/>
        <v>23</v>
      </c>
      <c r="Q21" s="636"/>
      <c r="R21" s="637">
        <v>1</v>
      </c>
      <c r="S21" s="637"/>
      <c r="T21" s="96">
        <f t="shared" si="4"/>
        <v>23</v>
      </c>
      <c r="U21" s="97">
        <f t="shared" si="5"/>
        <v>123438.84</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11</v>
      </c>
      <c r="D23" s="151">
        <v>14</v>
      </c>
      <c r="E23" s="117">
        <f t="shared" si="1"/>
        <v>25</v>
      </c>
      <c r="F23" s="622">
        <f>'0664'!F23:G23</f>
        <v>5.7069999999999999</v>
      </c>
      <c r="G23" s="622"/>
      <c r="H23" s="81">
        <f t="shared" si="2"/>
        <v>142.67500000000001</v>
      </c>
      <c r="I23" s="102">
        <f t="shared" si="3"/>
        <v>765723.32</v>
      </c>
      <c r="N23" s="635" t="s">
        <v>88</v>
      </c>
      <c r="O23" s="635"/>
      <c r="P23" s="636">
        <f t="shared" si="0"/>
        <v>25</v>
      </c>
      <c r="Q23" s="636"/>
      <c r="R23" s="637">
        <v>1</v>
      </c>
      <c r="S23" s="637"/>
      <c r="T23" s="96">
        <f t="shared" si="4"/>
        <v>25</v>
      </c>
      <c r="U23" s="97">
        <f t="shared" si="5"/>
        <v>134172.65</v>
      </c>
    </row>
    <row r="24" spans="1:21" x14ac:dyDescent="0.25">
      <c r="A24" s="586" t="s">
        <v>89</v>
      </c>
      <c r="B24" s="586"/>
      <c r="C24" s="151">
        <v>7</v>
      </c>
      <c r="D24" s="151">
        <v>6.5</v>
      </c>
      <c r="E24" s="117">
        <f t="shared" si="1"/>
        <v>13.5</v>
      </c>
      <c r="F24" s="622">
        <f>'0664'!F24:G24</f>
        <v>5.7069999999999999</v>
      </c>
      <c r="G24" s="622"/>
      <c r="H24" s="81">
        <f t="shared" si="2"/>
        <v>77.044499999999999</v>
      </c>
      <c r="I24" s="102">
        <f t="shared" si="3"/>
        <v>413490.59</v>
      </c>
      <c r="N24" s="635" t="s">
        <v>89</v>
      </c>
      <c r="O24" s="635"/>
      <c r="P24" s="636">
        <f t="shared" si="0"/>
        <v>13.5</v>
      </c>
      <c r="Q24" s="636"/>
      <c r="R24" s="637">
        <v>1</v>
      </c>
      <c r="S24" s="637"/>
      <c r="T24" s="96">
        <f t="shared" si="4"/>
        <v>13.5</v>
      </c>
      <c r="U24" s="97">
        <f t="shared" si="5"/>
        <v>72453.23</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0</v>
      </c>
      <c r="D27" s="151">
        <v>0</v>
      </c>
      <c r="E27" s="117">
        <f t="shared" si="1"/>
        <v>0</v>
      </c>
      <c r="F27" s="622">
        <f>'0664'!F27:G27</f>
        <v>1.208</v>
      </c>
      <c r="G27" s="622"/>
      <c r="H27" s="81">
        <f t="shared" si="2"/>
        <v>0</v>
      </c>
      <c r="I27" s="102">
        <f t="shared" si="3"/>
        <v>0</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43</v>
      </c>
      <c r="D30" s="95">
        <f>SUM(D14:D29)</f>
        <v>44</v>
      </c>
      <c r="E30" s="95">
        <f>SUM(E14:E29)</f>
        <v>87</v>
      </c>
      <c r="F30" s="609"/>
      <c r="G30" s="609"/>
      <c r="H30" s="100">
        <f>SUM(H14:H29)</f>
        <v>392.69550000000004</v>
      </c>
      <c r="I30" s="95">
        <f>SUM(I14:I29)</f>
        <v>2107559.86</v>
      </c>
      <c r="N30" s="654" t="s">
        <v>5</v>
      </c>
      <c r="O30" s="654"/>
      <c r="P30" s="655">
        <f>SUM(P14:P29)</f>
        <v>87</v>
      </c>
      <c r="Q30" s="655"/>
      <c r="R30" s="656"/>
      <c r="S30" s="656"/>
      <c r="T30" s="101">
        <f>SUM(T14:T29)</f>
        <v>87</v>
      </c>
      <c r="U30" s="97">
        <f>SUM(U14:U29)</f>
        <v>466920.82999999996</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50">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52">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52">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52">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52">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44">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392.69550000000004</v>
      </c>
      <c r="F46" s="34"/>
      <c r="G46" s="107"/>
      <c r="H46" s="108" t="s">
        <v>104</v>
      </c>
      <c r="I46" s="95">
        <f>SUM(I44,I30)</f>
        <v>2107559.86</v>
      </c>
      <c r="N46" s="680" t="s">
        <v>44</v>
      </c>
      <c r="O46" s="680"/>
      <c r="P46" s="680"/>
      <c r="Q46" s="680"/>
      <c r="R46" s="35">
        <f>R44+T30</f>
        <v>87</v>
      </c>
      <c r="S46" s="656" t="s">
        <v>42</v>
      </c>
      <c r="T46" s="656"/>
      <c r="U46" s="109">
        <f>SUM(U44,U30)</f>
        <v>466920.82999999996</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2107559.86</v>
      </c>
      <c r="G51" s="110" t="s">
        <v>6</v>
      </c>
      <c r="H51" s="425">
        <v>4.5199999999999997E-2</v>
      </c>
      <c r="I51" s="102">
        <f>ROUND(F51*H51,2)</f>
        <v>95261.71</v>
      </c>
      <c r="N51" s="430"/>
      <c r="O51" s="431" t="s">
        <v>456</v>
      </c>
      <c r="P51" s="28"/>
      <c r="Q51" s="45" t="s">
        <v>457</v>
      </c>
      <c r="R51" s="432">
        <f>U30</f>
        <v>466920.82999999996</v>
      </c>
      <c r="S51" s="433" t="s">
        <v>6</v>
      </c>
      <c r="T51" s="434">
        <v>4.5199999999999997E-2</v>
      </c>
      <c r="U51" s="426">
        <f>ROUND(R51*T51,2)</f>
        <v>21104.82</v>
      </c>
    </row>
    <row r="52" spans="1:22" x14ac:dyDescent="0.25">
      <c r="A52" s="26"/>
      <c r="B52" s="82" t="s">
        <v>458</v>
      </c>
      <c r="C52" s="26"/>
      <c r="D52" s="26"/>
      <c r="E52" s="44" t="s">
        <v>457</v>
      </c>
      <c r="F52" s="424">
        <f>I46</f>
        <v>2107559.86</v>
      </c>
      <c r="G52" s="110" t="s">
        <v>6</v>
      </c>
      <c r="H52" s="425">
        <v>1.41E-2</v>
      </c>
      <c r="I52" s="102">
        <f>ROUND(F52*H52,2)</f>
        <v>29716.59</v>
      </c>
      <c r="N52" s="28"/>
      <c r="O52" s="406" t="s">
        <v>458</v>
      </c>
      <c r="P52" s="28"/>
      <c r="Q52" s="45" t="s">
        <v>457</v>
      </c>
      <c r="R52" s="432">
        <f>U30</f>
        <v>466920.82999999996</v>
      </c>
      <c r="S52" s="433" t="s">
        <v>6</v>
      </c>
      <c r="T52" s="434">
        <v>1.41E-2</v>
      </c>
      <c r="U52" s="435">
        <f>ROUND(R52*T52,2)</f>
        <v>6583.58</v>
      </c>
    </row>
    <row r="53" spans="1:22" x14ac:dyDescent="0.25">
      <c r="A53" s="26"/>
      <c r="B53" s="82" t="s">
        <v>459</v>
      </c>
      <c r="C53" s="26"/>
      <c r="D53" s="26"/>
      <c r="E53" s="44"/>
      <c r="F53" s="424"/>
      <c r="G53" s="110"/>
      <c r="H53" s="425"/>
      <c r="I53" s="98">
        <f>SUM(I51:I52)</f>
        <v>124978.3</v>
      </c>
      <c r="N53" s="28"/>
      <c r="O53" s="406" t="s">
        <v>459</v>
      </c>
      <c r="P53" s="28"/>
      <c r="Q53" s="45"/>
      <c r="R53" s="432"/>
      <c r="S53" s="433"/>
      <c r="T53" s="434"/>
      <c r="U53" s="426">
        <f>SUM(U51:U52)</f>
        <v>27688.400000000001</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87</v>
      </c>
      <c r="D56" s="593" t="s">
        <v>476</v>
      </c>
      <c r="E56" s="593"/>
      <c r="F56" s="593"/>
      <c r="G56" s="593"/>
      <c r="H56" s="317">
        <f>'0664'!H56</f>
        <v>203305.63</v>
      </c>
      <c r="I56" s="114"/>
      <c r="N56" s="658" t="s">
        <v>466</v>
      </c>
      <c r="O56" s="635"/>
      <c r="P56" s="41">
        <f>P30</f>
        <v>87</v>
      </c>
      <c r="Q56" s="663" t="s">
        <v>468</v>
      </c>
      <c r="R56" s="664"/>
      <c r="S56" s="664"/>
      <c r="T56" s="662">
        <f>H56</f>
        <v>203305.63</v>
      </c>
      <c r="U56" s="662"/>
    </row>
    <row r="57" spans="1:22" x14ac:dyDescent="0.25">
      <c r="B57" s="70"/>
      <c r="G57" s="42" t="s">
        <v>12</v>
      </c>
      <c r="H57" s="115">
        <f>ROUND(C56/H56,6)</f>
        <v>4.28E-4</v>
      </c>
      <c r="I57" s="116"/>
      <c r="N57" s="635"/>
      <c r="O57" s="635"/>
      <c r="P57" s="635"/>
      <c r="Q57" s="635"/>
      <c r="R57" s="635"/>
      <c r="S57" s="635"/>
      <c r="T57" s="665">
        <f>ROUND(P56/T56,6)</f>
        <v>4.28E-4</v>
      </c>
      <c r="U57" s="665"/>
    </row>
    <row r="58" spans="1:22" x14ac:dyDescent="0.25">
      <c r="A58" s="423" t="s">
        <v>461</v>
      </c>
      <c r="N58" s="406" t="s">
        <v>483</v>
      </c>
      <c r="O58" s="52"/>
      <c r="P58" s="52"/>
      <c r="Q58" s="52"/>
      <c r="R58" s="52"/>
      <c r="S58" s="52"/>
      <c r="T58" s="52"/>
      <c r="U58" s="52"/>
    </row>
    <row r="59" spans="1:22" x14ac:dyDescent="0.25">
      <c r="A59" s="585" t="s">
        <v>463</v>
      </c>
      <c r="B59" s="586"/>
      <c r="C59" s="437">
        <f>H30</f>
        <v>392.69550000000004</v>
      </c>
      <c r="D59" s="593" t="s">
        <v>477</v>
      </c>
      <c r="E59" s="593"/>
      <c r="F59" s="593"/>
      <c r="G59" s="593"/>
      <c r="H59" s="318">
        <f>'0664'!H59</f>
        <v>227540.36</v>
      </c>
      <c r="I59" s="117"/>
      <c r="N59" s="658" t="s">
        <v>467</v>
      </c>
      <c r="O59" s="635"/>
      <c r="P59" s="41">
        <f>T30</f>
        <v>87</v>
      </c>
      <c r="Q59" s="663" t="s">
        <v>469</v>
      </c>
      <c r="R59" s="664"/>
      <c r="S59" s="664"/>
      <c r="T59" s="662">
        <f>H59</f>
        <v>227540.36</v>
      </c>
      <c r="U59" s="662"/>
    </row>
    <row r="60" spans="1:22" x14ac:dyDescent="0.25">
      <c r="G60" s="42" t="s">
        <v>12</v>
      </c>
      <c r="H60" s="115">
        <f>ROUND(C59/H59,6)</f>
        <v>1.7260000000000001E-3</v>
      </c>
      <c r="I60" s="115"/>
      <c r="N60" s="635"/>
      <c r="O60" s="635"/>
      <c r="P60" s="635"/>
      <c r="Q60" s="635"/>
      <c r="R60" s="635"/>
      <c r="S60" s="635"/>
      <c r="T60" s="665">
        <f>ROUND(P59/T59,6)</f>
        <v>3.8200000000000002E-4</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87</v>
      </c>
      <c r="D62" s="590" t="s">
        <v>478</v>
      </c>
      <c r="E62" s="590"/>
      <c r="F62" s="590"/>
      <c r="G62" s="590"/>
      <c r="H62" s="317">
        <f>'0664'!H62</f>
        <v>186907.73</v>
      </c>
      <c r="I62" s="114"/>
      <c r="N62" s="658" t="s">
        <v>465</v>
      </c>
      <c r="O62" s="635"/>
      <c r="P62" s="41">
        <f>P30</f>
        <v>87</v>
      </c>
      <c r="Q62" s="668" t="s">
        <v>470</v>
      </c>
      <c r="R62" s="669"/>
      <c r="S62" s="669"/>
      <c r="T62" s="662">
        <f>H62</f>
        <v>186907.73</v>
      </c>
      <c r="U62" s="662"/>
    </row>
    <row r="63" spans="1:22" x14ac:dyDescent="0.25">
      <c r="B63" s="70"/>
      <c r="G63" s="42" t="s">
        <v>12</v>
      </c>
      <c r="H63" s="115">
        <f>ROUND(C62/H62,6)</f>
        <v>4.6500000000000003E-4</v>
      </c>
      <c r="I63" s="116"/>
      <c r="N63" s="635"/>
      <c r="O63" s="635"/>
      <c r="P63" s="635"/>
      <c r="Q63" s="635"/>
      <c r="R63" s="635"/>
      <c r="S63" s="635"/>
      <c r="T63" s="665">
        <f>ROUND(P62/T62,6)</f>
        <v>4.6500000000000003E-4</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87</v>
      </c>
      <c r="D65" s="606" t="s">
        <v>479</v>
      </c>
      <c r="E65" s="606"/>
      <c r="F65" s="606"/>
      <c r="G65" s="606"/>
      <c r="H65" s="317">
        <f>'0664'!H65</f>
        <v>203080.55</v>
      </c>
      <c r="I65" s="114"/>
      <c r="N65" s="658" t="s">
        <v>465</v>
      </c>
      <c r="O65" s="635"/>
      <c r="P65" s="41">
        <f>P30</f>
        <v>87</v>
      </c>
      <c r="Q65" s="666" t="s">
        <v>471</v>
      </c>
      <c r="R65" s="667"/>
      <c r="S65" s="667"/>
      <c r="T65" s="662">
        <f>H65</f>
        <v>203080.55</v>
      </c>
      <c r="U65" s="662"/>
    </row>
    <row r="66" spans="1:22" x14ac:dyDescent="0.25">
      <c r="B66" s="70"/>
      <c r="G66" s="42" t="s">
        <v>12</v>
      </c>
      <c r="H66" s="115">
        <f>ROUND(C65/H65,6)</f>
        <v>4.28E-4</v>
      </c>
      <c r="I66" s="116"/>
      <c r="N66" s="635"/>
      <c r="O66" s="635"/>
      <c r="P66" s="635"/>
      <c r="Q66" s="635"/>
      <c r="R66" s="635"/>
      <c r="S66" s="635"/>
      <c r="T66" s="665">
        <f>ROUND(P65/T65,6)</f>
        <v>4.28E-4</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87</v>
      </c>
      <c r="D68" s="590" t="s">
        <v>480</v>
      </c>
      <c r="E68" s="590"/>
      <c r="F68" s="590"/>
      <c r="G68" s="590"/>
      <c r="H68" s="317">
        <f>'0664'!H68</f>
        <v>186682.65</v>
      </c>
      <c r="I68" s="114"/>
      <c r="N68" s="658" t="s">
        <v>481</v>
      </c>
      <c r="O68" s="635"/>
      <c r="P68" s="41">
        <f>P30</f>
        <v>87</v>
      </c>
      <c r="Q68" s="668" t="s">
        <v>487</v>
      </c>
      <c r="R68" s="669"/>
      <c r="S68" s="669"/>
      <c r="T68" s="662">
        <f>H68</f>
        <v>186682.65</v>
      </c>
      <c r="U68" s="662"/>
    </row>
    <row r="69" spans="1:22" x14ac:dyDescent="0.25">
      <c r="B69" s="70"/>
      <c r="G69" s="42" t="s">
        <v>12</v>
      </c>
      <c r="H69" s="115">
        <f>ROUND(C68/H68,6)</f>
        <v>4.66E-4</v>
      </c>
      <c r="I69" s="116"/>
      <c r="N69" s="635"/>
      <c r="O69" s="635"/>
      <c r="P69" s="635"/>
      <c r="Q69" s="635"/>
      <c r="R69" s="635"/>
      <c r="S69" s="635"/>
      <c r="T69" s="665">
        <f>ROUND(P68/T68,6)</f>
        <v>4.66E-4</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4.28E-4</v>
      </c>
      <c r="I71" s="102">
        <f>ROUND(F71*H71,2)</f>
        <v>19116.849999999999</v>
      </c>
      <c r="N71" s="52" t="s">
        <v>488</v>
      </c>
      <c r="O71" s="52"/>
      <c r="P71" s="52"/>
      <c r="Q71" s="45"/>
      <c r="R71" s="453">
        <f>F71</f>
        <v>44665536</v>
      </c>
      <c r="S71" s="38" t="s">
        <v>6</v>
      </c>
      <c r="T71" s="455">
        <f>T66</f>
        <v>4.28E-4</v>
      </c>
      <c r="U71" s="97">
        <f>ROUND(R71*T71,0)</f>
        <v>19117</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61"/>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4.28E-4</v>
      </c>
      <c r="I74" s="102">
        <f>ROUND(F74*H74,2)</f>
        <v>0</v>
      </c>
      <c r="N74" s="670" t="s">
        <v>110</v>
      </c>
      <c r="O74" s="635"/>
      <c r="P74" s="635"/>
      <c r="Q74" s="45"/>
      <c r="R74" s="453">
        <f>F74</f>
        <v>0</v>
      </c>
      <c r="S74" s="38" t="s">
        <v>6</v>
      </c>
      <c r="T74" s="455">
        <f>T57</f>
        <v>4.28E-4</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4.66E-4</v>
      </c>
      <c r="I76" s="102">
        <f>ROUND(F76*H76,2)</f>
        <v>7533.85</v>
      </c>
      <c r="N76" s="431" t="s">
        <v>491</v>
      </c>
      <c r="O76" s="52"/>
      <c r="P76" s="52"/>
      <c r="Q76" s="45"/>
      <c r="R76" s="453">
        <f>F76</f>
        <v>16167052</v>
      </c>
      <c r="S76" s="38" t="s">
        <v>6</v>
      </c>
      <c r="T76" s="455">
        <f>T69</f>
        <v>4.66E-4</v>
      </c>
      <c r="U76" s="97">
        <f>ROUND(R76*T76,0)</f>
        <v>7534</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4.6500000000000003E-4</v>
      </c>
      <c r="I78" s="102">
        <f t="shared" ref="I78:I87" si="10">ROUND(F78*H78,2)</f>
        <v>4668.6499999999996</v>
      </c>
      <c r="N78" s="406" t="s">
        <v>493</v>
      </c>
      <c r="O78" s="52"/>
      <c r="P78" s="52"/>
      <c r="Q78" s="45"/>
      <c r="R78" s="453">
        <f t="shared" ref="R78:R87" si="11">F78</f>
        <v>10040099</v>
      </c>
      <c r="S78" s="38" t="s">
        <v>6</v>
      </c>
      <c r="T78" s="455">
        <f>T63</f>
        <v>4.6500000000000003E-4</v>
      </c>
      <c r="U78" s="97">
        <f t="shared" ref="U78:U87" si="12">ROUND(R78*T78,0)</f>
        <v>4669</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2.5</v>
      </c>
      <c r="G81" s="37"/>
      <c r="H81" s="121"/>
      <c r="I81" s="102"/>
      <c r="N81" s="406"/>
      <c r="O81" s="406" t="s">
        <v>496</v>
      </c>
      <c r="P81" s="52"/>
      <c r="Q81" s="46"/>
      <c r="R81" s="426">
        <f>IF($H$121=1,F81,0)</f>
        <v>2.5</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2.5</v>
      </c>
      <c r="G83" s="37" t="s">
        <v>6</v>
      </c>
      <c r="H83" s="448">
        <f>'0664'!H83</f>
        <v>1951.26</v>
      </c>
      <c r="I83" s="102">
        <f>ROUND(F83*H83,2)</f>
        <v>4878.1499999999996</v>
      </c>
      <c r="N83" s="406"/>
      <c r="O83" s="406" t="s">
        <v>497</v>
      </c>
      <c r="P83" s="52"/>
      <c r="Q83" s="46"/>
      <c r="R83" s="426">
        <f>R81-R82</f>
        <v>2.5</v>
      </c>
      <c r="S83" s="38" t="s">
        <v>6</v>
      </c>
      <c r="T83" s="456">
        <f>'0664'!T83</f>
        <v>1951.26</v>
      </c>
      <c r="U83" s="426">
        <f>ROUND(R83*T83,0)</f>
        <v>4878</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1.7260000000000001E-3</v>
      </c>
      <c r="I85" s="102">
        <f t="shared" si="10"/>
        <v>404554.43</v>
      </c>
      <c r="N85" s="635" t="s">
        <v>500</v>
      </c>
      <c r="O85" s="635"/>
      <c r="P85" s="635"/>
      <c r="Q85" s="45"/>
      <c r="R85" s="453">
        <f t="shared" si="11"/>
        <v>234388431</v>
      </c>
      <c r="S85" s="38" t="s">
        <v>6</v>
      </c>
      <c r="T85" s="455">
        <f>T60</f>
        <v>3.8200000000000002E-4</v>
      </c>
      <c r="U85" s="97">
        <f t="shared" si="12"/>
        <v>89536</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1.7260000000000001E-3</v>
      </c>
      <c r="I87" s="102">
        <f t="shared" si="10"/>
        <v>0</v>
      </c>
      <c r="N87" s="658" t="s">
        <v>501</v>
      </c>
      <c r="O87" s="635"/>
      <c r="P87" s="635"/>
      <c r="Q87" s="45"/>
      <c r="R87" s="453">
        <f t="shared" si="11"/>
        <v>0</v>
      </c>
      <c r="S87" s="38" t="s">
        <v>6</v>
      </c>
      <c r="T87" s="455">
        <f>T60</f>
        <v>3.8200000000000002E-4</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227.91300000000001</v>
      </c>
      <c r="D92" s="597"/>
      <c r="E92" s="47">
        <f>H8</f>
        <v>1.0442</v>
      </c>
      <c r="F92" s="320">
        <f>'0664'!F92</f>
        <v>947.59</v>
      </c>
      <c r="G92" s="39" t="s">
        <v>12</v>
      </c>
      <c r="H92" s="102">
        <f>ROUND(C92*E92*F92,2)</f>
        <v>225513.87</v>
      </c>
      <c r="I92" s="105"/>
      <c r="N92" s="28" t="s">
        <v>17</v>
      </c>
      <c r="O92" s="48">
        <f>T14+T15+T20+T23+T26</f>
        <v>48</v>
      </c>
      <c r="P92" s="673">
        <f>T8</f>
        <v>1.0442</v>
      </c>
      <c r="Q92" s="673"/>
      <c r="R92" s="49">
        <f>F92</f>
        <v>947.59</v>
      </c>
      <c r="S92" s="40" t="s">
        <v>12</v>
      </c>
      <c r="T92" s="123">
        <f>ROUND(O92*P92*R92,0)</f>
        <v>47495</v>
      </c>
      <c r="U92" s="103"/>
    </row>
    <row r="93" spans="1:21" x14ac:dyDescent="0.25">
      <c r="A93" s="50"/>
      <c r="B93" s="50" t="s">
        <v>116</v>
      </c>
      <c r="C93" s="597">
        <f>H16+H17+H21+H24+H27</f>
        <v>164.7825</v>
      </c>
      <c r="D93" s="597"/>
      <c r="E93" s="47">
        <f>H8</f>
        <v>1.0442</v>
      </c>
      <c r="F93" s="320">
        <f>'0664'!F93</f>
        <v>904.74</v>
      </c>
      <c r="G93" s="39" t="s">
        <v>12</v>
      </c>
      <c r="H93" s="102">
        <f>ROUND(C93*E93*F93,2)</f>
        <v>155674.89000000001</v>
      </c>
      <c r="N93" s="51" t="s">
        <v>13</v>
      </c>
      <c r="O93" s="48">
        <f>T16+T17+T21+T24+T27</f>
        <v>39</v>
      </c>
      <c r="P93" s="673">
        <f>T8</f>
        <v>1.0442</v>
      </c>
      <c r="Q93" s="673"/>
      <c r="R93" s="49">
        <f>F93</f>
        <v>904.74</v>
      </c>
      <c r="S93" s="40" t="s">
        <v>12</v>
      </c>
      <c r="T93" s="123">
        <f>ROUND(O93*P93*R93,0)</f>
        <v>36844</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392.69550000000004</v>
      </c>
      <c r="D95" s="601"/>
      <c r="E95" s="130"/>
      <c r="F95" s="130"/>
      <c r="G95" s="130"/>
      <c r="H95" s="131" t="s">
        <v>112</v>
      </c>
      <c r="I95" s="102">
        <f>IF(A1=75,0,H94+H93+H92)</f>
        <v>381188.76</v>
      </c>
      <c r="N95" s="57" t="s">
        <v>95</v>
      </c>
      <c r="O95" s="58">
        <f>SUM(O92:O94)</f>
        <v>87</v>
      </c>
      <c r="P95" s="674" t="s">
        <v>16</v>
      </c>
      <c r="Q95" s="675"/>
      <c r="R95" s="675"/>
      <c r="S95" s="675"/>
      <c r="T95" s="675"/>
      <c r="U95" s="97">
        <f>IF(N1=75,0,T94+T93+T92)</f>
        <v>84339</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4"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0</v>
      </c>
      <c r="D101" s="151">
        <v>0</v>
      </c>
      <c r="E101" s="152">
        <f>(C101+D101)/2</f>
        <v>0</v>
      </c>
      <c r="F101" s="134" t="s">
        <v>30</v>
      </c>
      <c r="G101" s="321">
        <f>'0664'!G101</f>
        <v>565</v>
      </c>
      <c r="I101" s="102">
        <f>ROUND(G101*E101,2)</f>
        <v>0</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52">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50">
        <f>IF(D30=0,C109*2,C109+D109)</f>
        <v>0</v>
      </c>
      <c r="F109" s="688">
        <v>0</v>
      </c>
      <c r="G109" s="688"/>
      <c r="H109" s="62">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52">
        <f>IF(D31=0,C110*2,C110+D110)</f>
        <v>0</v>
      </c>
      <c r="F110" s="588">
        <f>ROUND(F109/2,2)</f>
        <v>0</v>
      </c>
      <c r="G110" s="588"/>
      <c r="H110" s="62">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52">
        <f>IF(D32=0,C111*2,C111+D111)</f>
        <v>0</v>
      </c>
      <c r="F111" s="589"/>
      <c r="G111" s="589"/>
      <c r="H111" s="64">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676993.83</v>
      </c>
    </row>
    <row r="116" spans="1:21" ht="16.5" thickTop="1" x14ac:dyDescent="0.25">
      <c r="A116" s="584" t="s">
        <v>8</v>
      </c>
      <c r="B116" s="584"/>
      <c r="C116" s="584"/>
      <c r="D116" s="584"/>
      <c r="E116" s="584"/>
      <c r="F116" s="584"/>
      <c r="G116" s="584"/>
      <c r="H116" s="584"/>
      <c r="I116" s="95">
        <f>SUM(I30,I44,I53,I71,I74,I76,I78,I83,I85,I87,I95,I101,I102,I112,I114)</f>
        <v>3054478.8499999996</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2929500.55</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f>IF(E30=0,"",IF((E15+E17+SUM(E19:E25))/E30&gt;0.75,1,""))</f>
        <v>1</v>
      </c>
      <c r="I121" s="117">
        <f>U115</f>
        <v>676993.83</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676993.83</v>
      </c>
      <c r="I123" s="95">
        <f>ROUND(IF(E30=0,0,IF(E30&gt;250,-(((250/E30)*H123)*IF(G123="H",0.02,0.05)),IF(G123="H",-0.02*H123,-0.05*H123))),2)</f>
        <v>-33849.69</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3020629.1599999997</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3020629.1599999997</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251719.1</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0</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T9:U9"/>
    <mergeCell ref="A62:B62"/>
    <mergeCell ref="D62:G62"/>
    <mergeCell ref="N62:O62"/>
    <mergeCell ref="Q62:S62"/>
    <mergeCell ref="T62:U62"/>
    <mergeCell ref="N63:S63"/>
    <mergeCell ref="T63:U63"/>
    <mergeCell ref="A65:B65"/>
    <mergeCell ref="D65:G65"/>
    <mergeCell ref="N65:O65"/>
    <mergeCell ref="Q65:S65"/>
    <mergeCell ref="T65:U65"/>
    <mergeCell ref="N57:S57"/>
    <mergeCell ref="T57:U57"/>
    <mergeCell ref="A59:B59"/>
    <mergeCell ref="D59:G59"/>
    <mergeCell ref="N59:O59"/>
    <mergeCell ref="Q59:S59"/>
    <mergeCell ref="T59:U59"/>
    <mergeCell ref="A56:B56"/>
    <mergeCell ref="D56:G56"/>
    <mergeCell ref="N56:O56"/>
    <mergeCell ref="Q56:S56"/>
    <mergeCell ref="N140:U140"/>
    <mergeCell ref="N115:T115"/>
    <mergeCell ref="A116:H116"/>
    <mergeCell ref="A120:G120"/>
    <mergeCell ref="N120:U120"/>
    <mergeCell ref="A121:G121"/>
    <mergeCell ref="N121:U121"/>
    <mergeCell ref="A112:B112"/>
    <mergeCell ref="N112:O112"/>
    <mergeCell ref="A114:C114"/>
    <mergeCell ref="F114:H114"/>
    <mergeCell ref="N114:P114"/>
    <mergeCell ref="A110:B110"/>
    <mergeCell ref="F110:G110"/>
    <mergeCell ref="N110:O110"/>
    <mergeCell ref="P110:Q110"/>
    <mergeCell ref="R110:S110"/>
    <mergeCell ref="A111:B111"/>
    <mergeCell ref="F111:G111"/>
    <mergeCell ref="N111:O111"/>
    <mergeCell ref="P111:Q111"/>
    <mergeCell ref="R111:S111"/>
    <mergeCell ref="R108:S108"/>
    <mergeCell ref="A109:B109"/>
    <mergeCell ref="F109:G109"/>
    <mergeCell ref="N109:O109"/>
    <mergeCell ref="P109:Q109"/>
    <mergeCell ref="R109:S109"/>
    <mergeCell ref="C106:E106"/>
    <mergeCell ref="F107:G107"/>
    <mergeCell ref="A108:B108"/>
    <mergeCell ref="F108:G108"/>
    <mergeCell ref="N108:O108"/>
    <mergeCell ref="P108:Q108"/>
    <mergeCell ref="A102:B102"/>
    <mergeCell ref="N102:O102"/>
    <mergeCell ref="P102:R102"/>
    <mergeCell ref="A105:C105"/>
    <mergeCell ref="F105:I105"/>
    <mergeCell ref="N105:U105"/>
    <mergeCell ref="A96:I96"/>
    <mergeCell ref="N96:U96"/>
    <mergeCell ref="F98:I98"/>
    <mergeCell ref="N98:P98"/>
    <mergeCell ref="Q98:T98"/>
    <mergeCell ref="A101:B101"/>
    <mergeCell ref="N101:O101"/>
    <mergeCell ref="P101:R101"/>
    <mergeCell ref="C93:D93"/>
    <mergeCell ref="P93:Q93"/>
    <mergeCell ref="C94:D94"/>
    <mergeCell ref="P94:Q94"/>
    <mergeCell ref="C95:D95"/>
    <mergeCell ref="P95:T95"/>
    <mergeCell ref="C90:D90"/>
    <mergeCell ref="C91:D91"/>
    <mergeCell ref="N91:O91"/>
    <mergeCell ref="P91:Q91"/>
    <mergeCell ref="R91:U91"/>
    <mergeCell ref="C92:D92"/>
    <mergeCell ref="P92:Q92"/>
    <mergeCell ref="A87:C87"/>
    <mergeCell ref="N87:P87"/>
    <mergeCell ref="A85:C85"/>
    <mergeCell ref="A74:C74"/>
    <mergeCell ref="N60:S60"/>
    <mergeCell ref="T60:U60"/>
    <mergeCell ref="A73:C73"/>
    <mergeCell ref="N73:P73"/>
    <mergeCell ref="N66:S66"/>
    <mergeCell ref="T66:U66"/>
    <mergeCell ref="A68:B68"/>
    <mergeCell ref="D68:G68"/>
    <mergeCell ref="N68:O68"/>
    <mergeCell ref="Q68:S68"/>
    <mergeCell ref="T68:U68"/>
    <mergeCell ref="N69:S69"/>
    <mergeCell ref="T69:U69"/>
    <mergeCell ref="N74:P74"/>
    <mergeCell ref="T56:U56"/>
    <mergeCell ref="N44:Q44"/>
    <mergeCell ref="S44:T44"/>
    <mergeCell ref="N46:Q46"/>
    <mergeCell ref="S46:T46"/>
    <mergeCell ref="A42:B42"/>
    <mergeCell ref="N42:O42"/>
    <mergeCell ref="P42:T42"/>
    <mergeCell ref="A43:B43"/>
    <mergeCell ref="N43:O43"/>
    <mergeCell ref="P43:T43"/>
    <mergeCell ref="A40:B40"/>
    <mergeCell ref="N40:O40"/>
    <mergeCell ref="P40:T40"/>
    <mergeCell ref="A41:B41"/>
    <mergeCell ref="N41:O41"/>
    <mergeCell ref="P41:T41"/>
    <mergeCell ref="A38:B38"/>
    <mergeCell ref="N38:O38"/>
    <mergeCell ref="P38:T38"/>
    <mergeCell ref="A39:B39"/>
    <mergeCell ref="N39:O39"/>
    <mergeCell ref="P39:T39"/>
    <mergeCell ref="A30:B30"/>
    <mergeCell ref="F30:G30"/>
    <mergeCell ref="N30:O30"/>
    <mergeCell ref="P30:Q30"/>
    <mergeCell ref="R30:S30"/>
    <mergeCell ref="F34:H37"/>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N13:O13"/>
    <mergeCell ref="P13:Q13"/>
    <mergeCell ref="R13:S13"/>
    <mergeCell ref="A14:B14"/>
    <mergeCell ref="F14:G14"/>
    <mergeCell ref="N14:O14"/>
    <mergeCell ref="P14:Q14"/>
    <mergeCell ref="R14:S14"/>
    <mergeCell ref="A15:B15"/>
    <mergeCell ref="F15:G15"/>
    <mergeCell ref="N15:O15"/>
    <mergeCell ref="P15:Q15"/>
    <mergeCell ref="R15:S15"/>
    <mergeCell ref="N7:U7"/>
    <mergeCell ref="N8:O8"/>
    <mergeCell ref="P8:Q8"/>
    <mergeCell ref="R8:S8"/>
    <mergeCell ref="T8:U8"/>
    <mergeCell ref="F11:G11"/>
    <mergeCell ref="R11:S11"/>
    <mergeCell ref="N85:P85"/>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s>
  <pageMargins left="0.1" right="0.1" top="0.5" bottom="0.5" header="0" footer="0.1"/>
  <pageSetup scale="70" fitToHeight="3" orientation="portrait" r:id="rId1"/>
  <headerFooter alignWithMargins="0">
    <oddFooter>&amp;L&amp;8&amp;Z&amp;F&amp;R&amp;P of &amp;N</oddFooter>
  </headerFooter>
  <rowBreaks count="1" manualBreakCount="1">
    <brk id="139"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283"/>
  <sheetViews>
    <sheetView showGridLines="0" topLeftCell="A115" zoomScaleNormal="100" workbookViewId="0">
      <selection activeCell="E26" sqref="E26"/>
    </sheetView>
  </sheetViews>
  <sheetFormatPr defaultRowHeight="15.75" x14ac:dyDescent="0.25"/>
  <cols>
    <col min="1" max="1" width="10.28515625" style="70"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6384" width="9.140625" style="3"/>
  </cols>
  <sheetData>
    <row r="1" spans="1:9" ht="16.5" thickBot="1" x14ac:dyDescent="0.3">
      <c r="A1" s="83"/>
      <c r="B1" s="613" t="s">
        <v>15</v>
      </c>
      <c r="C1" s="614"/>
      <c r="D1" s="614"/>
      <c r="E1" s="614"/>
      <c r="F1" s="614"/>
      <c r="G1" s="614"/>
      <c r="H1" s="614"/>
      <c r="I1" s="614"/>
    </row>
    <row r="2" spans="1:9" ht="21" x14ac:dyDescent="0.35">
      <c r="A2" s="1" t="s">
        <v>272</v>
      </c>
      <c r="B2" s="2"/>
      <c r="C2" s="2"/>
      <c r="D2" s="2"/>
      <c r="E2" s="2"/>
      <c r="F2" s="2"/>
      <c r="G2" s="2"/>
      <c r="H2" s="2"/>
      <c r="I2" s="2"/>
    </row>
    <row r="3" spans="1:9" x14ac:dyDescent="0.25">
      <c r="A3" s="82" t="str">
        <f>'0664'!A3</f>
        <v>Based on the FLDOE 2023-24 FEFP Conference Calculation</v>
      </c>
    </row>
    <row r="4" spans="1:9" x14ac:dyDescent="0.25">
      <c r="A4" s="615" t="s">
        <v>0</v>
      </c>
      <c r="B4" s="615"/>
      <c r="C4" s="616" t="s">
        <v>9</v>
      </c>
      <c r="D4" s="616"/>
      <c r="E4" s="616"/>
      <c r="F4" s="4" t="str">
        <f>'0664'!F4</f>
        <v>July 2023</v>
      </c>
      <c r="G4" s="4"/>
      <c r="H4" s="4"/>
      <c r="I4" s="4"/>
    </row>
    <row r="5" spans="1:9" ht="12" customHeight="1" thickBot="1" x14ac:dyDescent="0.3">
      <c r="A5" s="236"/>
      <c r="B5" s="236"/>
      <c r="C5" s="237"/>
      <c r="D5" s="237"/>
      <c r="E5" s="237"/>
      <c r="F5" s="238"/>
      <c r="G5" s="238"/>
      <c r="H5" s="238"/>
      <c r="I5" s="238"/>
    </row>
    <row r="6" spans="1:9" ht="12" customHeight="1" x14ac:dyDescent="0.25">
      <c r="A6" s="128"/>
      <c r="B6" s="128"/>
      <c r="C6" s="245"/>
      <c r="D6" s="245"/>
      <c r="E6" s="245"/>
      <c r="F6" s="4"/>
      <c r="G6" s="4"/>
      <c r="H6" s="4"/>
      <c r="I6" s="4"/>
    </row>
    <row r="7" spans="1:9" x14ac:dyDescent="0.25">
      <c r="A7" s="617" t="str">
        <f>'0664'!A7:I7</f>
        <v>1A.   2023-24 FEFP State and Local Funding</v>
      </c>
      <c r="B7" s="617"/>
      <c r="C7" s="617"/>
      <c r="D7" s="617"/>
      <c r="E7" s="617"/>
      <c r="F7" s="617"/>
      <c r="G7" s="617"/>
      <c r="H7" s="617"/>
      <c r="I7" s="617"/>
    </row>
    <row r="8" spans="1:9" x14ac:dyDescent="0.25">
      <c r="A8" s="85"/>
      <c r="B8" s="86" t="s">
        <v>98</v>
      </c>
      <c r="C8" s="231">
        <f>'0664'!C8</f>
        <v>5139.7299999999996</v>
      </c>
      <c r="D8" s="87"/>
      <c r="E8" s="88"/>
      <c r="F8" s="85"/>
      <c r="G8" s="86" t="s">
        <v>97</v>
      </c>
      <c r="H8" s="232">
        <f>'0664'!H8</f>
        <v>1.0442</v>
      </c>
      <c r="I8" s="76"/>
    </row>
    <row r="9" spans="1:9" x14ac:dyDescent="0.25">
      <c r="A9" s="85"/>
      <c r="B9" s="86"/>
      <c r="C9" s="231"/>
      <c r="D9" s="87"/>
      <c r="E9" s="88"/>
      <c r="F9" s="85"/>
      <c r="G9" s="86" t="s">
        <v>448</v>
      </c>
      <c r="H9" s="232">
        <f>'0664'!H9</f>
        <v>0</v>
      </c>
      <c r="I9" s="76"/>
    </row>
    <row r="10" spans="1:9" x14ac:dyDescent="0.25">
      <c r="A10" s="7"/>
      <c r="B10" s="7"/>
      <c r="C10" s="8"/>
      <c r="D10" s="8"/>
      <c r="E10" s="8"/>
      <c r="F10" s="9"/>
      <c r="G10" s="9"/>
      <c r="H10" s="10"/>
      <c r="I10" s="385" t="str">
        <f>'0664'!I10</f>
        <v>2023-24</v>
      </c>
    </row>
    <row r="11" spans="1:9" x14ac:dyDescent="0.25">
      <c r="A11" s="7"/>
      <c r="B11" s="7"/>
      <c r="C11" s="89" t="str">
        <f>'0664'!C11</f>
        <v>Oct 2022</v>
      </c>
      <c r="D11" s="89" t="str">
        <f>'0664'!D11</f>
        <v>Feb 2023</v>
      </c>
      <c r="E11" s="90" t="s">
        <v>8</v>
      </c>
      <c r="F11" s="618" t="s">
        <v>1</v>
      </c>
      <c r="G11" s="618"/>
      <c r="H11" s="10" t="s">
        <v>62</v>
      </c>
      <c r="I11" s="11" t="s">
        <v>27</v>
      </c>
    </row>
    <row r="12" spans="1:9" x14ac:dyDescent="0.25">
      <c r="A12" s="610" t="s">
        <v>1</v>
      </c>
      <c r="B12" s="610"/>
      <c r="C12" s="475" t="str">
        <f>'0664'!C12</f>
        <v>FTE</v>
      </c>
      <c r="D12" s="475" t="str">
        <f>'0664'!D12</f>
        <v>FTE</v>
      </c>
      <c r="E12" s="91" t="s">
        <v>2</v>
      </c>
      <c r="F12" s="619" t="s">
        <v>65</v>
      </c>
      <c r="G12" s="619"/>
      <c r="H12" s="17" t="s">
        <v>61</v>
      </c>
      <c r="I12" s="411" t="s">
        <v>452</v>
      </c>
    </row>
    <row r="13" spans="1:9" x14ac:dyDescent="0.25">
      <c r="A13" s="620" t="s">
        <v>36</v>
      </c>
      <c r="B13" s="620"/>
      <c r="C13" s="92"/>
      <c r="D13" s="92"/>
      <c r="E13" s="93" t="s">
        <v>37</v>
      </c>
      <c r="F13" s="621" t="s">
        <v>38</v>
      </c>
      <c r="G13" s="621"/>
      <c r="H13" s="20" t="s">
        <v>39</v>
      </c>
      <c r="I13" s="21" t="s">
        <v>40</v>
      </c>
    </row>
    <row r="14" spans="1:9" x14ac:dyDescent="0.25">
      <c r="A14" s="611" t="s">
        <v>20</v>
      </c>
      <c r="B14" s="611"/>
      <c r="C14" s="149">
        <f>SUM('0664:4131'!C14)</f>
        <v>2406.4299999999998</v>
      </c>
      <c r="D14" s="149">
        <f>SUM('0664:4131'!D14)</f>
        <v>2350.9300000000003</v>
      </c>
      <c r="E14" s="196">
        <f>SUM('0664:4131'!E14)</f>
        <v>4757.3599999999997</v>
      </c>
      <c r="F14" s="612">
        <f>'0664'!F14:G14</f>
        <v>1.1220000000000001</v>
      </c>
      <c r="G14" s="612"/>
      <c r="H14" s="153">
        <f>SUM('0664:4131'!H14)</f>
        <v>5337.7581</v>
      </c>
      <c r="I14" s="112">
        <f>SUM('0664:4131'!I14)</f>
        <v>28647246.310000002</v>
      </c>
    </row>
    <row r="15" spans="1:9" x14ac:dyDescent="0.25">
      <c r="A15" s="586" t="s">
        <v>21</v>
      </c>
      <c r="B15" s="586"/>
      <c r="C15" s="151">
        <f>SUM('0664:4131'!C15)</f>
        <v>292.08000000000004</v>
      </c>
      <c r="D15" s="151">
        <f>SUM('0664:4131'!D15)</f>
        <v>310.52</v>
      </c>
      <c r="E15" s="117">
        <f>SUM('0664:4131'!E15)</f>
        <v>602.60000000000014</v>
      </c>
      <c r="F15" s="607">
        <f>'0664'!F15:G15</f>
        <v>1.1220000000000001</v>
      </c>
      <c r="G15" s="607"/>
      <c r="H15" s="81">
        <f>SUM('0664:4131'!H15)</f>
        <v>676.11720000000003</v>
      </c>
      <c r="I15" s="102">
        <f>SUM('0664:4131'!I15)</f>
        <v>3628657.5100000007</v>
      </c>
    </row>
    <row r="16" spans="1:9" x14ac:dyDescent="0.25">
      <c r="A16" s="586" t="s">
        <v>22</v>
      </c>
      <c r="B16" s="586"/>
      <c r="C16" s="151">
        <f>SUM('0664:4131'!C16)</f>
        <v>3571.77</v>
      </c>
      <c r="D16" s="151">
        <f>SUM('0664:4131'!D16)</f>
        <v>3545.51</v>
      </c>
      <c r="E16" s="117">
        <f>SUM('0664:4131'!E16)</f>
        <v>7117.2799999999988</v>
      </c>
      <c r="F16" s="607">
        <f>'0664'!F16:G16</f>
        <v>1</v>
      </c>
      <c r="G16" s="607"/>
      <c r="H16" s="81">
        <f>SUM('0664:4131'!H16)</f>
        <v>7117.2799999999988</v>
      </c>
      <c r="I16" s="102">
        <f>SUM('0664:4131'!I16)</f>
        <v>38197773.190000005</v>
      </c>
    </row>
    <row r="17" spans="1:9" x14ac:dyDescent="0.25">
      <c r="A17" s="586" t="s">
        <v>23</v>
      </c>
      <c r="B17" s="586"/>
      <c r="C17" s="151">
        <f>SUM('0664:4131'!C17)</f>
        <v>646.02000000000021</v>
      </c>
      <c r="D17" s="151">
        <f>SUM('0664:4131'!D17)</f>
        <v>623.14</v>
      </c>
      <c r="E17" s="117">
        <f>SUM('0664:4131'!E17)</f>
        <v>1269.1600000000001</v>
      </c>
      <c r="F17" s="607">
        <f>'0664'!F17:G17</f>
        <v>1</v>
      </c>
      <c r="G17" s="607"/>
      <c r="H17" s="81">
        <f>SUM('0664:4131'!H17)</f>
        <v>1269.1600000000001</v>
      </c>
      <c r="I17" s="102">
        <f>SUM('0664:4131'!I17)</f>
        <v>6811462.5200000014</v>
      </c>
    </row>
    <row r="18" spans="1:9" x14ac:dyDescent="0.25">
      <c r="A18" s="586" t="s">
        <v>24</v>
      </c>
      <c r="B18" s="586"/>
      <c r="C18" s="151">
        <f>SUM('0664:4131'!C18)</f>
        <v>2235.31</v>
      </c>
      <c r="D18" s="151">
        <f>SUM('0664:4131'!D18)</f>
        <v>2253.23</v>
      </c>
      <c r="E18" s="117">
        <f>SUM('0664:4131'!E18)</f>
        <v>4488.5400000000018</v>
      </c>
      <c r="F18" s="607">
        <f>'0664'!F18:G18</f>
        <v>0.98799999999999999</v>
      </c>
      <c r="G18" s="607"/>
      <c r="H18" s="81">
        <f>SUM('0664:4131'!H18)</f>
        <v>4434.6775000000007</v>
      </c>
      <c r="I18" s="102">
        <f>SUM('0664:4131'!I18)</f>
        <v>23800497.589999992</v>
      </c>
    </row>
    <row r="19" spans="1:9" x14ac:dyDescent="0.25">
      <c r="A19" s="586" t="s">
        <v>25</v>
      </c>
      <c r="B19" s="586"/>
      <c r="C19" s="151">
        <f>SUM('0664:4131'!C19)</f>
        <v>550.70000000000005</v>
      </c>
      <c r="D19" s="151">
        <f>SUM('0664:4131'!D19)</f>
        <v>574.3599999999999</v>
      </c>
      <c r="E19" s="117">
        <f>SUM('0664:4131'!E19)</f>
        <v>1125.06</v>
      </c>
      <c r="F19" s="607">
        <f>'0664'!F19:G19</f>
        <v>0.98799999999999999</v>
      </c>
      <c r="G19" s="607"/>
      <c r="H19" s="81">
        <f>SUM('0664:4131'!H19)</f>
        <v>1111.5593000000001</v>
      </c>
      <c r="I19" s="102">
        <f>SUM('0664:4131'!I19)</f>
        <v>5965634.3200000003</v>
      </c>
    </row>
    <row r="20" spans="1:9" x14ac:dyDescent="0.25">
      <c r="A20" s="586" t="s">
        <v>85</v>
      </c>
      <c r="B20" s="586"/>
      <c r="C20" s="151">
        <f>SUM('0664:4131'!C20)</f>
        <v>88</v>
      </c>
      <c r="D20" s="151">
        <f>SUM('0664:4131'!D20)</f>
        <v>88.52</v>
      </c>
      <c r="E20" s="117">
        <f>SUM('0664:4131'!E20)</f>
        <v>176.51999999999998</v>
      </c>
      <c r="F20" s="607">
        <f>'0664'!F20:G20</f>
        <v>3.706</v>
      </c>
      <c r="G20" s="607"/>
      <c r="H20" s="81">
        <f>SUM('0664:4131'!H20)</f>
        <v>654.18309999999997</v>
      </c>
      <c r="I20" s="102">
        <f>SUM('0664:4131'!I20)</f>
        <v>3510939.25</v>
      </c>
    </row>
    <row r="21" spans="1:9" x14ac:dyDescent="0.25">
      <c r="A21" s="586" t="s">
        <v>86</v>
      </c>
      <c r="B21" s="586"/>
      <c r="C21" s="151">
        <f>SUM('0664:4131'!C21)</f>
        <v>72.5</v>
      </c>
      <c r="D21" s="151">
        <f>SUM('0664:4131'!D21)</f>
        <v>73</v>
      </c>
      <c r="E21" s="117">
        <f>SUM('0664:4131'!E21)</f>
        <v>145.5</v>
      </c>
      <c r="F21" s="607">
        <f>'0664'!F21:G21</f>
        <v>3.706</v>
      </c>
      <c r="G21" s="607"/>
      <c r="H21" s="81">
        <f>SUM('0664:4131'!H21)</f>
        <v>539.22299999999996</v>
      </c>
      <c r="I21" s="102">
        <f>SUM('0664:4131'!I21)</f>
        <v>2893959.19</v>
      </c>
    </row>
    <row r="22" spans="1:9" x14ac:dyDescent="0.25">
      <c r="A22" s="586" t="s">
        <v>87</v>
      </c>
      <c r="B22" s="586"/>
      <c r="C22" s="151">
        <f>SUM('0664:4131'!C22)</f>
        <v>67.94</v>
      </c>
      <c r="D22" s="151">
        <f>SUM('0664:4131'!D22)</f>
        <v>64.25</v>
      </c>
      <c r="E22" s="117">
        <f>SUM('0664:4131'!E22)</f>
        <v>132.19</v>
      </c>
      <c r="F22" s="607">
        <f>'0664'!F22:G22</f>
        <v>3.706</v>
      </c>
      <c r="G22" s="607"/>
      <c r="H22" s="81">
        <f>SUM('0664:4131'!H22)</f>
        <v>489.89620000000002</v>
      </c>
      <c r="I22" s="102">
        <f>SUM('0664:4131'!I22)</f>
        <v>2629226.89</v>
      </c>
    </row>
    <row r="23" spans="1:9" x14ac:dyDescent="0.25">
      <c r="A23" s="586" t="s">
        <v>88</v>
      </c>
      <c r="B23" s="586"/>
      <c r="C23" s="151">
        <f>SUM('0664:4131'!C23)</f>
        <v>28.5</v>
      </c>
      <c r="D23" s="151">
        <f>SUM('0664:4131'!D23)</f>
        <v>30</v>
      </c>
      <c r="E23" s="117">
        <f>SUM('0664:4131'!E23)</f>
        <v>58.5</v>
      </c>
      <c r="F23" s="607">
        <f>'0664'!F23:G23</f>
        <v>5.7069999999999999</v>
      </c>
      <c r="G23" s="607"/>
      <c r="H23" s="81">
        <f>SUM('0664:4131'!H23)</f>
        <v>333.85950000000003</v>
      </c>
      <c r="I23" s="102">
        <f>SUM('0664:4131'!I23)</f>
        <v>1791792.5699999998</v>
      </c>
    </row>
    <row r="24" spans="1:9" x14ac:dyDescent="0.25">
      <c r="A24" s="586" t="s">
        <v>89</v>
      </c>
      <c r="B24" s="586"/>
      <c r="C24" s="151">
        <f>SUM('0664:4131'!C24)</f>
        <v>48</v>
      </c>
      <c r="D24" s="151">
        <f>SUM('0664:4131'!D24)</f>
        <v>45</v>
      </c>
      <c r="E24" s="117">
        <f>SUM('0664:4131'!E24)</f>
        <v>93</v>
      </c>
      <c r="F24" s="607">
        <f>'0664'!F24:G24</f>
        <v>5.7069999999999999</v>
      </c>
      <c r="G24" s="607"/>
      <c r="H24" s="81">
        <f>SUM('0664:4131'!H24)</f>
        <v>530.75099999999998</v>
      </c>
      <c r="I24" s="102">
        <f>SUM('0664:4131'!I24)</f>
        <v>2848490.76</v>
      </c>
    </row>
    <row r="25" spans="1:9" x14ac:dyDescent="0.25">
      <c r="A25" s="586" t="s">
        <v>90</v>
      </c>
      <c r="B25" s="586"/>
      <c r="C25" s="151">
        <f>SUM('0664:4131'!C25)</f>
        <v>48.5</v>
      </c>
      <c r="D25" s="151">
        <f>SUM('0664:4131'!D25)</f>
        <v>47.68</v>
      </c>
      <c r="E25" s="117">
        <f>SUM('0664:4131'!E25)</f>
        <v>96.18</v>
      </c>
      <c r="F25" s="607">
        <f>'0664'!F25:G25</f>
        <v>5.7069999999999999</v>
      </c>
      <c r="G25" s="607"/>
      <c r="H25" s="81">
        <f>SUM('0664:4131'!H25)</f>
        <v>548.89930000000004</v>
      </c>
      <c r="I25" s="102">
        <f>SUM('0664:4131'!I25)</f>
        <v>2945890.98</v>
      </c>
    </row>
    <row r="26" spans="1:9" x14ac:dyDescent="0.25">
      <c r="A26" s="586" t="s">
        <v>91</v>
      </c>
      <c r="B26" s="586"/>
      <c r="C26" s="151">
        <f>SUM('0664:4131'!C26)</f>
        <v>437.74999999999989</v>
      </c>
      <c r="D26" s="151">
        <f>SUM('0664:4131'!D26)</f>
        <v>442.47999999999996</v>
      </c>
      <c r="E26" s="117">
        <f>SUM('0664:4131'!E26)</f>
        <v>880.23000000000013</v>
      </c>
      <c r="F26" s="607">
        <f>'0664'!F26:G26</f>
        <v>1.208</v>
      </c>
      <c r="G26" s="607"/>
      <c r="H26" s="81">
        <f>SUM('0664:4131'!H26)</f>
        <v>1063.3177999999998</v>
      </c>
      <c r="I26" s="102">
        <f>SUM('0664:4131'!I26)</f>
        <v>5706726.7400000002</v>
      </c>
    </row>
    <row r="27" spans="1:9" x14ac:dyDescent="0.25">
      <c r="A27" s="586" t="s">
        <v>92</v>
      </c>
      <c r="B27" s="586"/>
      <c r="C27" s="151">
        <f>SUM('0664:4131'!C27)</f>
        <v>310.33</v>
      </c>
      <c r="D27" s="151">
        <f>SUM('0664:4131'!D27)</f>
        <v>312.14</v>
      </c>
      <c r="E27" s="117">
        <f>SUM('0664:4131'!E27)</f>
        <v>622.47</v>
      </c>
      <c r="F27" s="607">
        <f>'0664'!F27:G27</f>
        <v>1.208</v>
      </c>
      <c r="G27" s="607"/>
      <c r="H27" s="81">
        <f>SUM('0664:4131'!H27)</f>
        <v>751.94380000000001</v>
      </c>
      <c r="I27" s="102">
        <f>SUM('0664:4131'!I27)</f>
        <v>4035611.74</v>
      </c>
    </row>
    <row r="28" spans="1:9" x14ac:dyDescent="0.25">
      <c r="A28" s="586" t="s">
        <v>93</v>
      </c>
      <c r="B28" s="586"/>
      <c r="C28" s="151">
        <f>SUM('0664:4131'!C28)</f>
        <v>119.61</v>
      </c>
      <c r="D28" s="151">
        <f>SUM('0664:4131'!D28)</f>
        <v>123.67</v>
      </c>
      <c r="E28" s="117">
        <f>SUM('0664:4131'!E28)</f>
        <v>243.28</v>
      </c>
      <c r="F28" s="607">
        <f>'0664'!F28:G28</f>
        <v>1.208</v>
      </c>
      <c r="G28" s="607"/>
      <c r="H28" s="81">
        <f>SUM('0664:4131'!H28)</f>
        <v>293.88219999999995</v>
      </c>
      <c r="I28" s="102">
        <f>SUM('0664:4131'!I28)</f>
        <v>1577238.18</v>
      </c>
    </row>
    <row r="29" spans="1:9" x14ac:dyDescent="0.25">
      <c r="A29" s="586" t="s">
        <v>94</v>
      </c>
      <c r="B29" s="586"/>
      <c r="C29" s="111">
        <f>SUM('0664:4131'!C29)</f>
        <v>311.14999999999998</v>
      </c>
      <c r="D29" s="111">
        <f>SUM('0664:4131'!D29)</f>
        <v>316.90999999999997</v>
      </c>
      <c r="E29" s="163">
        <f>SUM('0664:4131'!E29)</f>
        <v>628.05999999999995</v>
      </c>
      <c r="F29" s="607">
        <f>'0664'!F29:G29</f>
        <v>1.0720000000000001</v>
      </c>
      <c r="G29" s="607"/>
      <c r="H29" s="94">
        <f>SUM('0664:4131'!H29)</f>
        <v>673.28020000000004</v>
      </c>
      <c r="I29" s="95">
        <f>SUM('0664:4131'!I29)</f>
        <v>3613431.5799999996</v>
      </c>
    </row>
    <row r="30" spans="1:9" x14ac:dyDescent="0.25">
      <c r="A30" s="608" t="s">
        <v>168</v>
      </c>
      <c r="B30" s="587"/>
      <c r="C30" s="112">
        <f>SUM(C14:C29)</f>
        <v>11234.590000000002</v>
      </c>
      <c r="D30" s="112">
        <f>SUM(D14:D29)</f>
        <v>11201.340000000002</v>
      </c>
      <c r="E30" s="196">
        <f>SUM(E14:E29)</f>
        <v>22435.93</v>
      </c>
      <c r="F30" s="609"/>
      <c r="G30" s="609"/>
      <c r="H30" s="153">
        <f>SUM(H14:H29)</f>
        <v>25825.788200000003</v>
      </c>
      <c r="I30" s="112">
        <f>SUM(I14:I29)</f>
        <v>138604579.31999999</v>
      </c>
    </row>
    <row r="31" spans="1:9" x14ac:dyDescent="0.25">
      <c r="A31" s="82" t="s">
        <v>169</v>
      </c>
      <c r="B31" s="165"/>
      <c r="C31" s="151">
        <f>Virtual!E22</f>
        <v>0</v>
      </c>
      <c r="D31" s="151">
        <f>Virtual!E23</f>
        <v>0</v>
      </c>
      <c r="E31" s="117">
        <f>IF(D$30=0,C31*2,C31+D31)</f>
        <v>0</v>
      </c>
      <c r="F31" s="607">
        <v>0.7</v>
      </c>
      <c r="G31" s="607"/>
      <c r="H31" s="81">
        <f t="shared" ref="H31" si="0">ROUND(E31*F31,4)</f>
        <v>0</v>
      </c>
      <c r="I31" s="102">
        <f>Virtual!E28</f>
        <v>0</v>
      </c>
    </row>
    <row r="32" spans="1:9" x14ac:dyDescent="0.25">
      <c r="A32" s="608" t="s">
        <v>170</v>
      </c>
      <c r="B32" s="587"/>
      <c r="C32" s="98">
        <f>SUM(C30:C31)</f>
        <v>11234.590000000002</v>
      </c>
      <c r="D32" s="98">
        <f>SUM(D30:D31)</f>
        <v>11201.340000000002</v>
      </c>
      <c r="E32" s="98">
        <f>SUM(E30:E31)</f>
        <v>22435.93</v>
      </c>
      <c r="F32" s="27"/>
      <c r="G32" s="27"/>
      <c r="H32" s="81"/>
      <c r="I32" s="98">
        <f>SUM(I30:I31)</f>
        <v>138604579.31999999</v>
      </c>
    </row>
    <row r="33" spans="1:9" x14ac:dyDescent="0.25">
      <c r="A33" s="26"/>
      <c r="B33" s="26"/>
      <c r="C33" s="102"/>
      <c r="D33" s="102"/>
      <c r="E33" s="102"/>
      <c r="F33" s="27"/>
      <c r="G33" s="27"/>
      <c r="H33" s="81"/>
      <c r="I33" s="102"/>
    </row>
    <row r="34" spans="1:9" x14ac:dyDescent="0.25">
      <c r="A34" s="154" t="s">
        <v>75</v>
      </c>
      <c r="B34" s="26"/>
      <c r="C34" s="102"/>
      <c r="D34" s="102"/>
      <c r="E34" s="102"/>
      <c r="F34" s="27"/>
      <c r="G34" s="27"/>
      <c r="H34" s="81"/>
      <c r="I34" s="102"/>
    </row>
    <row r="35" spans="1:9" x14ac:dyDescent="0.25">
      <c r="A35" s="3"/>
      <c r="B35" s="70"/>
      <c r="C35" s="70"/>
      <c r="D35" s="70"/>
      <c r="E35" s="70"/>
      <c r="F35" s="70"/>
      <c r="G35" s="70"/>
      <c r="H35" s="70"/>
      <c r="I35" s="339" t="s">
        <v>328</v>
      </c>
    </row>
    <row r="36" spans="1:9" x14ac:dyDescent="0.25">
      <c r="A36" s="26"/>
      <c r="B36" s="26"/>
      <c r="C36" s="89" t="str">
        <f>C11</f>
        <v>Oct 2022</v>
      </c>
      <c r="D36" s="89" t="str">
        <f>D11</f>
        <v>Feb 2023</v>
      </c>
      <c r="E36" s="90" t="s">
        <v>8</v>
      </c>
      <c r="F36" s="27"/>
      <c r="G36" s="27"/>
      <c r="H36" s="105"/>
      <c r="I36" s="24" t="s">
        <v>27</v>
      </c>
    </row>
    <row r="37" spans="1:9" x14ac:dyDescent="0.25">
      <c r="A37" s="610" t="s">
        <v>52</v>
      </c>
      <c r="B37" s="610"/>
      <c r="C37" s="342" t="s">
        <v>2</v>
      </c>
      <c r="D37" s="342" t="s">
        <v>2</v>
      </c>
      <c r="E37" s="91" t="s">
        <v>2</v>
      </c>
      <c r="F37" s="106"/>
      <c r="G37" s="106"/>
      <c r="H37" s="106"/>
      <c r="I37" s="31" t="s">
        <v>64</v>
      </c>
    </row>
    <row r="38" spans="1:9" x14ac:dyDescent="0.25">
      <c r="A38" s="611" t="s">
        <v>45</v>
      </c>
      <c r="B38" s="611"/>
      <c r="C38" s="155">
        <f>SUM('0664:4111'!C38)</f>
        <v>0</v>
      </c>
      <c r="D38" s="155">
        <f>SUM('0664:4111'!D38)</f>
        <v>0</v>
      </c>
      <c r="E38" s="196">
        <f>SUM('0664:4111'!E38)</f>
        <v>0</v>
      </c>
      <c r="F38" s="156"/>
      <c r="G38" s="156"/>
      <c r="H38" s="156"/>
      <c r="I38" s="112">
        <f>SUM('0664:4111'!I38)</f>
        <v>0</v>
      </c>
    </row>
    <row r="39" spans="1:9" x14ac:dyDescent="0.25">
      <c r="A39" s="586" t="s">
        <v>46</v>
      </c>
      <c r="B39" s="586"/>
      <c r="C39" s="158">
        <f>SUM('0664:4111'!C39)</f>
        <v>0</v>
      </c>
      <c r="D39" s="158">
        <f>SUM('0664:4111'!D39)</f>
        <v>0</v>
      </c>
      <c r="E39" s="117">
        <f>SUM('0664:4111'!E39)</f>
        <v>0</v>
      </c>
      <c r="F39" s="159"/>
      <c r="G39" s="159"/>
      <c r="H39" s="159"/>
      <c r="I39" s="102">
        <f>SUM('0664:4111'!I39)</f>
        <v>0</v>
      </c>
    </row>
    <row r="40" spans="1:9" x14ac:dyDescent="0.25">
      <c r="A40" s="603" t="s">
        <v>47</v>
      </c>
      <c r="B40" s="603"/>
      <c r="C40" s="158">
        <f>SUM('0664:4111'!C40)</f>
        <v>0</v>
      </c>
      <c r="D40" s="158">
        <f>SUM('0664:4111'!D40)</f>
        <v>0</v>
      </c>
      <c r="E40" s="117">
        <f>SUM('0664:4111'!E40)</f>
        <v>0</v>
      </c>
      <c r="F40" s="159"/>
      <c r="G40" s="159"/>
      <c r="H40" s="159"/>
      <c r="I40" s="102">
        <f>SUM('0664:4111'!I40)</f>
        <v>0</v>
      </c>
    </row>
    <row r="41" spans="1:9" x14ac:dyDescent="0.25">
      <c r="A41" s="586" t="s">
        <v>48</v>
      </c>
      <c r="B41" s="586"/>
      <c r="C41" s="158">
        <f>SUM('0664:4111'!C41)</f>
        <v>0</v>
      </c>
      <c r="D41" s="158">
        <f>SUM('0664:4111'!D41)</f>
        <v>0</v>
      </c>
      <c r="E41" s="117">
        <f>SUM('0664:4111'!E41)</f>
        <v>0</v>
      </c>
      <c r="F41" s="159"/>
      <c r="G41" s="159"/>
      <c r="H41" s="159"/>
      <c r="I41" s="102">
        <f>SUM('0664:4111'!I41)</f>
        <v>0</v>
      </c>
    </row>
    <row r="42" spans="1:9" x14ac:dyDescent="0.25">
      <c r="A42" s="586" t="s">
        <v>49</v>
      </c>
      <c r="B42" s="586"/>
      <c r="C42" s="158">
        <f>SUM('0664:4111'!C42)</f>
        <v>0</v>
      </c>
      <c r="D42" s="158">
        <f>SUM('0664:4111'!D42)</f>
        <v>0</v>
      </c>
      <c r="E42" s="117">
        <f>SUM('0664:4111'!E42)</f>
        <v>0</v>
      </c>
      <c r="F42" s="159"/>
      <c r="G42" s="159"/>
      <c r="H42" s="159"/>
      <c r="I42" s="102">
        <f>SUM('0664:4111'!I42)</f>
        <v>0</v>
      </c>
    </row>
    <row r="43" spans="1:9" x14ac:dyDescent="0.25">
      <c r="A43" s="586" t="s">
        <v>41</v>
      </c>
      <c r="B43" s="586"/>
      <c r="C43" s="157">
        <f>SUM('0664:4111'!C43)</f>
        <v>0</v>
      </c>
      <c r="D43" s="157">
        <f>SUM('0664:4111'!D43)</f>
        <v>0</v>
      </c>
      <c r="E43" s="163">
        <f>SUM('0664:4111'!E43)</f>
        <v>0</v>
      </c>
      <c r="F43" s="159"/>
      <c r="G43" s="159"/>
      <c r="H43" s="159"/>
      <c r="I43" s="95">
        <f>SUM('0664:4111'!I43)</f>
        <v>0</v>
      </c>
    </row>
    <row r="44" spans="1:9" x14ac:dyDescent="0.25">
      <c r="A44" s="3"/>
      <c r="B44" s="53" t="s">
        <v>101</v>
      </c>
      <c r="C44" s="98">
        <f>SUM(C38:C43)</f>
        <v>0</v>
      </c>
      <c r="D44" s="98">
        <f>SUM(D38:D43)</f>
        <v>0</v>
      </c>
      <c r="E44" s="98">
        <f>SUM(E38:E43)</f>
        <v>0</v>
      </c>
      <c r="F44" s="32"/>
      <c r="G44" s="107"/>
      <c r="H44" s="108" t="s">
        <v>103</v>
      </c>
      <c r="I44" s="98">
        <f>SUM(I38:I43)</f>
        <v>0</v>
      </c>
    </row>
    <row r="45" spans="1:9" x14ac:dyDescent="0.25">
      <c r="A45" s="3"/>
      <c r="B45" s="53"/>
      <c r="C45" s="102"/>
      <c r="D45" s="102"/>
      <c r="E45" s="112"/>
      <c r="F45" s="32"/>
      <c r="G45" s="107"/>
      <c r="H45" s="108"/>
      <c r="I45" s="102"/>
    </row>
    <row r="46" spans="1:9" ht="16.5" thickBot="1" x14ac:dyDescent="0.3">
      <c r="A46" s="3"/>
      <c r="B46" s="53" t="s">
        <v>102</v>
      </c>
      <c r="E46" s="160">
        <f>H30+E44</f>
        <v>25825.788200000003</v>
      </c>
      <c r="F46" s="34"/>
      <c r="G46" s="107"/>
      <c r="H46" s="108" t="s">
        <v>104</v>
      </c>
      <c r="I46" s="95">
        <f>SUM(I44,I32)</f>
        <v>138604579.31999999</v>
      </c>
    </row>
    <row r="47" spans="1:9" x14ac:dyDescent="0.25">
      <c r="A47" s="26"/>
      <c r="B47" s="26"/>
      <c r="C47" s="26"/>
      <c r="D47" s="26"/>
      <c r="E47" s="26"/>
      <c r="F47" s="34"/>
      <c r="G47" s="27"/>
      <c r="H47" s="27"/>
      <c r="I47" s="102"/>
    </row>
    <row r="48" spans="1:9" x14ac:dyDescent="0.25">
      <c r="A48" s="26"/>
      <c r="B48" s="26"/>
      <c r="C48" s="26"/>
      <c r="D48" s="26"/>
      <c r="E48" s="26"/>
      <c r="F48" s="34"/>
      <c r="G48" s="27"/>
      <c r="H48" s="27"/>
      <c r="I48" s="102"/>
    </row>
    <row r="49" spans="1:9" x14ac:dyDescent="0.25">
      <c r="A49" s="82" t="s">
        <v>453</v>
      </c>
      <c r="B49" s="26"/>
      <c r="C49" s="26"/>
      <c r="D49" s="26"/>
      <c r="E49" s="26"/>
      <c r="F49" s="34"/>
      <c r="G49" s="27"/>
      <c r="H49" s="27"/>
      <c r="I49" s="102"/>
    </row>
    <row r="50" spans="1:9" s="414" customFormat="1" ht="9" customHeight="1" x14ac:dyDescent="0.2">
      <c r="A50" s="413" t="s">
        <v>454</v>
      </c>
      <c r="F50" s="415"/>
      <c r="G50" s="416"/>
      <c r="H50" s="416"/>
      <c r="I50" s="417"/>
    </row>
    <row r="51" spans="1:9" s="414" customFormat="1" ht="11.25" customHeight="1" x14ac:dyDescent="0.2">
      <c r="A51" s="421" t="s">
        <v>455</v>
      </c>
      <c r="F51" s="415"/>
      <c r="G51" s="416"/>
      <c r="H51" s="416"/>
      <c r="I51" s="417"/>
    </row>
    <row r="52" spans="1:9" x14ac:dyDescent="0.25">
      <c r="A52" s="412"/>
      <c r="B52" s="3" t="s">
        <v>456</v>
      </c>
      <c r="C52" s="26"/>
      <c r="D52" s="26"/>
      <c r="E52" s="44" t="s">
        <v>457</v>
      </c>
      <c r="F52" s="424">
        <f>SUM('0664:4131'!F51)</f>
        <v>138604579.31999996</v>
      </c>
      <c r="G52" s="110" t="s">
        <v>6</v>
      </c>
      <c r="H52" s="425">
        <f>'0664'!H51</f>
        <v>4.5199999999999997E-2</v>
      </c>
      <c r="I52" s="102">
        <f>SUM('0664:4131'!I51)</f>
        <v>6264927</v>
      </c>
    </row>
    <row r="53" spans="1:9" x14ac:dyDescent="0.25">
      <c r="A53" s="26"/>
      <c r="B53" s="82" t="s">
        <v>458</v>
      </c>
      <c r="C53" s="26"/>
      <c r="D53" s="26"/>
      <c r="E53" s="44" t="s">
        <v>457</v>
      </c>
      <c r="F53" s="424">
        <f>SUM('0664:4131'!F52)</f>
        <v>138604579.31999996</v>
      </c>
      <c r="G53" s="110" t="s">
        <v>6</v>
      </c>
      <c r="H53" s="425">
        <f>'0664'!H52</f>
        <v>1.41E-2</v>
      </c>
      <c r="I53" s="95">
        <f>SUM('0664:4131'!I52)</f>
        <v>1954324.5599999996</v>
      </c>
    </row>
    <row r="54" spans="1:9" x14ac:dyDescent="0.25">
      <c r="A54" s="26"/>
      <c r="B54" s="82" t="s">
        <v>459</v>
      </c>
      <c r="C54" s="26"/>
      <c r="D54" s="26"/>
      <c r="E54" s="44"/>
      <c r="F54" s="424"/>
      <c r="G54" s="110"/>
      <c r="H54" s="425"/>
      <c r="I54" s="98">
        <f>SUM(I52:I53)</f>
        <v>8219251.5599999996</v>
      </c>
    </row>
    <row r="55" spans="1:9" x14ac:dyDescent="0.25">
      <c r="A55" s="26"/>
      <c r="B55" s="26"/>
      <c r="C55" s="26"/>
      <c r="D55" s="26"/>
      <c r="E55" s="26"/>
      <c r="F55" s="34"/>
      <c r="G55" s="27"/>
      <c r="H55" s="27"/>
      <c r="I55" s="102"/>
    </row>
    <row r="56" spans="1:9" x14ac:dyDescent="0.25">
      <c r="A56" s="423" t="s">
        <v>460</v>
      </c>
    </row>
    <row r="57" spans="1:9" x14ac:dyDescent="0.25">
      <c r="A57" s="585" t="s">
        <v>462</v>
      </c>
      <c r="B57" s="586"/>
      <c r="C57" s="113">
        <f>SUM('0664:4131'!C56)</f>
        <v>22435.93</v>
      </c>
      <c r="D57" s="593" t="s">
        <v>476</v>
      </c>
      <c r="E57" s="593"/>
      <c r="F57" s="593"/>
      <c r="G57" s="593"/>
      <c r="H57" s="305">
        <f>'0664'!H56</f>
        <v>203305.63</v>
      </c>
      <c r="I57" s="114"/>
    </row>
    <row r="58" spans="1:9" x14ac:dyDescent="0.25">
      <c r="B58" s="70"/>
      <c r="G58" s="42" t="s">
        <v>12</v>
      </c>
      <c r="H58" s="115">
        <f>ROUND(C57/H57,6)</f>
        <v>0.110356</v>
      </c>
      <c r="I58" s="116"/>
    </row>
    <row r="59" spans="1:9" x14ac:dyDescent="0.25">
      <c r="A59" s="423" t="s">
        <v>461</v>
      </c>
    </row>
    <row r="60" spans="1:9" x14ac:dyDescent="0.25">
      <c r="A60" s="585" t="s">
        <v>463</v>
      </c>
      <c r="B60" s="586"/>
      <c r="C60" s="437">
        <f>SUM('0664:4131'!C59)</f>
        <v>25825.788200000006</v>
      </c>
      <c r="D60" s="593" t="s">
        <v>477</v>
      </c>
      <c r="E60" s="593"/>
      <c r="F60" s="593"/>
      <c r="G60" s="593"/>
      <c r="H60" s="306">
        <f>'0664'!H59</f>
        <v>227540.36</v>
      </c>
      <c r="I60" s="117"/>
    </row>
    <row r="61" spans="1:9" x14ac:dyDescent="0.25">
      <c r="G61" s="42" t="s">
        <v>12</v>
      </c>
      <c r="H61" s="115">
        <f>ROUND(C60/H60,6)</f>
        <v>0.1135</v>
      </c>
      <c r="I61" s="115"/>
    </row>
    <row r="62" spans="1:9" x14ac:dyDescent="0.25">
      <c r="A62" s="441" t="s">
        <v>474</v>
      </c>
      <c r="B62" s="438"/>
      <c r="C62" s="438"/>
      <c r="D62" s="438"/>
      <c r="E62" s="438"/>
      <c r="F62" s="438"/>
      <c r="G62" s="438"/>
      <c r="H62" s="438"/>
      <c r="I62" s="438"/>
    </row>
    <row r="63" spans="1:9" x14ac:dyDescent="0.25">
      <c r="A63" s="585" t="s">
        <v>464</v>
      </c>
      <c r="B63" s="586"/>
      <c r="C63" s="113">
        <f>SUM('0664:4131'!C62)</f>
        <v>22435.93</v>
      </c>
      <c r="D63" s="590" t="s">
        <v>478</v>
      </c>
      <c r="E63" s="590"/>
      <c r="F63" s="590"/>
      <c r="G63" s="590"/>
      <c r="H63" s="305">
        <f>'0664'!H62</f>
        <v>186907.73</v>
      </c>
      <c r="I63" s="114"/>
    </row>
    <row r="64" spans="1:9" x14ac:dyDescent="0.25">
      <c r="B64" s="70"/>
      <c r="G64" s="42" t="s">
        <v>12</v>
      </c>
      <c r="H64" s="115">
        <f>ROUND(C63/H63,6)</f>
        <v>0.120037</v>
      </c>
      <c r="I64" s="116"/>
    </row>
    <row r="65" spans="1:9" x14ac:dyDescent="0.25">
      <c r="A65" s="441" t="s">
        <v>475</v>
      </c>
      <c r="B65" s="438"/>
      <c r="C65" s="438"/>
      <c r="D65" s="438"/>
      <c r="E65" s="438"/>
      <c r="F65" s="438"/>
      <c r="G65" s="438"/>
      <c r="H65" s="438"/>
      <c r="I65" s="438"/>
    </row>
    <row r="66" spans="1:9" x14ac:dyDescent="0.25">
      <c r="A66" s="585" t="s">
        <v>464</v>
      </c>
      <c r="B66" s="586"/>
      <c r="C66" s="113">
        <f>SUM('0664:4131'!C65)</f>
        <v>22435.93</v>
      </c>
      <c r="D66" s="606" t="s">
        <v>479</v>
      </c>
      <c r="E66" s="606"/>
      <c r="F66" s="606"/>
      <c r="G66" s="606"/>
      <c r="H66" s="305">
        <f>'0664'!H65</f>
        <v>203080.55</v>
      </c>
      <c r="I66" s="114"/>
    </row>
    <row r="67" spans="1:9" x14ac:dyDescent="0.25">
      <c r="B67" s="70"/>
      <c r="G67" s="42" t="s">
        <v>12</v>
      </c>
      <c r="H67" s="115">
        <f>ROUND(C66/H66,6)</f>
        <v>0.11047800000000001</v>
      </c>
      <c r="I67" s="116"/>
    </row>
    <row r="68" spans="1:9" x14ac:dyDescent="0.25">
      <c r="A68" s="441" t="s">
        <v>473</v>
      </c>
      <c r="B68" s="438"/>
      <c r="C68" s="438"/>
      <c r="D68" s="438"/>
      <c r="E68" s="438"/>
      <c r="F68" s="438"/>
      <c r="G68" s="438"/>
      <c r="H68" s="438"/>
      <c r="I68" s="438"/>
    </row>
    <row r="69" spans="1:9" x14ac:dyDescent="0.25">
      <c r="A69" s="585" t="s">
        <v>472</v>
      </c>
      <c r="B69" s="586"/>
      <c r="C69" s="113">
        <f>SUM('0664:4131'!C68)</f>
        <v>22435.93</v>
      </c>
      <c r="D69" s="590" t="s">
        <v>480</v>
      </c>
      <c r="E69" s="590"/>
      <c r="F69" s="590"/>
      <c r="G69" s="590"/>
      <c r="H69" s="305">
        <f>'0664'!H68</f>
        <v>186682.65</v>
      </c>
      <c r="I69" s="114"/>
    </row>
    <row r="70" spans="1:9" x14ac:dyDescent="0.25">
      <c r="B70" s="70"/>
      <c r="G70" s="42" t="s">
        <v>12</v>
      </c>
      <c r="H70" s="115">
        <f>ROUND(C69/H69,6)</f>
        <v>0.120182</v>
      </c>
      <c r="I70" s="116"/>
    </row>
    <row r="71" spans="1:9" x14ac:dyDescent="0.25">
      <c r="A71" s="255"/>
      <c r="G71" s="42"/>
      <c r="H71" s="115"/>
      <c r="I71" s="115"/>
    </row>
    <row r="72" spans="1:9" x14ac:dyDescent="0.25">
      <c r="A72" s="423" t="s">
        <v>488</v>
      </c>
      <c r="D72" s="70"/>
      <c r="E72" s="44" t="s">
        <v>319</v>
      </c>
      <c r="F72" s="307">
        <f>'0664'!F71</f>
        <v>44665536</v>
      </c>
      <c r="G72" s="37" t="s">
        <v>6</v>
      </c>
      <c r="H72" s="457">
        <f>H67</f>
        <v>0.11047800000000001</v>
      </c>
      <c r="I72" s="102">
        <f>SUM('0664:4131'!I71)</f>
        <v>4934335.7799999993</v>
      </c>
    </row>
    <row r="73" spans="1:9" x14ac:dyDescent="0.25">
      <c r="A73" s="423"/>
      <c r="D73" s="70"/>
      <c r="E73" s="44"/>
      <c r="F73" s="307"/>
      <c r="G73" s="37"/>
      <c r="H73" s="457"/>
      <c r="I73" s="102"/>
    </row>
    <row r="74" spans="1:9" x14ac:dyDescent="0.25">
      <c r="A74" s="598" t="s">
        <v>489</v>
      </c>
      <c r="B74" s="586"/>
      <c r="C74" s="586"/>
      <c r="D74" s="70"/>
      <c r="E74" s="44"/>
      <c r="F74" s="291"/>
      <c r="G74" s="37"/>
      <c r="H74" s="457"/>
      <c r="I74" s="102"/>
    </row>
    <row r="75" spans="1:9" ht="15.75" customHeight="1" x14ac:dyDescent="0.25">
      <c r="A75" s="598" t="s">
        <v>110</v>
      </c>
      <c r="B75" s="586"/>
      <c r="C75" s="586"/>
      <c r="D75" s="70"/>
      <c r="E75" s="44" t="s">
        <v>3</v>
      </c>
      <c r="F75" s="307">
        <f>'0664'!F74</f>
        <v>0</v>
      </c>
      <c r="G75" s="37" t="s">
        <v>6</v>
      </c>
      <c r="H75" s="457">
        <f>H58</f>
        <v>0.110356</v>
      </c>
      <c r="I75" s="102">
        <f>SUM('0664:4131'!I74)</f>
        <v>0</v>
      </c>
    </row>
    <row r="76" spans="1:9" ht="15.75" customHeight="1" x14ac:dyDescent="0.25">
      <c r="A76" s="471"/>
      <c r="B76" s="70"/>
      <c r="C76" s="70"/>
      <c r="D76" s="70"/>
      <c r="E76" s="44"/>
      <c r="F76" s="307"/>
      <c r="G76" s="37"/>
      <c r="H76" s="457"/>
      <c r="I76" s="102"/>
    </row>
    <row r="77" spans="1:9" x14ac:dyDescent="0.25">
      <c r="A77" s="423" t="s">
        <v>491</v>
      </c>
      <c r="D77" s="70"/>
      <c r="E77" s="44" t="s">
        <v>492</v>
      </c>
      <c r="F77" s="307">
        <f>'0664'!F76</f>
        <v>16167052</v>
      </c>
      <c r="G77" s="37" t="s">
        <v>6</v>
      </c>
      <c r="H77" s="457">
        <f>H70</f>
        <v>0.120182</v>
      </c>
      <c r="I77" s="102">
        <f>SUM('0664:4131'!I76)</f>
        <v>1942956.32</v>
      </c>
    </row>
    <row r="78" spans="1:9" x14ac:dyDescent="0.25">
      <c r="A78" s="423"/>
      <c r="D78" s="70"/>
      <c r="E78" s="44"/>
      <c r="F78" s="307"/>
      <c r="G78" s="37"/>
      <c r="H78" s="457"/>
      <c r="I78" s="102"/>
    </row>
    <row r="79" spans="1:9" x14ac:dyDescent="0.25">
      <c r="A79" s="82" t="s">
        <v>493</v>
      </c>
      <c r="D79" s="70"/>
      <c r="E79" s="44" t="s">
        <v>3</v>
      </c>
      <c r="F79" s="307">
        <f>'0664'!F78</f>
        <v>10040099</v>
      </c>
      <c r="G79" s="37" t="s">
        <v>6</v>
      </c>
      <c r="H79" s="457">
        <f>H64</f>
        <v>0.120037</v>
      </c>
      <c r="I79" s="102">
        <f>SUM('0664:4131'!I78)</f>
        <v>1205183.3599999996</v>
      </c>
    </row>
    <row r="80" spans="1:9" x14ac:dyDescent="0.25">
      <c r="A80" s="82"/>
      <c r="D80" s="70"/>
      <c r="E80" s="44"/>
      <c r="F80" s="307"/>
      <c r="G80" s="37"/>
      <c r="H80" s="457"/>
      <c r="I80" s="102"/>
    </row>
    <row r="81" spans="1:9" x14ac:dyDescent="0.25">
      <c r="A81" s="82" t="s">
        <v>494</v>
      </c>
      <c r="D81" s="70"/>
      <c r="E81" s="44" t="s">
        <v>495</v>
      </c>
      <c r="F81" s="291"/>
      <c r="G81" s="37"/>
      <c r="H81" s="121"/>
      <c r="I81" s="102"/>
    </row>
    <row r="82" spans="1:9" x14ac:dyDescent="0.25">
      <c r="A82" s="82"/>
      <c r="B82" s="3" t="s">
        <v>496</v>
      </c>
      <c r="D82" s="70"/>
      <c r="E82" s="44"/>
      <c r="F82" s="117">
        <f>SUM('0664:4131'!F81)</f>
        <v>2996.8199999999997</v>
      </c>
      <c r="G82" s="37"/>
      <c r="H82" s="121"/>
      <c r="I82" s="102"/>
    </row>
    <row r="83" spans="1:9" x14ac:dyDescent="0.25">
      <c r="A83" s="82"/>
      <c r="B83" s="82" t="s">
        <v>498</v>
      </c>
      <c r="D83" s="70"/>
      <c r="E83" s="44"/>
      <c r="F83" s="444">
        <f>SUM('0664:4131'!F82)</f>
        <v>0</v>
      </c>
      <c r="G83" s="37"/>
      <c r="H83" s="446" t="s">
        <v>499</v>
      </c>
      <c r="I83" s="102"/>
    </row>
    <row r="84" spans="1:9" x14ac:dyDescent="0.25">
      <c r="A84" s="82"/>
      <c r="B84" s="3" t="s">
        <v>497</v>
      </c>
      <c r="D84" s="70"/>
      <c r="E84" s="44"/>
      <c r="F84" s="117">
        <f>F82-F83</f>
        <v>2996.8199999999997</v>
      </c>
      <c r="G84" s="37" t="s">
        <v>6</v>
      </c>
      <c r="H84" s="448">
        <f>'0664'!H83</f>
        <v>1951.26</v>
      </c>
      <c r="I84" s="102">
        <f>SUM('0664:4131'!I83)</f>
        <v>5847574.9800000004</v>
      </c>
    </row>
    <row r="85" spans="1:9" x14ac:dyDescent="0.25">
      <c r="A85" s="82"/>
      <c r="D85" s="70"/>
      <c r="E85" s="44"/>
      <c r="F85" s="117"/>
      <c r="G85" s="37"/>
      <c r="H85" s="448"/>
      <c r="I85" s="102"/>
    </row>
    <row r="86" spans="1:9" x14ac:dyDescent="0.25">
      <c r="A86" s="585" t="s">
        <v>500</v>
      </c>
      <c r="B86" s="586"/>
      <c r="C86" s="586"/>
      <c r="D86" s="70"/>
      <c r="E86" s="44" t="s">
        <v>4</v>
      </c>
      <c r="F86" s="307">
        <f>'0664'!F85</f>
        <v>234388431</v>
      </c>
      <c r="G86" s="37" t="s">
        <v>6</v>
      </c>
      <c r="H86" s="457">
        <f>H61</f>
        <v>0.1135</v>
      </c>
      <c r="I86" s="102">
        <f>SUM('0664:4131'!I85)</f>
        <v>26603555.710000005</v>
      </c>
    </row>
    <row r="87" spans="1:9" x14ac:dyDescent="0.25">
      <c r="A87" s="82"/>
      <c r="B87" s="70"/>
      <c r="C87" s="70"/>
      <c r="D87" s="70"/>
      <c r="E87" s="44"/>
      <c r="F87" s="307"/>
      <c r="G87" s="37"/>
      <c r="H87" s="457"/>
      <c r="I87" s="102"/>
    </row>
    <row r="88" spans="1:9" x14ac:dyDescent="0.25">
      <c r="A88" s="585" t="s">
        <v>501</v>
      </c>
      <c r="B88" s="586"/>
      <c r="C88" s="586"/>
      <c r="D88" s="70"/>
      <c r="E88" s="44" t="s">
        <v>4</v>
      </c>
      <c r="F88" s="307">
        <f>'0664'!F87</f>
        <v>0</v>
      </c>
      <c r="G88" s="37" t="s">
        <v>6</v>
      </c>
      <c r="H88" s="457">
        <f>H61</f>
        <v>0.1135</v>
      </c>
      <c r="I88" s="102">
        <f>SUM('0664:4131'!I87)</f>
        <v>0</v>
      </c>
    </row>
    <row r="89" spans="1:9" x14ac:dyDescent="0.25">
      <c r="A89" s="82"/>
      <c r="B89" s="70"/>
      <c r="C89" s="70"/>
      <c r="D89" s="70"/>
      <c r="E89" s="44"/>
      <c r="F89" s="307"/>
      <c r="G89" s="37"/>
      <c r="H89" s="457"/>
      <c r="I89" s="102"/>
    </row>
    <row r="90" spans="1:9" x14ac:dyDescent="0.25">
      <c r="A90" s="423" t="s">
        <v>502</v>
      </c>
    </row>
    <row r="91" spans="1:9" x14ac:dyDescent="0.25">
      <c r="B91" s="70"/>
      <c r="C91" s="591" t="s">
        <v>62</v>
      </c>
      <c r="D91" s="591"/>
      <c r="E91" s="70"/>
      <c r="F91" s="39" t="s">
        <v>28</v>
      </c>
      <c r="G91" s="70"/>
      <c r="H91" s="70"/>
      <c r="I91" s="70"/>
    </row>
    <row r="92" spans="1:9" x14ac:dyDescent="0.25">
      <c r="A92" s="3"/>
      <c r="B92" s="125"/>
      <c r="C92" s="592" t="s">
        <v>113</v>
      </c>
      <c r="D92" s="592"/>
      <c r="E92" s="126" t="s">
        <v>503</v>
      </c>
      <c r="F92" s="127" t="s">
        <v>118</v>
      </c>
      <c r="G92" s="128"/>
      <c r="H92" s="128"/>
      <c r="I92" s="128"/>
    </row>
    <row r="93" spans="1:9" x14ac:dyDescent="0.25">
      <c r="A93" s="26"/>
      <c r="B93" s="53" t="s">
        <v>117</v>
      </c>
      <c r="C93" s="597">
        <f>SUM('0664:4131'!C92)</f>
        <v>8065.2357000000002</v>
      </c>
      <c r="D93" s="597">
        <f>SUM('0664:4131'!D92)</f>
        <v>0</v>
      </c>
      <c r="E93" s="47">
        <f>'0664'!E92</f>
        <v>1.0442</v>
      </c>
      <c r="F93" s="308">
        <f>'0664'!F92</f>
        <v>947.59</v>
      </c>
      <c r="G93" s="39" t="s">
        <v>12</v>
      </c>
      <c r="H93" s="102">
        <f>SUM('0664:4131'!H92)</f>
        <v>7980336.8099999987</v>
      </c>
      <c r="I93" s="105"/>
    </row>
    <row r="94" spans="1:9" x14ac:dyDescent="0.25">
      <c r="A94" s="50"/>
      <c r="B94" s="50" t="s">
        <v>116</v>
      </c>
      <c r="C94" s="597">
        <f>SUM('0664:4131'!C93)</f>
        <v>10208.3578</v>
      </c>
      <c r="D94" s="597">
        <f>SUM('0664:4131'!D93)</f>
        <v>0</v>
      </c>
      <c r="E94" s="47">
        <f>'0664'!E93</f>
        <v>1.0442</v>
      </c>
      <c r="F94" s="308">
        <f>'0664'!F93</f>
        <v>904.74</v>
      </c>
      <c r="G94" s="39" t="s">
        <v>12</v>
      </c>
      <c r="H94" s="102">
        <f>SUM('0664:4131'!H93)</f>
        <v>9644136.8400000017</v>
      </c>
    </row>
    <row r="95" spans="1:9" x14ac:dyDescent="0.25">
      <c r="A95" s="53"/>
      <c r="B95" s="53" t="s">
        <v>115</v>
      </c>
      <c r="C95" s="597">
        <f>SUM('0664:4131'!C94)</f>
        <v>7552.1947000000018</v>
      </c>
      <c r="D95" s="597">
        <f>SUM('0664:4131'!D94)</f>
        <v>0</v>
      </c>
      <c r="E95" s="47">
        <f>'0664'!E94</f>
        <v>1.0442</v>
      </c>
      <c r="F95" s="308">
        <f>'0664'!F94</f>
        <v>906.93</v>
      </c>
      <c r="G95" s="39" t="s">
        <v>12</v>
      </c>
      <c r="H95" s="95">
        <f>SUM('0664:4131'!H94)</f>
        <v>7152051.5399999991</v>
      </c>
    </row>
    <row r="96" spans="1:9" ht="16.5" thickBot="1" x14ac:dyDescent="0.3">
      <c r="A96" s="56"/>
      <c r="B96" s="129" t="s">
        <v>114</v>
      </c>
      <c r="C96" s="601">
        <f>SUM(C93:C95)</f>
        <v>25825.788200000003</v>
      </c>
      <c r="D96" s="601"/>
      <c r="E96" s="130"/>
      <c r="F96" s="130"/>
      <c r="G96" s="130"/>
      <c r="H96" s="131" t="s">
        <v>112</v>
      </c>
      <c r="I96" s="102">
        <f>SUM('0664:4131'!I95)</f>
        <v>24776525.190000005</v>
      </c>
    </row>
    <row r="97" spans="1:9" ht="16.5" thickTop="1" x14ac:dyDescent="0.25">
      <c r="A97" s="594" t="s">
        <v>68</v>
      </c>
      <c r="B97" s="594"/>
      <c r="C97" s="594"/>
      <c r="D97" s="594"/>
      <c r="E97" s="594"/>
      <c r="F97" s="594"/>
      <c r="G97" s="594"/>
      <c r="H97" s="594"/>
      <c r="I97" s="594"/>
    </row>
    <row r="98" spans="1:9" x14ac:dyDescent="0.25">
      <c r="A98" s="472"/>
      <c r="B98" s="472"/>
      <c r="C98" s="472"/>
      <c r="D98" s="472"/>
      <c r="E98" s="472"/>
      <c r="F98" s="472"/>
      <c r="G98" s="472"/>
      <c r="H98" s="472"/>
      <c r="I98" s="472"/>
    </row>
    <row r="99" spans="1:9" x14ac:dyDescent="0.25">
      <c r="A99" s="82" t="s">
        <v>507</v>
      </c>
      <c r="C99" s="44"/>
      <c r="D99" s="70"/>
      <c r="E99" s="44" t="s">
        <v>32</v>
      </c>
      <c r="F99" s="595"/>
      <c r="G99" s="595"/>
      <c r="H99" s="595"/>
      <c r="I99" s="595"/>
    </row>
    <row r="100" spans="1:9" x14ac:dyDescent="0.25">
      <c r="B100" s="70"/>
      <c r="C100" s="89" t="s">
        <v>412</v>
      </c>
      <c r="D100" s="351" t="s">
        <v>413</v>
      </c>
      <c r="E100" s="90" t="s">
        <v>120</v>
      </c>
      <c r="F100" s="44"/>
      <c r="G100" s="44"/>
      <c r="H100" s="44"/>
      <c r="I100" s="44"/>
    </row>
    <row r="101" spans="1:9" x14ac:dyDescent="0.25">
      <c r="B101" s="70"/>
      <c r="C101" s="342" t="s">
        <v>2</v>
      </c>
      <c r="D101" s="342" t="s">
        <v>2</v>
      </c>
      <c r="E101" s="91" t="s">
        <v>2</v>
      </c>
      <c r="F101" s="44"/>
      <c r="G101" s="44"/>
      <c r="H101" s="44"/>
      <c r="I101" s="44"/>
    </row>
    <row r="102" spans="1:9" x14ac:dyDescent="0.25">
      <c r="A102" s="590" t="s">
        <v>435</v>
      </c>
      <c r="B102" s="596"/>
      <c r="C102" s="151">
        <f>SUM('0664:4131'!C101)</f>
        <v>3524</v>
      </c>
      <c r="D102" s="151">
        <f>SUM('0664:4131'!D101)</f>
        <v>3413</v>
      </c>
      <c r="E102" s="117">
        <f>SUM('0664:4131'!E101)</f>
        <v>3468.5</v>
      </c>
      <c r="F102" s="134" t="s">
        <v>30</v>
      </c>
      <c r="G102" s="309">
        <f>'0664'!G101</f>
        <v>565</v>
      </c>
      <c r="I102" s="102">
        <f>SUM('0664:4131'!I101)</f>
        <v>1959702.5</v>
      </c>
    </row>
    <row r="103" spans="1:9" x14ac:dyDescent="0.25">
      <c r="A103" s="590" t="s">
        <v>436</v>
      </c>
      <c r="B103" s="596"/>
      <c r="C103" s="151">
        <f>SUM('0664:4131'!C102)</f>
        <v>5</v>
      </c>
      <c r="D103" s="151">
        <f>SUM('0664:4131'!D102)</f>
        <v>1</v>
      </c>
      <c r="E103" s="117">
        <f>SUM('0664:4131'!E102)</f>
        <v>3</v>
      </c>
      <c r="F103" s="134" t="s">
        <v>30</v>
      </c>
      <c r="G103" s="309">
        <f>'0664'!G102</f>
        <v>1762</v>
      </c>
      <c r="I103" s="102">
        <f>SUM('0664:4131'!I102)</f>
        <v>5286</v>
      </c>
    </row>
    <row r="104" spans="1:9" hidden="1" x14ac:dyDescent="0.25">
      <c r="A104" s="135"/>
      <c r="B104" s="135"/>
      <c r="C104" s="66"/>
      <c r="D104" s="66"/>
      <c r="E104" s="66"/>
      <c r="F104" s="66"/>
      <c r="G104" s="136"/>
      <c r="H104" s="137"/>
      <c r="I104" s="102"/>
    </row>
    <row r="105" spans="1:9" x14ac:dyDescent="0.25">
      <c r="A105" s="135"/>
      <c r="B105" s="135"/>
      <c r="C105" s="66"/>
      <c r="D105" s="66"/>
      <c r="E105" s="66"/>
      <c r="F105" s="66"/>
      <c r="G105" s="136"/>
      <c r="H105" s="137"/>
      <c r="I105" s="102"/>
    </row>
    <row r="106" spans="1:9" ht="15.75" hidden="1" customHeight="1" x14ac:dyDescent="0.25">
      <c r="A106" s="585" t="s">
        <v>508</v>
      </c>
      <c r="B106" s="586"/>
      <c r="C106" s="586"/>
      <c r="D106" s="70"/>
      <c r="E106" s="39" t="s">
        <v>320</v>
      </c>
      <c r="F106" s="591"/>
      <c r="G106" s="591"/>
      <c r="H106" s="591"/>
      <c r="I106" s="591"/>
    </row>
    <row r="107" spans="1:9" hidden="1" x14ac:dyDescent="0.25">
      <c r="B107" s="70"/>
      <c r="C107" s="592" t="s">
        <v>69</v>
      </c>
      <c r="D107" s="592"/>
      <c r="E107" s="592"/>
      <c r="F107" s="37"/>
      <c r="G107" s="37"/>
      <c r="H107" s="39" t="s">
        <v>121</v>
      </c>
      <c r="I107" s="37"/>
    </row>
    <row r="108" spans="1:9" hidden="1" x14ac:dyDescent="0.25">
      <c r="B108" s="70"/>
      <c r="C108" s="89" t="str">
        <f>C100</f>
        <v>Oct 2022</v>
      </c>
      <c r="D108" s="89" t="str">
        <f>D100</f>
        <v>Feb 2023</v>
      </c>
      <c r="E108" s="145" t="s">
        <v>8</v>
      </c>
      <c r="F108" s="593" t="s">
        <v>122</v>
      </c>
      <c r="G108" s="591"/>
      <c r="H108" s="37" t="s">
        <v>29</v>
      </c>
      <c r="I108" s="37"/>
    </row>
    <row r="109" spans="1:9" ht="15.75" hidden="1" customHeight="1" x14ac:dyDescent="0.25">
      <c r="A109" s="592" t="s">
        <v>72</v>
      </c>
      <c r="B109" s="592"/>
      <c r="C109" s="91" t="s">
        <v>2</v>
      </c>
      <c r="D109" s="91" t="s">
        <v>2</v>
      </c>
      <c r="E109" s="60" t="s">
        <v>2</v>
      </c>
      <c r="F109" s="592" t="s">
        <v>28</v>
      </c>
      <c r="G109" s="592"/>
      <c r="H109" s="60" t="s">
        <v>28</v>
      </c>
      <c r="I109" s="60" t="s">
        <v>8</v>
      </c>
    </row>
    <row r="110" spans="1:9" ht="15.75" hidden="1" customHeight="1" x14ac:dyDescent="0.25">
      <c r="A110" s="599" t="s">
        <v>58</v>
      </c>
      <c r="B110" s="599"/>
      <c r="C110" s="149">
        <v>0</v>
      </c>
      <c r="D110" s="149">
        <v>0</v>
      </c>
      <c r="E110" s="196">
        <f>IF(D31=0,C110*2,C110+D110)</f>
        <v>0</v>
      </c>
      <c r="F110" s="600">
        <v>0</v>
      </c>
      <c r="G110" s="600"/>
      <c r="H110" s="234">
        <f>IF(C110=0,0,125)</f>
        <v>0</v>
      </c>
      <c r="I110" s="102">
        <f>ROUND((H110+F110)*E110,2)</f>
        <v>0</v>
      </c>
    </row>
    <row r="111" spans="1:9" ht="15.75" hidden="1" customHeight="1" x14ac:dyDescent="0.25">
      <c r="A111" s="587" t="s">
        <v>59</v>
      </c>
      <c r="B111" s="587"/>
      <c r="C111" s="151">
        <v>0</v>
      </c>
      <c r="D111" s="151">
        <v>0</v>
      </c>
      <c r="E111" s="117">
        <f>IF(D32=0,C111*2,C111+D111)</f>
        <v>0</v>
      </c>
      <c r="F111" s="588">
        <f>ROUND(F110/2,2)</f>
        <v>0</v>
      </c>
      <c r="G111" s="588"/>
      <c r="H111" s="234">
        <f>IF(C111=0,0,62.5)</f>
        <v>0</v>
      </c>
      <c r="I111" s="102">
        <f>ROUND((H111+F111)*E111,2)</f>
        <v>0</v>
      </c>
    </row>
    <row r="112" spans="1:9" ht="15.75" hidden="1" customHeight="1" x14ac:dyDescent="0.25">
      <c r="A112" s="587" t="s">
        <v>60</v>
      </c>
      <c r="B112" s="587"/>
      <c r="C112" s="151">
        <v>0</v>
      </c>
      <c r="D112" s="151">
        <v>0</v>
      </c>
      <c r="E112" s="117">
        <f>IF(D33=0,C112*2,C112+D112)</f>
        <v>0</v>
      </c>
      <c r="F112" s="589"/>
      <c r="G112" s="589"/>
      <c r="H112" s="235">
        <f>IF(H110&gt;0,436,0)</f>
        <v>0</v>
      </c>
      <c r="I112" s="102">
        <f>ROUND(H112*E112,2)</f>
        <v>0</v>
      </c>
    </row>
    <row r="113" spans="1:10" ht="16.5" hidden="1" customHeight="1" x14ac:dyDescent="0.25">
      <c r="A113" s="591" t="s">
        <v>8</v>
      </c>
      <c r="B113" s="591"/>
      <c r="C113" s="66"/>
      <c r="D113" s="66"/>
      <c r="E113" s="66"/>
      <c r="F113" s="66"/>
      <c r="G113" s="66"/>
      <c r="H113" s="66"/>
      <c r="I113" s="98">
        <f>SUM(I110:I112)</f>
        <v>0</v>
      </c>
    </row>
    <row r="114" spans="1:10" hidden="1" x14ac:dyDescent="0.25">
      <c r="A114" s="37"/>
      <c r="B114" s="37"/>
      <c r="C114" s="66"/>
      <c r="D114" s="66"/>
      <c r="E114" s="66"/>
      <c r="F114" s="66"/>
      <c r="G114" s="66"/>
      <c r="H114" s="66"/>
      <c r="I114" s="102"/>
    </row>
    <row r="115" spans="1:10" x14ac:dyDescent="0.25">
      <c r="A115" s="585" t="s">
        <v>510</v>
      </c>
      <c r="B115" s="586"/>
      <c r="C115" s="586"/>
      <c r="D115" s="70"/>
      <c r="E115" s="69" t="s">
        <v>34</v>
      </c>
      <c r="F115" s="583"/>
      <c r="G115" s="583"/>
      <c r="H115" s="583"/>
      <c r="I115" s="163">
        <f>SUM('0664:4131'!I114)</f>
        <v>0</v>
      </c>
    </row>
    <row r="116" spans="1:10" x14ac:dyDescent="0.25">
      <c r="B116" s="70"/>
      <c r="C116" s="70"/>
      <c r="D116" s="70"/>
      <c r="E116" s="69"/>
      <c r="F116" s="69"/>
      <c r="G116" s="69"/>
      <c r="H116" s="69"/>
      <c r="I116" s="117"/>
    </row>
    <row r="117" spans="1:10" x14ac:dyDescent="0.25">
      <c r="A117" s="584" t="s">
        <v>8</v>
      </c>
      <c r="B117" s="584"/>
      <c r="C117" s="584"/>
      <c r="D117" s="584"/>
      <c r="E117" s="584"/>
      <c r="F117" s="584"/>
      <c r="G117" s="584"/>
      <c r="H117" s="584"/>
      <c r="I117" s="95">
        <f>SUM('0664:4131'!I116)</f>
        <v>214098950.72000003</v>
      </c>
      <c r="J117" s="264"/>
    </row>
    <row r="118" spans="1:10" x14ac:dyDescent="0.25">
      <c r="A118" s="26"/>
      <c r="B118" s="26"/>
      <c r="C118" s="26"/>
      <c r="D118" s="26"/>
      <c r="E118" s="26"/>
      <c r="F118" s="26"/>
      <c r="G118" s="26"/>
      <c r="H118" s="26"/>
      <c r="I118" s="102"/>
      <c r="J118" s="264"/>
    </row>
    <row r="119" spans="1:10" x14ac:dyDescent="0.25">
      <c r="A119" s="82" t="s">
        <v>511</v>
      </c>
      <c r="B119" s="26"/>
      <c r="C119" s="26"/>
      <c r="D119" s="26"/>
      <c r="E119" s="26"/>
      <c r="F119" s="26"/>
      <c r="G119" s="26"/>
      <c r="H119" s="26"/>
      <c r="I119" s="102">
        <f>SUM('0664:4131'!I118)</f>
        <v>205879699.16</v>
      </c>
      <c r="J119" s="264"/>
    </row>
    <row r="120" spans="1:10" x14ac:dyDescent="0.25">
      <c r="A120" s="26"/>
      <c r="B120" s="26"/>
      <c r="C120" s="26"/>
      <c r="D120" s="26"/>
      <c r="E120" s="26"/>
      <c r="F120" s="26"/>
      <c r="G120" s="26"/>
      <c r="H120" s="26"/>
      <c r="I120" s="102"/>
      <c r="J120" s="264"/>
    </row>
    <row r="121" spans="1:10" x14ac:dyDescent="0.25">
      <c r="A121" s="585" t="s">
        <v>414</v>
      </c>
      <c r="B121" s="586"/>
      <c r="C121" s="586"/>
      <c r="D121" s="586"/>
      <c r="E121" s="586"/>
      <c r="F121" s="586"/>
      <c r="G121" s="586"/>
      <c r="H121" s="82" t="s">
        <v>355</v>
      </c>
      <c r="I121" s="142"/>
      <c r="J121" s="264"/>
    </row>
    <row r="122" spans="1:10" x14ac:dyDescent="0.25">
      <c r="A122" s="586" t="s">
        <v>73</v>
      </c>
      <c r="B122" s="586"/>
      <c r="C122" s="586"/>
      <c r="D122" s="586"/>
      <c r="E122" s="586"/>
      <c r="F122" s="586"/>
      <c r="G122" s="586"/>
      <c r="H122" s="71"/>
      <c r="I122" s="117">
        <f>SUM('0664:4131'!I121)</f>
        <v>8570712.379999999</v>
      </c>
    </row>
    <row r="123" spans="1:10" x14ac:dyDescent="0.25">
      <c r="B123" s="70"/>
      <c r="C123" s="70"/>
      <c r="D123" s="70"/>
      <c r="E123" s="70"/>
      <c r="F123" s="70"/>
      <c r="G123" s="70"/>
      <c r="H123" s="66"/>
      <c r="I123" s="102"/>
    </row>
    <row r="124" spans="1:10" x14ac:dyDescent="0.25">
      <c r="A124" s="3" t="s">
        <v>79</v>
      </c>
      <c r="B124" s="70"/>
      <c r="C124" s="70"/>
      <c r="D124" s="70"/>
      <c r="E124" s="70"/>
      <c r="F124" s="70"/>
      <c r="G124" s="271"/>
      <c r="H124" s="147">
        <f>IF(H122=1,I122,I119)</f>
        <v>205879699.16</v>
      </c>
      <c r="I124" s="95">
        <f>SUM('0664:4131'!I123)</f>
        <v>-3390569.99</v>
      </c>
    </row>
    <row r="125" spans="1:10" x14ac:dyDescent="0.25">
      <c r="B125" s="70"/>
      <c r="C125" s="70"/>
      <c r="D125" s="70"/>
      <c r="E125" s="70"/>
      <c r="F125" s="70"/>
      <c r="G125" s="70"/>
      <c r="H125" s="66"/>
      <c r="I125" s="102"/>
    </row>
    <row r="126" spans="1:10" x14ac:dyDescent="0.25">
      <c r="A126" s="327" t="s">
        <v>80</v>
      </c>
      <c r="B126" s="328"/>
      <c r="C126" s="328"/>
      <c r="D126" s="328"/>
      <c r="E126" s="328"/>
      <c r="F126" s="328"/>
      <c r="G126" s="328"/>
      <c r="H126" s="329"/>
      <c r="I126" s="330">
        <f>SUM('0664:4131'!I125)</f>
        <v>210708380.73000002</v>
      </c>
    </row>
    <row r="127" spans="1:10" x14ac:dyDescent="0.25">
      <c r="B127" s="70"/>
      <c r="C127" s="70"/>
      <c r="D127" s="70"/>
      <c r="E127" s="70"/>
      <c r="F127" s="70"/>
      <c r="G127" s="70"/>
      <c r="H127" s="66"/>
      <c r="I127" s="102"/>
    </row>
    <row r="128" spans="1:10" x14ac:dyDescent="0.25">
      <c r="A128" s="3" t="s">
        <v>81</v>
      </c>
      <c r="B128" s="70"/>
      <c r="C128" s="148"/>
      <c r="D128" s="70"/>
      <c r="F128" s="70"/>
      <c r="G128" s="70"/>
      <c r="H128" s="66"/>
      <c r="I128" s="286">
        <f>SUM('0664:4131'!I127)</f>
        <v>0</v>
      </c>
    </row>
    <row r="129" spans="1:9" x14ac:dyDescent="0.25">
      <c r="B129" s="70"/>
      <c r="C129" s="70"/>
      <c r="D129" s="70"/>
      <c r="E129" s="70"/>
      <c r="F129" s="70"/>
      <c r="G129" s="70"/>
      <c r="H129" s="66"/>
      <c r="I129" s="102"/>
    </row>
    <row r="130" spans="1:9" x14ac:dyDescent="0.25">
      <c r="A130" s="3" t="s">
        <v>265</v>
      </c>
      <c r="B130" s="70"/>
      <c r="C130" s="70"/>
      <c r="D130" s="70"/>
      <c r="E130" s="70"/>
      <c r="F130" s="70"/>
      <c r="G130" s="70"/>
      <c r="H130" s="66"/>
      <c r="I130" s="102">
        <f>SUM('0664:4131'!I129)</f>
        <v>210708380.73000002</v>
      </c>
    </row>
    <row r="131" spans="1:9" x14ac:dyDescent="0.25">
      <c r="A131" s="3"/>
      <c r="B131" s="70"/>
      <c r="C131" s="70"/>
      <c r="D131" s="70"/>
      <c r="E131" s="70"/>
      <c r="F131" s="70"/>
      <c r="G131" s="70"/>
      <c r="H131" s="66"/>
      <c r="I131" s="102"/>
    </row>
    <row r="132" spans="1:9" x14ac:dyDescent="0.25">
      <c r="A132" s="3" t="s">
        <v>266</v>
      </c>
      <c r="B132" s="70"/>
      <c r="C132" s="70"/>
      <c r="D132" s="70"/>
      <c r="E132" s="70"/>
      <c r="F132" s="70"/>
      <c r="G132" s="70"/>
      <c r="H132" s="66"/>
      <c r="I132" s="287">
        <f>'0664'!I131</f>
        <v>12</v>
      </c>
    </row>
    <row r="133" spans="1:9" x14ac:dyDescent="0.25">
      <c r="B133" s="70"/>
      <c r="C133" s="70"/>
      <c r="D133" s="70"/>
      <c r="E133" s="70"/>
      <c r="F133" s="70"/>
      <c r="G133" s="70"/>
      <c r="H133" s="66"/>
      <c r="I133" s="102"/>
    </row>
    <row r="134" spans="1:9" ht="16.5" thickBot="1" x14ac:dyDescent="0.3">
      <c r="A134" s="3" t="s">
        <v>82</v>
      </c>
      <c r="B134" s="70"/>
      <c r="C134" s="70"/>
      <c r="D134" s="70"/>
      <c r="E134" s="70"/>
      <c r="F134" s="70"/>
      <c r="G134" s="70"/>
      <c r="H134" s="66"/>
      <c r="I134" s="164">
        <f>SUM('0664:4131'!I133)</f>
        <v>17559031.779999994</v>
      </c>
    </row>
    <row r="135" spans="1:9" s="143" customFormat="1" ht="16.5" thickTop="1" x14ac:dyDescent="0.25">
      <c r="A135" s="462"/>
      <c r="B135" s="462"/>
      <c r="C135" s="463"/>
      <c r="D135" s="464"/>
      <c r="E135" s="465"/>
      <c r="F135" s="232"/>
      <c r="G135" s="466"/>
      <c r="H135" s="467"/>
      <c r="I135" s="459"/>
    </row>
    <row r="136" spans="1:9" s="143" customFormat="1" x14ac:dyDescent="0.25">
      <c r="C136" s="468"/>
      <c r="D136" s="468"/>
      <c r="E136" s="469"/>
      <c r="F136" s="42"/>
      <c r="G136" s="7"/>
      <c r="H136" s="467"/>
    </row>
    <row r="137" spans="1:9" s="143" customFormat="1" x14ac:dyDescent="0.25">
      <c r="A137" s="604"/>
      <c r="B137" s="604"/>
      <c r="C137" s="460"/>
      <c r="D137" s="460"/>
      <c r="E137" s="459"/>
      <c r="F137" s="7"/>
      <c r="G137" s="7"/>
      <c r="H137" s="461"/>
      <c r="I137" s="459"/>
    </row>
    <row r="138" spans="1:9" s="143" customFormat="1" x14ac:dyDescent="0.25">
      <c r="A138" s="604"/>
      <c r="B138" s="604"/>
      <c r="C138" s="460"/>
      <c r="D138" s="460"/>
      <c r="E138" s="459"/>
      <c r="F138" s="7"/>
      <c r="G138" s="7"/>
      <c r="H138" s="461"/>
      <c r="I138" s="459"/>
    </row>
    <row r="139" spans="1:9" s="143" customFormat="1" x14ac:dyDescent="0.25">
      <c r="A139" s="604"/>
      <c r="B139" s="604"/>
      <c r="C139" s="460"/>
      <c r="D139" s="460"/>
      <c r="E139" s="459"/>
      <c r="F139" s="7"/>
      <c r="G139" s="7"/>
      <c r="H139" s="461"/>
      <c r="I139" s="459"/>
    </row>
    <row r="140" spans="1:9" s="143" customFormat="1" x14ac:dyDescent="0.25">
      <c r="A140" s="604"/>
      <c r="B140" s="604"/>
      <c r="C140" s="460"/>
      <c r="D140" s="460"/>
      <c r="E140" s="459"/>
      <c r="F140" s="42"/>
      <c r="G140" s="7"/>
      <c r="H140" s="461"/>
      <c r="I140" s="459"/>
    </row>
    <row r="141" spans="1:9" s="143" customFormat="1" x14ac:dyDescent="0.25">
      <c r="A141" s="604"/>
      <c r="B141" s="604"/>
      <c r="C141" s="460"/>
      <c r="D141" s="460"/>
      <c r="E141" s="459"/>
      <c r="F141" s="42"/>
      <c r="G141" s="7"/>
      <c r="H141" s="461"/>
      <c r="I141" s="459"/>
    </row>
    <row r="142" spans="1:9" s="143" customFormat="1" x14ac:dyDescent="0.25">
      <c r="A142" s="604"/>
      <c r="B142" s="604"/>
      <c r="C142" s="460"/>
      <c r="D142" s="460"/>
      <c r="E142" s="459"/>
      <c r="F142" s="42"/>
      <c r="G142" s="7"/>
      <c r="H142" s="461"/>
      <c r="I142" s="459"/>
    </row>
    <row r="143" spans="1:9" s="143" customFormat="1" x14ac:dyDescent="0.25">
      <c r="A143" s="604"/>
      <c r="B143" s="604"/>
      <c r="C143" s="460"/>
      <c r="D143" s="460"/>
      <c r="E143" s="459"/>
      <c r="F143" s="42"/>
      <c r="G143" s="7"/>
      <c r="H143" s="461"/>
      <c r="I143" s="459"/>
    </row>
    <row r="144" spans="1:9" s="143" customFormat="1" x14ac:dyDescent="0.25">
      <c r="A144" s="604"/>
      <c r="B144" s="604"/>
      <c r="C144" s="460"/>
      <c r="D144" s="460"/>
      <c r="E144" s="459"/>
      <c r="F144" s="42"/>
      <c r="G144" s="7"/>
      <c r="H144" s="461"/>
      <c r="I144" s="459"/>
    </row>
    <row r="145" spans="1:9" s="143" customFormat="1" x14ac:dyDescent="0.25">
      <c r="A145" s="604"/>
      <c r="B145" s="604"/>
      <c r="C145" s="460"/>
      <c r="D145" s="460"/>
      <c r="E145" s="459"/>
      <c r="F145" s="42"/>
      <c r="G145" s="7"/>
      <c r="H145" s="461"/>
      <c r="I145" s="459"/>
    </row>
    <row r="146" spans="1:9" s="143" customFormat="1" x14ac:dyDescent="0.25">
      <c r="A146" s="605"/>
      <c r="B146" s="605"/>
      <c r="C146" s="459"/>
      <c r="D146" s="459"/>
      <c r="E146" s="459"/>
      <c r="F146" s="605"/>
      <c r="G146" s="605"/>
      <c r="H146" s="605"/>
      <c r="I146" s="459"/>
    </row>
    <row r="147" spans="1:9" x14ac:dyDescent="0.25">
      <c r="A147" s="592"/>
      <c r="B147" s="592"/>
      <c r="C147" s="592"/>
      <c r="D147" s="592"/>
      <c r="E147" s="592"/>
      <c r="F147" s="592"/>
      <c r="G147" s="592"/>
      <c r="H147" s="592"/>
      <c r="I147" s="592"/>
    </row>
    <row r="148" spans="1:9" x14ac:dyDescent="0.25">
      <c r="A148" s="585" t="s">
        <v>106</v>
      </c>
      <c r="B148" s="586"/>
      <c r="C148" s="586"/>
      <c r="D148" s="586"/>
      <c r="E148" s="586"/>
      <c r="F148" s="586"/>
      <c r="G148" s="586"/>
      <c r="H148" s="586"/>
      <c r="I148" s="586"/>
    </row>
    <row r="149" spans="1:9" x14ac:dyDescent="0.25">
      <c r="A149" s="585" t="s">
        <v>171</v>
      </c>
      <c r="B149" s="586"/>
      <c r="C149" s="233">
        <f>E30</f>
        <v>22435.93</v>
      </c>
      <c r="D149" s="593" t="s">
        <v>105</v>
      </c>
      <c r="E149" s="593"/>
      <c r="F149" s="593"/>
      <c r="G149" s="593"/>
      <c r="H149" s="127">
        <f>'0664'!H56</f>
        <v>203305.63</v>
      </c>
      <c r="I149" s="114"/>
    </row>
    <row r="150" spans="1:9" x14ac:dyDescent="0.25">
      <c r="B150" s="70"/>
      <c r="G150" s="42" t="s">
        <v>12</v>
      </c>
      <c r="H150" s="115">
        <f>ROUND(C149/H149,6)</f>
        <v>0.110356</v>
      </c>
      <c r="I150" s="116"/>
    </row>
    <row r="151" spans="1:9" x14ac:dyDescent="0.25">
      <c r="A151" s="585" t="s">
        <v>107</v>
      </c>
      <c r="B151" s="586"/>
      <c r="C151" s="586"/>
      <c r="D151" s="586"/>
      <c r="E151" s="586"/>
      <c r="F151" s="586"/>
      <c r="G151" s="586"/>
      <c r="H151" s="586"/>
      <c r="I151" s="586"/>
    </row>
    <row r="152" spans="1:9" x14ac:dyDescent="0.25">
      <c r="A152" s="585" t="s">
        <v>108</v>
      </c>
      <c r="B152" s="586"/>
      <c r="C152" s="233">
        <f>E46</f>
        <v>25825.788200000003</v>
      </c>
      <c r="D152" s="593" t="s">
        <v>109</v>
      </c>
      <c r="E152" s="593"/>
      <c r="F152" s="593"/>
      <c r="G152" s="593"/>
      <c r="H152" s="163">
        <f>'0664'!H59</f>
        <v>227540.36</v>
      </c>
      <c r="I152" s="117"/>
    </row>
    <row r="153" spans="1:9" x14ac:dyDescent="0.25">
      <c r="A153" s="118"/>
      <c r="B153" s="36"/>
      <c r="C153" s="36"/>
      <c r="D153" s="36"/>
      <c r="E153" s="36"/>
      <c r="F153" s="36"/>
      <c r="G153" s="43" t="s">
        <v>12</v>
      </c>
      <c r="H153" s="119">
        <f>ROUND(C152/H152,6)</f>
        <v>0.1135</v>
      </c>
      <c r="I153" s="119"/>
    </row>
    <row r="154" spans="1:9" x14ac:dyDescent="0.25">
      <c r="G154" s="42"/>
      <c r="H154" s="115"/>
      <c r="I154" s="115"/>
    </row>
    <row r="155" spans="1:9" x14ac:dyDescent="0.25">
      <c r="A155" s="586" t="s">
        <v>67</v>
      </c>
      <c r="B155" s="586"/>
      <c r="C155" s="586"/>
      <c r="D155" s="70"/>
      <c r="E155" s="44" t="s">
        <v>3</v>
      </c>
      <c r="F155" s="124">
        <f>'0664'!F71</f>
        <v>44665536</v>
      </c>
      <c r="G155" s="37" t="s">
        <v>6</v>
      </c>
      <c r="H155" s="121">
        <f>H150</f>
        <v>0.110356</v>
      </c>
      <c r="I155" s="117">
        <f>SUM('0664:4131'!I62)</f>
        <v>0</v>
      </c>
    </row>
    <row r="156" spans="1:9" x14ac:dyDescent="0.25">
      <c r="A156" s="603" t="s">
        <v>74</v>
      </c>
      <c r="B156" s="586"/>
      <c r="C156" s="586"/>
      <c r="D156" s="70"/>
      <c r="E156" s="44"/>
      <c r="F156" s="124"/>
      <c r="G156" s="37"/>
      <c r="H156" s="121"/>
      <c r="I156" s="117"/>
    </row>
    <row r="157" spans="1:9" x14ac:dyDescent="0.25">
      <c r="A157" s="598" t="s">
        <v>110</v>
      </c>
      <c r="B157" s="586"/>
      <c r="C157" s="586"/>
      <c r="D157" s="70"/>
      <c r="E157" s="44" t="s">
        <v>3</v>
      </c>
      <c r="F157" s="124">
        <f>'0664'!F74</f>
        <v>0</v>
      </c>
      <c r="G157" s="37" t="s">
        <v>6</v>
      </c>
      <c r="H157" s="121">
        <f>H150</f>
        <v>0.110356</v>
      </c>
      <c r="I157" s="117">
        <f>SUM('0664:4131'!I64)</f>
        <v>0</v>
      </c>
    </row>
    <row r="158" spans="1:9" x14ac:dyDescent="0.25">
      <c r="A158" s="585" t="s">
        <v>386</v>
      </c>
      <c r="B158" s="586"/>
      <c r="C158" s="586"/>
      <c r="D158" s="70"/>
      <c r="E158" s="44" t="s">
        <v>3</v>
      </c>
      <c r="F158" s="124">
        <f>'0664'!F76</f>
        <v>16167052</v>
      </c>
      <c r="G158" s="37" t="s">
        <v>6</v>
      </c>
      <c r="H158" s="121">
        <f>H150</f>
        <v>0.110356</v>
      </c>
      <c r="I158" s="117">
        <f>SUM('0664:4131'!I65)</f>
        <v>0</v>
      </c>
    </row>
    <row r="159" spans="1:9" x14ac:dyDescent="0.25">
      <c r="A159" s="585" t="s">
        <v>387</v>
      </c>
      <c r="B159" s="586"/>
      <c r="C159" s="586"/>
      <c r="D159" s="70"/>
      <c r="E159" s="44" t="s">
        <v>3</v>
      </c>
      <c r="F159" s="124">
        <f>'0664'!F78</f>
        <v>10040099</v>
      </c>
      <c r="G159" s="37" t="s">
        <v>6</v>
      </c>
      <c r="H159" s="121">
        <f>H150</f>
        <v>0.110356</v>
      </c>
      <c r="I159" s="117">
        <f>SUM('0664:4131'!I66)</f>
        <v>0</v>
      </c>
    </row>
    <row r="160" spans="1:9" x14ac:dyDescent="0.25">
      <c r="A160" s="247" t="s">
        <v>76</v>
      </c>
      <c r="D160" s="70"/>
      <c r="E160" s="39" t="s">
        <v>319</v>
      </c>
      <c r="F160" s="591"/>
      <c r="G160" s="591"/>
      <c r="H160" s="591"/>
      <c r="I160" s="117">
        <f>SUM('0664:4131'!I67)</f>
        <v>0</v>
      </c>
    </row>
    <row r="161" spans="1:9" x14ac:dyDescent="0.25">
      <c r="A161" s="248" t="s">
        <v>111</v>
      </c>
      <c r="I161" s="117">
        <f>SUM('0664:4131'!I68)</f>
        <v>0</v>
      </c>
    </row>
    <row r="162" spans="1:9" x14ac:dyDescent="0.25">
      <c r="A162" s="249" t="s">
        <v>78</v>
      </c>
      <c r="B162" s="70"/>
      <c r="C162" s="70"/>
      <c r="D162" s="70"/>
      <c r="E162" s="70"/>
      <c r="F162" s="70"/>
      <c r="G162" s="70"/>
      <c r="H162" s="70"/>
      <c r="I162" s="162"/>
    </row>
    <row r="163" spans="1:9" x14ac:dyDescent="0.25">
      <c r="A163" s="585" t="s">
        <v>388</v>
      </c>
      <c r="B163" s="586"/>
      <c r="C163" s="586"/>
      <c r="D163" s="70"/>
      <c r="E163" s="44" t="s">
        <v>3</v>
      </c>
      <c r="F163" s="124">
        <f>'0664'!F78</f>
        <v>10040099</v>
      </c>
      <c r="G163" s="37" t="s">
        <v>6</v>
      </c>
      <c r="H163" s="121">
        <f>H150</f>
        <v>0.110356</v>
      </c>
      <c r="I163" s="117">
        <f>SUM('0664:4131'!I70)</f>
        <v>0</v>
      </c>
    </row>
    <row r="164" spans="1:9" x14ac:dyDescent="0.25">
      <c r="A164" s="585" t="s">
        <v>389</v>
      </c>
      <c r="B164" s="586"/>
      <c r="C164" s="586"/>
      <c r="D164" s="70"/>
      <c r="E164" s="44" t="s">
        <v>3</v>
      </c>
      <c r="F164" s="124">
        <f>'0664'!F85</f>
        <v>234388431</v>
      </c>
      <c r="G164" s="37" t="s">
        <v>6</v>
      </c>
      <c r="H164" s="121">
        <f>H150</f>
        <v>0.110356</v>
      </c>
      <c r="I164" s="117">
        <f>SUM('0664:4131'!I71)</f>
        <v>4934335.7799999993</v>
      </c>
    </row>
    <row r="165" spans="1:9" x14ac:dyDescent="0.25">
      <c r="A165" s="585" t="s">
        <v>390</v>
      </c>
      <c r="B165" s="586"/>
      <c r="C165" s="586"/>
      <c r="D165" s="70"/>
      <c r="E165" s="44" t="s">
        <v>4</v>
      </c>
      <c r="F165" s="124" t="e">
        <f>'0664'!#REF!</f>
        <v>#REF!</v>
      </c>
      <c r="G165" s="37" t="s">
        <v>6</v>
      </c>
      <c r="H165" s="121">
        <f>H153</f>
        <v>0.1135</v>
      </c>
      <c r="I165" s="117">
        <f>SUM('0664:4131'!I73)</f>
        <v>0</v>
      </c>
    </row>
    <row r="166" spans="1:9" x14ac:dyDescent="0.25">
      <c r="A166" s="585" t="s">
        <v>391</v>
      </c>
      <c r="B166" s="586"/>
      <c r="C166" s="586"/>
      <c r="D166" s="70"/>
      <c r="E166" s="44" t="s">
        <v>4</v>
      </c>
      <c r="F166" s="124" t="e">
        <f>'0664'!#REF!</f>
        <v>#REF!</v>
      </c>
      <c r="G166" s="37" t="s">
        <v>6</v>
      </c>
      <c r="H166" s="121">
        <f>H153</f>
        <v>0.1135</v>
      </c>
      <c r="I166" s="117">
        <f>SUM('0664:4131'!I74)</f>
        <v>0</v>
      </c>
    </row>
    <row r="167" spans="1:9" x14ac:dyDescent="0.25">
      <c r="A167" s="585" t="s">
        <v>392</v>
      </c>
      <c r="B167" s="586"/>
      <c r="C167" s="586"/>
      <c r="D167" s="70"/>
      <c r="E167" s="44" t="s">
        <v>4</v>
      </c>
      <c r="F167" s="124" t="e">
        <f>'0664'!#REF!</f>
        <v>#REF!</v>
      </c>
      <c r="G167" s="37" t="s">
        <v>6</v>
      </c>
      <c r="H167" s="121">
        <f>H153</f>
        <v>0.1135</v>
      </c>
      <c r="I167" s="117">
        <f>SUM('0664:4131'!I76)</f>
        <v>1942956.32</v>
      </c>
    </row>
    <row r="168" spans="1:9" x14ac:dyDescent="0.25">
      <c r="A168" s="82" t="s">
        <v>393</v>
      </c>
      <c r="B168" s="70"/>
      <c r="C168" s="70"/>
      <c r="D168" s="70"/>
      <c r="E168" s="44"/>
      <c r="F168" s="124"/>
      <c r="G168" s="37"/>
      <c r="H168" s="121"/>
      <c r="I168" s="117"/>
    </row>
    <row r="169" spans="1:9" x14ac:dyDescent="0.25">
      <c r="A169" s="248" t="s">
        <v>394</v>
      </c>
      <c r="B169" s="70"/>
      <c r="C169" s="70"/>
      <c r="D169" s="70"/>
      <c r="E169" s="44" t="s">
        <v>395</v>
      </c>
      <c r="F169" s="124">
        <v>0</v>
      </c>
      <c r="G169" s="37" t="s">
        <v>6</v>
      </c>
      <c r="H169" s="121">
        <f>H153</f>
        <v>0.1135</v>
      </c>
      <c r="I169" s="117" t="e">
        <v>#REF!</v>
      </c>
    </row>
    <row r="170" spans="1:9" x14ac:dyDescent="0.25">
      <c r="A170" s="248" t="s">
        <v>396</v>
      </c>
      <c r="B170" s="70"/>
      <c r="C170" s="70"/>
      <c r="D170" s="70"/>
      <c r="E170" s="44" t="s">
        <v>395</v>
      </c>
      <c r="F170" s="124">
        <v>0</v>
      </c>
      <c r="G170" s="37" t="s">
        <v>6</v>
      </c>
      <c r="H170" s="121">
        <f>H153</f>
        <v>0.1135</v>
      </c>
      <c r="I170" s="117" t="e">
        <v>#REF!</v>
      </c>
    </row>
    <row r="171" spans="1:9" x14ac:dyDescent="0.25">
      <c r="A171" s="398" t="s">
        <v>397</v>
      </c>
      <c r="B171" s="70"/>
      <c r="C171" s="70"/>
      <c r="D171" s="70"/>
      <c r="E171" s="44"/>
      <c r="F171" s="124"/>
      <c r="G171" s="37"/>
      <c r="H171" s="121"/>
      <c r="I171" s="117" t="e">
        <v>#REF!</v>
      </c>
    </row>
    <row r="172" spans="1:9" x14ac:dyDescent="0.25">
      <c r="A172" s="585" t="s">
        <v>358</v>
      </c>
      <c r="B172" s="586"/>
      <c r="C172" s="586"/>
      <c r="D172" s="70"/>
      <c r="E172" s="44" t="s">
        <v>4</v>
      </c>
      <c r="F172" s="124">
        <f>'0664'!F87</f>
        <v>0</v>
      </c>
      <c r="G172" s="37" t="s">
        <v>6</v>
      </c>
      <c r="H172" s="121">
        <f>H153</f>
        <v>0.1135</v>
      </c>
      <c r="I172" s="117">
        <f>SUM('0664:4131'!I78)</f>
        <v>1205183.3599999996</v>
      </c>
    </row>
    <row r="173" spans="1:9" x14ac:dyDescent="0.25">
      <c r="B173" s="70"/>
      <c r="C173" s="70"/>
      <c r="D173" s="70"/>
      <c r="E173" s="44"/>
      <c r="F173" s="124"/>
      <c r="G173" s="37"/>
      <c r="H173" s="121"/>
      <c r="I173" s="102"/>
    </row>
    <row r="174" spans="1:9" x14ac:dyDescent="0.25">
      <c r="A174" s="585" t="s">
        <v>398</v>
      </c>
      <c r="B174" s="586"/>
      <c r="C174" s="586"/>
      <c r="D174" s="586"/>
      <c r="E174" s="586"/>
      <c r="F174" s="586"/>
      <c r="G174" s="586"/>
      <c r="H174" s="586"/>
      <c r="I174" s="586"/>
    </row>
    <row r="175" spans="1:9" x14ac:dyDescent="0.25">
      <c r="B175" s="70"/>
      <c r="C175" s="591" t="s">
        <v>62</v>
      </c>
      <c r="D175" s="591"/>
      <c r="E175" s="70"/>
      <c r="F175" s="39" t="s">
        <v>28</v>
      </c>
      <c r="G175" s="70"/>
      <c r="H175" s="70"/>
      <c r="I175" s="70"/>
    </row>
    <row r="176" spans="1:9" x14ac:dyDescent="0.25">
      <c r="A176" s="3"/>
      <c r="B176" s="125"/>
      <c r="C176" s="592" t="s">
        <v>113</v>
      </c>
      <c r="D176" s="592"/>
      <c r="E176" s="126" t="s">
        <v>119</v>
      </c>
      <c r="F176" s="127" t="s">
        <v>118</v>
      </c>
      <c r="G176" s="128"/>
      <c r="H176" s="128"/>
      <c r="I176" s="128"/>
    </row>
    <row r="177" spans="1:9" x14ac:dyDescent="0.25">
      <c r="A177" s="26"/>
      <c r="B177" s="53" t="s">
        <v>117</v>
      </c>
      <c r="C177" s="597">
        <f>H14+H15+H20+H23+H26</f>
        <v>8065.2357000000002</v>
      </c>
      <c r="D177" s="597"/>
      <c r="E177" s="47">
        <f>H8</f>
        <v>1.0442</v>
      </c>
      <c r="F177" s="134">
        <f>'0664'!F92</f>
        <v>947.59</v>
      </c>
      <c r="G177" s="39" t="s">
        <v>12</v>
      </c>
      <c r="H177" s="102" t="e">
        <v>#REF!</v>
      </c>
      <c r="I177" s="105"/>
    </row>
    <row r="178" spans="1:9" x14ac:dyDescent="0.25">
      <c r="A178" s="50"/>
      <c r="B178" s="50" t="s">
        <v>116</v>
      </c>
      <c r="C178" s="597">
        <f>H16+H17+H21+H24+H27</f>
        <v>10208.357799999998</v>
      </c>
      <c r="D178" s="597"/>
      <c r="E178" s="47">
        <f>H8</f>
        <v>1.0442</v>
      </c>
      <c r="F178" s="134">
        <f>'0664'!F93</f>
        <v>904.74</v>
      </c>
      <c r="G178" s="39" t="s">
        <v>12</v>
      </c>
      <c r="H178" s="102" t="e">
        <v>#REF!</v>
      </c>
    </row>
    <row r="179" spans="1:9" x14ac:dyDescent="0.25">
      <c r="A179" s="53"/>
      <c r="B179" s="53" t="s">
        <v>115</v>
      </c>
      <c r="C179" s="597">
        <f>H18+H19+H22+H25+H28+H29</f>
        <v>7552.1947000000009</v>
      </c>
      <c r="D179" s="597"/>
      <c r="E179" s="47">
        <f>H8</f>
        <v>1.0442</v>
      </c>
      <c r="F179" s="134">
        <f>'0664'!F94</f>
        <v>906.93</v>
      </c>
      <c r="G179" s="39" t="s">
        <v>12</v>
      </c>
      <c r="H179" s="95" t="e">
        <v>#REF!</v>
      </c>
    </row>
    <row r="180" spans="1:9" ht="16.5" thickBot="1" x14ac:dyDescent="0.3">
      <c r="A180" s="56"/>
      <c r="B180" s="129" t="s">
        <v>114</v>
      </c>
      <c r="C180" s="601">
        <f>SUM(C177:C179)</f>
        <v>25825.788199999999</v>
      </c>
      <c r="D180" s="601"/>
      <c r="E180" s="130"/>
      <c r="F180" s="130"/>
      <c r="G180" s="130"/>
      <c r="H180" s="131" t="s">
        <v>112</v>
      </c>
      <c r="I180" s="102" t="e">
        <v>#REF!</v>
      </c>
    </row>
    <row r="181" spans="1:9" ht="16.5" thickTop="1" x14ac:dyDescent="0.25">
      <c r="A181" s="602" t="s">
        <v>68</v>
      </c>
      <c r="B181" s="602"/>
      <c r="C181" s="602"/>
      <c r="D181" s="602"/>
      <c r="E181" s="602"/>
      <c r="F181" s="602"/>
      <c r="G181" s="602"/>
      <c r="H181" s="602"/>
      <c r="I181" s="602"/>
    </row>
    <row r="182" spans="1:9" x14ac:dyDescent="0.25">
      <c r="A182" s="132"/>
      <c r="B182" s="132"/>
      <c r="C182" s="132"/>
      <c r="D182" s="132"/>
      <c r="E182" s="132"/>
      <c r="F182" s="132"/>
      <c r="G182" s="132"/>
      <c r="H182" s="132"/>
      <c r="I182" s="132"/>
    </row>
    <row r="183" spans="1:9" x14ac:dyDescent="0.25">
      <c r="A183" s="82" t="s">
        <v>399</v>
      </c>
      <c r="C183" s="44"/>
      <c r="D183" s="70"/>
      <c r="E183" s="44" t="s">
        <v>77</v>
      </c>
      <c r="F183" s="595"/>
      <c r="G183" s="595"/>
      <c r="H183" s="595"/>
      <c r="I183" s="595"/>
    </row>
    <row r="184" spans="1:9" x14ac:dyDescent="0.25">
      <c r="B184" s="70"/>
      <c r="C184" s="89" t="s">
        <v>412</v>
      </c>
      <c r="D184" s="351" t="s">
        <v>413</v>
      </c>
      <c r="E184" s="90" t="s">
        <v>120</v>
      </c>
      <c r="F184" s="44"/>
      <c r="G184" s="44"/>
      <c r="H184" s="44"/>
      <c r="I184" s="44"/>
    </row>
    <row r="185" spans="1:9" x14ac:dyDescent="0.25">
      <c r="B185" s="70"/>
      <c r="C185" s="342" t="s">
        <v>2</v>
      </c>
      <c r="D185" s="342" t="s">
        <v>2</v>
      </c>
      <c r="E185" s="91" t="s">
        <v>2</v>
      </c>
      <c r="F185" s="44"/>
      <c r="G185" s="44"/>
      <c r="H185" s="44"/>
      <c r="I185" s="44"/>
    </row>
    <row r="186" spans="1:9" x14ac:dyDescent="0.25">
      <c r="A186" s="584" t="s">
        <v>54</v>
      </c>
      <c r="B186" s="584"/>
      <c r="C186" s="151">
        <f>SUM('0664:4131'!C92)</f>
        <v>8065.2357000000002</v>
      </c>
      <c r="D186" s="151">
        <f>SUM('0664:4131'!D92)</f>
        <v>0</v>
      </c>
      <c r="E186" s="117">
        <f>(C186+D186)/2</f>
        <v>4032.6178500000001</v>
      </c>
      <c r="F186" s="134" t="s">
        <v>30</v>
      </c>
      <c r="G186" s="137">
        <f>'0664'!G101</f>
        <v>565</v>
      </c>
      <c r="I186" s="117">
        <f>SUM('0664:4131'!I92)</f>
        <v>0</v>
      </c>
    </row>
    <row r="187" spans="1:9" x14ac:dyDescent="0.25">
      <c r="A187" s="584" t="s">
        <v>66</v>
      </c>
      <c r="B187" s="584"/>
      <c r="C187" s="151">
        <f>SUM('0664:4131'!C93)</f>
        <v>10208.3578</v>
      </c>
      <c r="D187" s="151">
        <f>SUM('0664:4131'!D93)</f>
        <v>0</v>
      </c>
      <c r="E187" s="117">
        <f>(C187+D187)/2</f>
        <v>5104.1788999999999</v>
      </c>
      <c r="F187" s="134" t="s">
        <v>30</v>
      </c>
      <c r="G187" s="137">
        <f>'0664'!G102</f>
        <v>1762</v>
      </c>
      <c r="I187" s="117">
        <f>SUM('0664:4131'!I93)</f>
        <v>0</v>
      </c>
    </row>
    <row r="188" spans="1:9" x14ac:dyDescent="0.25">
      <c r="A188" s="135"/>
      <c r="B188" s="135"/>
      <c r="C188" s="66"/>
      <c r="D188" s="66"/>
      <c r="E188" s="66"/>
      <c r="F188" s="66"/>
      <c r="G188" s="136"/>
      <c r="H188" s="137"/>
      <c r="I188" s="117"/>
    </row>
    <row r="189" spans="1:9" x14ac:dyDescent="0.25">
      <c r="A189" s="135"/>
      <c r="B189" s="135"/>
      <c r="C189" s="66"/>
      <c r="D189" s="66"/>
      <c r="E189" s="66"/>
      <c r="F189" s="66"/>
      <c r="G189" s="136"/>
      <c r="H189" s="137"/>
      <c r="I189" s="117"/>
    </row>
    <row r="190" spans="1:9" x14ac:dyDescent="0.25">
      <c r="A190" s="585" t="s">
        <v>400</v>
      </c>
      <c r="B190" s="586"/>
      <c r="C190" s="586"/>
      <c r="D190" s="70"/>
      <c r="E190" s="39" t="s">
        <v>32</v>
      </c>
      <c r="F190" s="591"/>
      <c r="G190" s="591"/>
      <c r="H190" s="591"/>
      <c r="I190" s="591"/>
    </row>
    <row r="191" spans="1:9" x14ac:dyDescent="0.25">
      <c r="B191" s="70"/>
      <c r="C191" s="592" t="s">
        <v>69</v>
      </c>
      <c r="D191" s="592"/>
      <c r="E191" s="592"/>
      <c r="F191" s="37"/>
      <c r="G191" s="37"/>
      <c r="H191" s="39" t="s">
        <v>121</v>
      </c>
      <c r="I191" s="37"/>
    </row>
    <row r="192" spans="1:9" x14ac:dyDescent="0.25">
      <c r="B192" s="70"/>
      <c r="C192" s="89" t="s">
        <v>412</v>
      </c>
      <c r="D192" s="351" t="s">
        <v>413</v>
      </c>
      <c r="E192" s="145" t="s">
        <v>8</v>
      </c>
      <c r="F192" s="593" t="s">
        <v>122</v>
      </c>
      <c r="G192" s="591"/>
      <c r="H192" s="37" t="s">
        <v>29</v>
      </c>
      <c r="I192" s="37"/>
    </row>
    <row r="193" spans="1:9" x14ac:dyDescent="0.25">
      <c r="A193" s="592" t="s">
        <v>72</v>
      </c>
      <c r="B193" s="592"/>
      <c r="C193" s="342" t="s">
        <v>2</v>
      </c>
      <c r="D193" s="342" t="s">
        <v>2</v>
      </c>
      <c r="E193" s="60" t="s">
        <v>2</v>
      </c>
      <c r="F193" s="592" t="s">
        <v>28</v>
      </c>
      <c r="G193" s="592"/>
      <c r="H193" s="60" t="s">
        <v>28</v>
      </c>
      <c r="I193" s="60" t="s">
        <v>8</v>
      </c>
    </row>
    <row r="194" spans="1:9" x14ac:dyDescent="0.25">
      <c r="A194" s="599" t="s">
        <v>58</v>
      </c>
      <c r="B194" s="599"/>
      <c r="C194" s="149">
        <f>SUM('0664:4111'!C100)</f>
        <v>0</v>
      </c>
      <c r="D194" s="149">
        <f>SUM('0664:4111'!D100)</f>
        <v>0</v>
      </c>
      <c r="E194" s="196">
        <f>SUM('0664:4111'!E100)</f>
        <v>0</v>
      </c>
      <c r="F194" s="600">
        <v>0</v>
      </c>
      <c r="G194" s="600"/>
      <c r="H194" s="234">
        <f>IF(C194=0,0,125)</f>
        <v>0</v>
      </c>
      <c r="I194" s="117">
        <f>SUM('0664:4111'!I100)</f>
        <v>0</v>
      </c>
    </row>
    <row r="195" spans="1:9" x14ac:dyDescent="0.25">
      <c r="A195" s="587" t="s">
        <v>59</v>
      </c>
      <c r="B195" s="587"/>
      <c r="C195" s="151">
        <f>SUM('0664:4111'!C101)</f>
        <v>3522</v>
      </c>
      <c r="D195" s="151">
        <f>SUM('0664:4111'!D101)</f>
        <v>3413</v>
      </c>
      <c r="E195" s="117">
        <f>SUM('0664:4111'!E101)</f>
        <v>3467.5</v>
      </c>
      <c r="F195" s="588">
        <f>ROUND(F194/2,2)</f>
        <v>0</v>
      </c>
      <c r="G195" s="588"/>
      <c r="H195" s="234">
        <f>IF(C195=0,0,62.5)</f>
        <v>62.5</v>
      </c>
      <c r="I195" s="117">
        <f>SUM('0664:4111'!I101)</f>
        <v>1959137.5</v>
      </c>
    </row>
    <row r="196" spans="1:9" x14ac:dyDescent="0.25">
      <c r="A196" s="587" t="s">
        <v>60</v>
      </c>
      <c r="B196" s="587"/>
      <c r="C196" s="151">
        <f>SUM('0664:4111'!C102)</f>
        <v>5</v>
      </c>
      <c r="D196" s="151">
        <f>SUM('0664:4111'!D102)</f>
        <v>1</v>
      </c>
      <c r="E196" s="117">
        <f>SUM('0664:4111'!E102)</f>
        <v>3</v>
      </c>
      <c r="F196" s="589"/>
      <c r="G196" s="589"/>
      <c r="H196" s="235">
        <f>IF(H194&gt;0,436,0)</f>
        <v>0</v>
      </c>
      <c r="I196" s="102">
        <f>SUM('0664:4111'!I102)</f>
        <v>5286</v>
      </c>
    </row>
    <row r="197" spans="1:9" x14ac:dyDescent="0.25">
      <c r="A197" s="591" t="s">
        <v>8</v>
      </c>
      <c r="B197" s="591"/>
      <c r="C197" s="66"/>
      <c r="D197" s="66"/>
      <c r="E197" s="66"/>
      <c r="F197" s="66"/>
      <c r="G197" s="66"/>
      <c r="H197" s="66"/>
      <c r="I197" s="98">
        <f>SUM(I194:I196)</f>
        <v>1964423.5</v>
      </c>
    </row>
    <row r="198" spans="1:9" x14ac:dyDescent="0.25">
      <c r="A198" s="37"/>
      <c r="B198" s="37"/>
      <c r="C198" s="66"/>
      <c r="D198" s="66"/>
      <c r="E198" s="66"/>
      <c r="F198" s="66"/>
      <c r="G198" s="66"/>
      <c r="H198" s="66"/>
      <c r="I198" s="102"/>
    </row>
    <row r="199" spans="1:9" x14ac:dyDescent="0.25">
      <c r="A199" s="82" t="s">
        <v>401</v>
      </c>
      <c r="E199" s="69" t="s">
        <v>320</v>
      </c>
      <c r="F199" s="583"/>
      <c r="G199" s="583"/>
      <c r="H199" s="583"/>
      <c r="I199" s="117">
        <f>SUM('0664:4111'!I105)</f>
        <v>0</v>
      </c>
    </row>
    <row r="200" spans="1:9" x14ac:dyDescent="0.25">
      <c r="A200" s="585" t="s">
        <v>402</v>
      </c>
      <c r="B200" s="586"/>
      <c r="C200" s="586"/>
      <c r="D200" s="70"/>
      <c r="E200" s="69" t="s">
        <v>34</v>
      </c>
      <c r="F200" s="583"/>
      <c r="G200" s="583"/>
      <c r="H200" s="583"/>
      <c r="I200" s="163">
        <f>SUM('0664:4111'!I106)</f>
        <v>0</v>
      </c>
    </row>
    <row r="201" spans="1:9" x14ac:dyDescent="0.25">
      <c r="B201" s="70"/>
      <c r="C201" s="70"/>
      <c r="D201" s="70"/>
      <c r="E201" s="69"/>
      <c r="F201" s="69"/>
      <c r="G201" s="69"/>
      <c r="H201" s="69"/>
      <c r="I201" s="117"/>
    </row>
    <row r="202" spans="1:9" x14ac:dyDescent="0.25">
      <c r="A202" s="584" t="s">
        <v>8</v>
      </c>
      <c r="B202" s="584"/>
      <c r="C202" s="584"/>
      <c r="D202" s="584"/>
      <c r="E202" s="584"/>
      <c r="F202" s="584"/>
      <c r="G202" s="584"/>
      <c r="H202" s="584"/>
      <c r="I202" s="95" t="e">
        <f>I32+I146+I155+I157+I158+I159+I160+I161+I163+I164+I165+I166+I167+I169+I170+I172+I180+I186+I187+I197+I199+I200</f>
        <v>#REF!</v>
      </c>
    </row>
    <row r="203" spans="1:9" x14ac:dyDescent="0.25">
      <c r="A203" s="26"/>
      <c r="B203" s="26"/>
      <c r="C203" s="26"/>
      <c r="D203" s="26"/>
      <c r="E203" s="26"/>
      <c r="F203" s="26"/>
      <c r="G203" s="26"/>
      <c r="H203" s="26"/>
      <c r="I203" s="102"/>
    </row>
    <row r="204" spans="1:9" x14ac:dyDescent="0.25">
      <c r="A204" s="82" t="s">
        <v>415</v>
      </c>
      <c r="B204" s="26"/>
      <c r="C204" s="26"/>
      <c r="D204" s="26"/>
      <c r="E204" s="26"/>
      <c r="F204" s="26"/>
      <c r="G204" s="26"/>
      <c r="H204" s="26"/>
      <c r="I204" s="102">
        <f>SUM('0664:4131'!I110)</f>
        <v>0</v>
      </c>
    </row>
    <row r="205" spans="1:9" x14ac:dyDescent="0.25">
      <c r="A205" s="26"/>
      <c r="B205" s="26"/>
      <c r="C205" s="26"/>
      <c r="D205" s="26"/>
      <c r="E205" s="26"/>
      <c r="F205" s="26"/>
      <c r="G205" s="26"/>
      <c r="H205" s="26"/>
      <c r="I205" s="102"/>
    </row>
    <row r="206" spans="1:9" x14ac:dyDescent="0.25">
      <c r="A206" s="585" t="s">
        <v>414</v>
      </c>
      <c r="B206" s="586"/>
      <c r="C206" s="586"/>
      <c r="D206" s="586"/>
      <c r="E206" s="586"/>
      <c r="F206" s="586"/>
      <c r="G206" s="586"/>
      <c r="H206" s="82" t="s">
        <v>355</v>
      </c>
      <c r="I206" s="142"/>
    </row>
    <row r="207" spans="1:9" x14ac:dyDescent="0.25">
      <c r="A207" s="586" t="s">
        <v>73</v>
      </c>
      <c r="B207" s="586"/>
      <c r="C207" s="586"/>
      <c r="D207" s="586"/>
      <c r="E207" s="586"/>
      <c r="F207" s="586"/>
      <c r="G207" s="586"/>
      <c r="H207" s="71"/>
      <c r="I207" s="117">
        <f>SUM('0664:4131'!I113)</f>
        <v>0</v>
      </c>
    </row>
    <row r="208" spans="1:9" x14ac:dyDescent="0.25">
      <c r="B208" s="70"/>
      <c r="C208" s="70"/>
      <c r="D208" s="70"/>
      <c r="E208" s="70"/>
      <c r="F208" s="70"/>
      <c r="G208" s="70"/>
      <c r="H208" s="66"/>
      <c r="I208" s="102"/>
    </row>
    <row r="209" spans="1:9" x14ac:dyDescent="0.25">
      <c r="A209" s="3" t="s">
        <v>79</v>
      </c>
      <c r="B209" s="70"/>
      <c r="C209" s="70"/>
      <c r="D209" s="70"/>
      <c r="E209" s="70"/>
      <c r="F209" s="70"/>
      <c r="G209" s="70"/>
      <c r="H209" s="147" t="e">
        <f>IF(H207=1,I207,I202)</f>
        <v>#REF!</v>
      </c>
      <c r="I209" s="95">
        <f>SUM('0664:4131'!I114)+Virtual!E29</f>
        <v>0</v>
      </c>
    </row>
    <row r="210" spans="1:9" x14ac:dyDescent="0.25">
      <c r="B210" s="70"/>
      <c r="C210" s="70"/>
      <c r="D210" s="70"/>
      <c r="E210" s="70"/>
      <c r="F210" s="70"/>
      <c r="G210" s="70"/>
      <c r="H210" s="66"/>
      <c r="I210" s="102"/>
    </row>
    <row r="211" spans="1:9" x14ac:dyDescent="0.25">
      <c r="A211" s="3" t="s">
        <v>80</v>
      </c>
      <c r="B211" s="70"/>
      <c r="C211" s="70"/>
      <c r="D211" s="70"/>
      <c r="E211" s="70"/>
      <c r="F211" s="70"/>
      <c r="G211" s="70"/>
      <c r="H211" s="66"/>
      <c r="I211" s="102" t="e">
        <f>I202+I209</f>
        <v>#REF!</v>
      </c>
    </row>
    <row r="212" spans="1:9" x14ac:dyDescent="0.25">
      <c r="B212" s="70"/>
      <c r="C212" s="70"/>
      <c r="D212" s="70"/>
      <c r="E212" s="70"/>
      <c r="F212" s="70"/>
      <c r="G212" s="70"/>
      <c r="H212" s="66"/>
      <c r="I212" s="102"/>
    </row>
    <row r="213" spans="1:9" x14ac:dyDescent="0.25">
      <c r="A213" s="3" t="s">
        <v>81</v>
      </c>
      <c r="B213" s="70"/>
      <c r="C213" s="70"/>
      <c r="D213" s="70"/>
      <c r="E213" s="70"/>
      <c r="F213" s="70"/>
      <c r="G213" s="70"/>
      <c r="H213" s="66"/>
      <c r="I213" s="95">
        <f>SUM('0664:4131'!I118)+Virtual!E32</f>
        <v>205879699.16</v>
      </c>
    </row>
    <row r="214" spans="1:9" x14ac:dyDescent="0.25">
      <c r="B214" s="70"/>
      <c r="C214" s="70"/>
      <c r="D214" s="70"/>
      <c r="E214" s="70"/>
      <c r="F214" s="70"/>
      <c r="G214" s="70"/>
      <c r="H214" s="66"/>
      <c r="I214" s="102"/>
    </row>
    <row r="215" spans="1:9" x14ac:dyDescent="0.25">
      <c r="A215" s="70" t="s">
        <v>265</v>
      </c>
      <c r="B215" s="70"/>
      <c r="C215" s="70"/>
      <c r="D215" s="70"/>
      <c r="E215" s="70"/>
      <c r="F215" s="70"/>
      <c r="G215" s="70"/>
      <c r="H215" s="66"/>
      <c r="I215" s="102" t="e">
        <f>I211+I213</f>
        <v>#REF!</v>
      </c>
    </row>
    <row r="216" spans="1:9" x14ac:dyDescent="0.25">
      <c r="B216" s="70"/>
      <c r="C216" s="70"/>
      <c r="D216" s="70"/>
      <c r="E216" s="70"/>
      <c r="F216" s="70"/>
      <c r="G216" s="70"/>
      <c r="H216" s="66"/>
      <c r="I216" s="102"/>
    </row>
    <row r="217" spans="1:9" ht="16.5" customHeight="1" x14ac:dyDescent="0.25">
      <c r="A217" s="70" t="s">
        <v>266</v>
      </c>
      <c r="B217" s="70"/>
      <c r="C217" s="70"/>
      <c r="D217" s="70"/>
      <c r="E217" s="70"/>
      <c r="F217" s="70"/>
      <c r="G217" s="70"/>
      <c r="H217" s="66"/>
      <c r="I217" s="281">
        <f>'0664'!I131</f>
        <v>12</v>
      </c>
    </row>
    <row r="218" spans="1:9" x14ac:dyDescent="0.25">
      <c r="B218" s="70"/>
      <c r="C218" s="70"/>
      <c r="D218" s="70"/>
      <c r="E218" s="70"/>
      <c r="F218" s="70"/>
      <c r="G218" s="70"/>
      <c r="H218" s="66"/>
      <c r="I218" s="102"/>
    </row>
    <row r="219" spans="1:9" ht="16.5" thickBot="1" x14ac:dyDescent="0.3">
      <c r="A219" s="3" t="s">
        <v>82</v>
      </c>
      <c r="B219" s="70"/>
      <c r="C219" s="70"/>
      <c r="D219" s="70"/>
      <c r="E219" s="70"/>
      <c r="F219" s="70"/>
      <c r="G219" s="70"/>
      <c r="H219" s="66"/>
      <c r="I219" s="164">
        <f>SUM('0664:4131'!I124)+Virtual!E38</f>
        <v>0</v>
      </c>
    </row>
    <row r="220" spans="1:9" ht="16.5" thickTop="1" x14ac:dyDescent="0.25">
      <c r="B220" s="70"/>
      <c r="C220" s="70"/>
      <c r="D220" s="70"/>
      <c r="E220" s="70"/>
      <c r="F220" s="70"/>
      <c r="G220" s="70"/>
      <c r="H220" s="66"/>
      <c r="I220" s="102"/>
    </row>
    <row r="221" spans="1:9" ht="16.5" thickBot="1" x14ac:dyDescent="0.3">
      <c r="A221" s="3" t="s">
        <v>96</v>
      </c>
      <c r="B221" s="70"/>
      <c r="C221" s="70"/>
      <c r="D221" s="70"/>
      <c r="E221" s="70"/>
      <c r="F221" s="70"/>
      <c r="G221" s="70"/>
      <c r="H221" s="66"/>
      <c r="I221" s="141">
        <f>SUM('0664:4131'!I126)</f>
        <v>0</v>
      </c>
    </row>
    <row r="222" spans="1:9" ht="16.5" thickTop="1" x14ac:dyDescent="0.25">
      <c r="B222" s="70"/>
      <c r="C222" s="70"/>
      <c r="D222" s="70"/>
      <c r="E222" s="70"/>
      <c r="F222" s="70"/>
      <c r="G222" s="70"/>
      <c r="H222" s="66"/>
      <c r="I222" s="142"/>
    </row>
    <row r="223" spans="1:9" x14ac:dyDescent="0.25">
      <c r="B223" s="70"/>
      <c r="C223" s="70"/>
      <c r="D223" s="70"/>
      <c r="E223" s="70"/>
      <c r="F223" s="70"/>
      <c r="G223" s="70"/>
      <c r="H223" s="66"/>
      <c r="I223" s="142"/>
    </row>
    <row r="224" spans="1:9" x14ac:dyDescent="0.25">
      <c r="B224" s="70"/>
      <c r="C224" s="70"/>
      <c r="D224" s="70"/>
      <c r="E224" s="70"/>
      <c r="F224" s="70"/>
      <c r="G224" s="70"/>
      <c r="H224" s="66"/>
      <c r="I224" s="142"/>
    </row>
    <row r="225" spans="1:9" x14ac:dyDescent="0.25">
      <c r="B225" s="70"/>
      <c r="C225" s="70"/>
      <c r="D225" s="70"/>
      <c r="E225" s="70"/>
      <c r="F225" s="70"/>
      <c r="G225" s="70"/>
      <c r="H225" s="66"/>
      <c r="I225" s="142"/>
    </row>
    <row r="226" spans="1:9" x14ac:dyDescent="0.25">
      <c r="A226" s="265" t="s">
        <v>7</v>
      </c>
      <c r="B226" s="265"/>
      <c r="C226" s="265"/>
      <c r="D226" s="265"/>
      <c r="E226" s="265"/>
      <c r="F226" s="265"/>
      <c r="G226" s="265"/>
      <c r="H226" s="265"/>
      <c r="I226" s="265"/>
    </row>
    <row r="227" spans="1:9" ht="15.75" customHeight="1" x14ac:dyDescent="0.25">
      <c r="A227" s="363" t="s">
        <v>278</v>
      </c>
      <c r="B227" s="364"/>
      <c r="C227" s="364"/>
      <c r="D227" s="364"/>
      <c r="E227" s="364"/>
      <c r="F227" s="364"/>
      <c r="G227" s="364"/>
      <c r="H227" s="364"/>
      <c r="I227" s="364"/>
    </row>
    <row r="228" spans="1:9" ht="15.75" customHeight="1" x14ac:dyDescent="0.25">
      <c r="A228" s="369" t="s">
        <v>322</v>
      </c>
      <c r="B228" s="364"/>
      <c r="C228" s="364"/>
      <c r="D228" s="364"/>
      <c r="E228" s="364"/>
      <c r="F228" s="364"/>
      <c r="G228" s="364"/>
      <c r="H228" s="364"/>
      <c r="I228" s="364"/>
    </row>
    <row r="229" spans="1:9" x14ac:dyDescent="0.25">
      <c r="A229" s="365" t="s">
        <v>50</v>
      </c>
      <c r="B229" s="365"/>
      <c r="C229" s="365"/>
      <c r="D229" s="365"/>
      <c r="E229" s="365"/>
      <c r="F229" s="365"/>
      <c r="G229" s="365"/>
      <c r="H229" s="365"/>
      <c r="I229" s="365"/>
    </row>
    <row r="230" spans="1:9" s="77" customFormat="1" x14ac:dyDescent="0.2">
      <c r="A230" s="365" t="s">
        <v>51</v>
      </c>
      <c r="B230" s="365"/>
      <c r="C230" s="365"/>
      <c r="D230" s="365"/>
      <c r="E230" s="365"/>
      <c r="F230" s="365"/>
      <c r="G230" s="365"/>
      <c r="H230" s="365"/>
      <c r="I230" s="365"/>
    </row>
    <row r="231" spans="1:9" s="77" customFormat="1" x14ac:dyDescent="0.2">
      <c r="A231" s="366" t="s">
        <v>321</v>
      </c>
      <c r="B231" s="365"/>
      <c r="C231" s="365"/>
      <c r="D231" s="365"/>
      <c r="E231" s="365"/>
      <c r="F231" s="365"/>
      <c r="G231" s="365"/>
      <c r="H231" s="365"/>
      <c r="I231" s="365"/>
    </row>
    <row r="232" spans="1:9" s="77" customFormat="1" x14ac:dyDescent="0.2">
      <c r="A232" s="366" t="s">
        <v>323</v>
      </c>
      <c r="B232" s="365"/>
      <c r="C232" s="365"/>
      <c r="D232" s="365"/>
      <c r="E232" s="365"/>
      <c r="F232" s="365"/>
      <c r="G232" s="365"/>
      <c r="H232" s="365"/>
      <c r="I232" s="365"/>
    </row>
    <row r="233" spans="1:9" s="77" customFormat="1" x14ac:dyDescent="0.2">
      <c r="A233" s="370" t="s">
        <v>279</v>
      </c>
      <c r="B233" s="365"/>
      <c r="C233" s="365"/>
      <c r="D233" s="365"/>
      <c r="E233" s="365"/>
      <c r="F233" s="365"/>
      <c r="G233" s="365"/>
      <c r="H233" s="365"/>
      <c r="I233" s="365"/>
    </row>
    <row r="234" spans="1:9" s="77" customFormat="1" ht="15.75" customHeight="1" x14ac:dyDescent="0.2">
      <c r="A234" s="366" t="s">
        <v>365</v>
      </c>
      <c r="B234" s="365"/>
      <c r="C234" s="365"/>
      <c r="D234" s="365"/>
      <c r="E234" s="365"/>
      <c r="F234" s="365"/>
      <c r="G234" s="365"/>
      <c r="H234" s="365"/>
      <c r="I234" s="365"/>
    </row>
    <row r="235" spans="1:9" s="77" customFormat="1" x14ac:dyDescent="0.2">
      <c r="A235" s="370" t="s">
        <v>366</v>
      </c>
      <c r="B235" s="365"/>
      <c r="C235" s="365"/>
      <c r="D235" s="365"/>
      <c r="E235" s="365"/>
      <c r="F235" s="365"/>
      <c r="G235" s="365"/>
      <c r="H235" s="365"/>
      <c r="I235" s="365"/>
    </row>
    <row r="236" spans="1:9" s="77" customFormat="1" x14ac:dyDescent="0.2">
      <c r="A236" s="366" t="s">
        <v>280</v>
      </c>
      <c r="B236" s="365"/>
      <c r="C236" s="365"/>
      <c r="D236" s="365"/>
      <c r="E236" s="365"/>
      <c r="F236" s="365"/>
      <c r="G236" s="365"/>
      <c r="H236" s="365"/>
      <c r="I236" s="365"/>
    </row>
    <row r="237" spans="1:9" s="77" customFormat="1" ht="15.75" customHeight="1" x14ac:dyDescent="0.2">
      <c r="A237" s="370" t="s">
        <v>281</v>
      </c>
      <c r="B237" s="365"/>
      <c r="C237" s="365"/>
      <c r="D237" s="365"/>
      <c r="E237" s="365"/>
      <c r="F237" s="365"/>
      <c r="G237" s="365"/>
      <c r="H237" s="365"/>
      <c r="I237" s="365"/>
    </row>
    <row r="238" spans="1:9" s="77" customFormat="1" x14ac:dyDescent="0.2">
      <c r="A238" s="366" t="s">
        <v>282</v>
      </c>
      <c r="B238" s="365"/>
      <c r="C238" s="365"/>
      <c r="D238" s="365"/>
      <c r="E238" s="365"/>
      <c r="F238" s="365"/>
      <c r="G238" s="365"/>
      <c r="H238" s="365"/>
      <c r="I238" s="365"/>
    </row>
    <row r="239" spans="1:9" s="77" customFormat="1" x14ac:dyDescent="0.2">
      <c r="A239" s="366" t="s">
        <v>311</v>
      </c>
      <c r="B239" s="365"/>
      <c r="C239" s="365"/>
      <c r="D239" s="365"/>
      <c r="E239" s="365"/>
      <c r="F239" s="365"/>
      <c r="G239" s="365"/>
      <c r="H239" s="365"/>
      <c r="I239" s="365"/>
    </row>
    <row r="240" spans="1:9" s="77" customFormat="1" x14ac:dyDescent="0.2">
      <c r="A240" s="371" t="s">
        <v>283</v>
      </c>
      <c r="B240" s="365"/>
      <c r="C240" s="365"/>
      <c r="D240" s="365"/>
      <c r="E240" s="365"/>
      <c r="F240" s="365"/>
      <c r="G240" s="365"/>
      <c r="H240" s="365"/>
      <c r="I240" s="365"/>
    </row>
    <row r="241" spans="1:9" s="77" customFormat="1" x14ac:dyDescent="0.2">
      <c r="A241" s="371" t="s">
        <v>284</v>
      </c>
      <c r="B241" s="365"/>
      <c r="C241" s="365"/>
      <c r="D241" s="365"/>
      <c r="E241" s="365"/>
      <c r="F241" s="365"/>
      <c r="G241" s="365"/>
      <c r="H241" s="365"/>
      <c r="I241" s="365"/>
    </row>
    <row r="242" spans="1:9" s="77" customFormat="1" x14ac:dyDescent="0.2">
      <c r="A242" s="366" t="s">
        <v>312</v>
      </c>
      <c r="B242" s="365"/>
      <c r="C242" s="365"/>
      <c r="D242" s="365"/>
      <c r="E242" s="365"/>
      <c r="F242" s="365"/>
      <c r="G242" s="365"/>
      <c r="H242" s="365"/>
      <c r="I242" s="365"/>
    </row>
    <row r="243" spans="1:9" s="77" customFormat="1" x14ac:dyDescent="0.2">
      <c r="A243" s="366" t="s">
        <v>313</v>
      </c>
      <c r="B243" s="365"/>
      <c r="C243" s="365"/>
      <c r="D243" s="365"/>
      <c r="E243" s="365"/>
      <c r="F243" s="365"/>
      <c r="G243" s="365"/>
      <c r="H243" s="365"/>
      <c r="I243" s="365"/>
    </row>
    <row r="244" spans="1:9" s="77" customFormat="1" ht="15.75" customHeight="1" x14ac:dyDescent="0.2">
      <c r="A244" s="371" t="s">
        <v>285</v>
      </c>
      <c r="B244" s="365"/>
      <c r="C244" s="365"/>
      <c r="D244" s="365"/>
      <c r="E244" s="365"/>
      <c r="F244" s="365"/>
      <c r="G244" s="365"/>
      <c r="H244" s="365"/>
      <c r="I244" s="365"/>
    </row>
    <row r="245" spans="1:9" s="77" customFormat="1" x14ac:dyDescent="0.2">
      <c r="A245" s="366"/>
      <c r="B245" s="365"/>
      <c r="C245" s="365"/>
      <c r="D245" s="365"/>
      <c r="E245" s="365"/>
      <c r="F245" s="365"/>
      <c r="G245" s="365"/>
      <c r="H245" s="365"/>
      <c r="I245" s="365"/>
    </row>
    <row r="246" spans="1:9" s="77" customFormat="1" ht="15.75" customHeight="1" x14ac:dyDescent="0.2">
      <c r="A246" s="374" t="s">
        <v>70</v>
      </c>
      <c r="B246" s="365"/>
      <c r="C246" s="365"/>
      <c r="D246" s="365"/>
      <c r="E246" s="365"/>
      <c r="F246" s="365"/>
      <c r="G246" s="365"/>
      <c r="H246" s="365"/>
      <c r="I246" s="365"/>
    </row>
    <row r="247" spans="1:9" s="77" customFormat="1" ht="15.75" customHeight="1" x14ac:dyDescent="0.2">
      <c r="A247" s="367" t="s">
        <v>286</v>
      </c>
      <c r="B247" s="368"/>
      <c r="C247" s="368"/>
      <c r="D247" s="368"/>
      <c r="E247" s="368"/>
      <c r="F247" s="368"/>
      <c r="G247" s="368"/>
      <c r="H247" s="368"/>
      <c r="I247" s="368"/>
    </row>
    <row r="248" spans="1:9" s="77" customFormat="1" ht="15.75" customHeight="1" x14ac:dyDescent="0.2">
      <c r="A248" s="372" t="s">
        <v>324</v>
      </c>
      <c r="B248" s="375"/>
      <c r="C248" s="375"/>
      <c r="D248" s="375"/>
      <c r="E248" s="375"/>
      <c r="F248" s="375"/>
      <c r="G248" s="375"/>
      <c r="H248" s="375"/>
      <c r="I248" s="375"/>
    </row>
    <row r="249" spans="1:9" s="77" customFormat="1" ht="15.75" customHeight="1" x14ac:dyDescent="0.2">
      <c r="A249" s="372" t="s">
        <v>325</v>
      </c>
      <c r="B249" s="375"/>
      <c r="C249" s="375"/>
      <c r="D249" s="375"/>
      <c r="E249" s="375"/>
      <c r="F249" s="375"/>
      <c r="G249" s="375"/>
      <c r="H249" s="375"/>
      <c r="I249" s="375"/>
    </row>
    <row r="250" spans="1:9" s="77" customFormat="1" ht="15.75" customHeight="1" x14ac:dyDescent="0.2">
      <c r="A250" s="367"/>
      <c r="B250" s="375"/>
      <c r="C250" s="375"/>
      <c r="D250" s="375"/>
      <c r="E250" s="375"/>
      <c r="F250" s="375"/>
      <c r="G250" s="375"/>
      <c r="H250" s="375"/>
      <c r="I250" s="375"/>
    </row>
    <row r="251" spans="1:9" s="77" customFormat="1" ht="14.25" customHeight="1" x14ac:dyDescent="0.2">
      <c r="A251" s="367" t="s">
        <v>326</v>
      </c>
      <c r="B251" s="368"/>
      <c r="C251" s="368"/>
      <c r="D251" s="368"/>
      <c r="E251" s="368"/>
      <c r="F251" s="368"/>
      <c r="G251" s="368"/>
      <c r="H251" s="368"/>
      <c r="I251" s="368"/>
    </row>
    <row r="252" spans="1:9" s="77" customFormat="1" ht="15.75" customHeight="1" x14ac:dyDescent="0.2">
      <c r="A252" s="372" t="s">
        <v>324</v>
      </c>
      <c r="B252" s="368"/>
      <c r="C252" s="368"/>
      <c r="D252" s="368"/>
      <c r="E252" s="368"/>
      <c r="F252" s="368"/>
      <c r="G252" s="368"/>
      <c r="H252" s="368"/>
      <c r="I252" s="368"/>
    </row>
    <row r="253" spans="1:9" s="77" customFormat="1" ht="15.75" customHeight="1" x14ac:dyDescent="0.2">
      <c r="A253" s="372" t="s">
        <v>327</v>
      </c>
      <c r="B253" s="368"/>
      <c r="C253" s="368"/>
      <c r="D253" s="368"/>
      <c r="E253" s="368"/>
      <c r="F253" s="368"/>
      <c r="G253" s="368"/>
      <c r="H253" s="368"/>
      <c r="I253" s="368"/>
    </row>
    <row r="254" spans="1:9" s="77" customFormat="1" ht="15.75" customHeight="1" x14ac:dyDescent="0.2">
      <c r="A254" s="368"/>
      <c r="B254" s="368"/>
      <c r="C254" s="368"/>
      <c r="D254" s="368"/>
      <c r="E254" s="368"/>
      <c r="F254" s="368"/>
      <c r="G254" s="368"/>
      <c r="H254" s="368"/>
      <c r="I254" s="368"/>
    </row>
    <row r="255" spans="1:9" s="77" customFormat="1" ht="15.75" customHeight="1" x14ac:dyDescent="0.2">
      <c r="A255" s="374" t="s">
        <v>71</v>
      </c>
      <c r="B255" s="374"/>
      <c r="C255" s="374"/>
      <c r="D255" s="374"/>
      <c r="E255" s="374"/>
      <c r="F255" s="374"/>
      <c r="G255" s="374"/>
      <c r="H255" s="374"/>
      <c r="I255" s="374"/>
    </row>
    <row r="256" spans="1:9" s="77" customFormat="1" ht="15.75" customHeight="1" x14ac:dyDescent="0.2">
      <c r="A256" s="367" t="s">
        <v>287</v>
      </c>
      <c r="B256" s="368"/>
      <c r="C256" s="368"/>
      <c r="D256" s="368"/>
      <c r="E256" s="368"/>
      <c r="F256" s="368"/>
      <c r="G256" s="368"/>
      <c r="H256" s="368"/>
      <c r="I256" s="368"/>
    </row>
    <row r="257" spans="1:9" s="77" customFormat="1" ht="15.75" customHeight="1" x14ac:dyDescent="0.2">
      <c r="A257" s="372" t="s">
        <v>288</v>
      </c>
      <c r="B257" s="375"/>
      <c r="C257" s="375"/>
      <c r="D257" s="375"/>
      <c r="E257" s="375"/>
      <c r="F257" s="375"/>
      <c r="G257" s="375"/>
      <c r="H257" s="375"/>
      <c r="I257" s="375"/>
    </row>
    <row r="258" spans="1:9" ht="15.75" customHeight="1" x14ac:dyDescent="0.25">
      <c r="A258" s="368" t="s">
        <v>11</v>
      </c>
      <c r="B258" s="368"/>
      <c r="C258" s="368"/>
      <c r="D258" s="368"/>
      <c r="E258" s="368"/>
      <c r="F258" s="368"/>
      <c r="G258" s="368"/>
      <c r="H258" s="368"/>
      <c r="I258" s="368"/>
    </row>
    <row r="259" spans="1:9" ht="15.75" customHeight="1" x14ac:dyDescent="0.25">
      <c r="A259" s="310"/>
      <c r="B259" s="310"/>
      <c r="C259" s="310"/>
      <c r="D259" s="310"/>
      <c r="E259" s="310"/>
      <c r="F259" s="310"/>
      <c r="G259" s="310"/>
      <c r="H259" s="310"/>
      <c r="I259" s="310"/>
    </row>
    <row r="260" spans="1:9" ht="15.75" customHeight="1" x14ac:dyDescent="0.25">
      <c r="A260" s="310"/>
      <c r="B260" s="310"/>
      <c r="C260" s="310"/>
      <c r="D260" s="310"/>
      <c r="E260" s="310"/>
      <c r="F260" s="310"/>
      <c r="G260" s="310"/>
      <c r="H260" s="310"/>
      <c r="I260" s="310"/>
    </row>
    <row r="261" spans="1:9" s="77" customFormat="1" ht="15.75" customHeight="1" x14ac:dyDescent="0.25">
      <c r="A261" s="75"/>
      <c r="B261" s="3"/>
      <c r="C261" s="3"/>
      <c r="D261" s="3"/>
      <c r="E261" s="3"/>
      <c r="F261" s="3"/>
      <c r="G261" s="3"/>
      <c r="H261" s="3"/>
      <c r="I261" s="3"/>
    </row>
    <row r="262" spans="1:9" x14ac:dyDescent="0.25">
      <c r="A262" s="75"/>
    </row>
    <row r="263" spans="1:9" x14ac:dyDescent="0.25">
      <c r="A263" s="75"/>
    </row>
    <row r="264" spans="1:9" x14ac:dyDescent="0.25">
      <c r="A264" s="75"/>
    </row>
    <row r="265" spans="1:9" x14ac:dyDescent="0.25">
      <c r="A265" s="75"/>
    </row>
    <row r="266" spans="1:9" x14ac:dyDescent="0.25">
      <c r="A266" s="75"/>
    </row>
    <row r="267" spans="1:9" x14ac:dyDescent="0.25">
      <c r="A267" s="75"/>
    </row>
    <row r="268" spans="1:9" x14ac:dyDescent="0.25">
      <c r="A268" s="75"/>
    </row>
    <row r="269" spans="1:9" x14ac:dyDescent="0.25">
      <c r="A269" s="75"/>
    </row>
    <row r="270" spans="1:9" x14ac:dyDescent="0.25">
      <c r="A270" s="75"/>
    </row>
    <row r="271" spans="1:9" x14ac:dyDescent="0.25">
      <c r="A271" s="75"/>
    </row>
    <row r="272" spans="1:9" x14ac:dyDescent="0.25">
      <c r="A272" s="75"/>
    </row>
    <row r="273" spans="1:1" x14ac:dyDescent="0.25">
      <c r="A273" s="75"/>
    </row>
    <row r="274" spans="1:1" x14ac:dyDescent="0.25">
      <c r="A274" s="75"/>
    </row>
    <row r="275" spans="1:1" x14ac:dyDescent="0.25">
      <c r="A275" s="75"/>
    </row>
    <row r="276" spans="1:1" x14ac:dyDescent="0.25">
      <c r="A276" s="75"/>
    </row>
    <row r="277" spans="1:1" x14ac:dyDescent="0.25">
      <c r="A277" s="75"/>
    </row>
    <row r="278" spans="1:1" x14ac:dyDescent="0.25">
      <c r="A278" s="75"/>
    </row>
    <row r="279" spans="1:1" x14ac:dyDescent="0.25">
      <c r="A279" s="75"/>
    </row>
    <row r="280" spans="1:1" x14ac:dyDescent="0.25">
      <c r="A280" s="75"/>
    </row>
    <row r="281" spans="1:1" x14ac:dyDescent="0.25">
      <c r="A281" s="75"/>
    </row>
    <row r="282" spans="1:1" x14ac:dyDescent="0.25">
      <c r="A282" s="75"/>
    </row>
    <row r="283" spans="1:1" x14ac:dyDescent="0.25">
      <c r="A283" s="75"/>
    </row>
  </sheetData>
  <mergeCells count="146">
    <mergeCell ref="B1:I1"/>
    <mergeCell ref="A4:B4"/>
    <mergeCell ref="C4:E4"/>
    <mergeCell ref="A7:I7"/>
    <mergeCell ref="F11:G11"/>
    <mergeCell ref="A12:B12"/>
    <mergeCell ref="F12:G12"/>
    <mergeCell ref="A13:B13"/>
    <mergeCell ref="F13:G13"/>
    <mergeCell ref="A14:B14"/>
    <mergeCell ref="F14:G14"/>
    <mergeCell ref="A15:B15"/>
    <mergeCell ref="F15:G15"/>
    <mergeCell ref="A16:B16"/>
    <mergeCell ref="F16:G16"/>
    <mergeCell ref="A17:B17"/>
    <mergeCell ref="F17:G17"/>
    <mergeCell ref="A18:B18"/>
    <mergeCell ref="F18:G18"/>
    <mergeCell ref="A19:B19"/>
    <mergeCell ref="F19:G19"/>
    <mergeCell ref="A20:B20"/>
    <mergeCell ref="F20:G20"/>
    <mergeCell ref="A21:B21"/>
    <mergeCell ref="F21:G21"/>
    <mergeCell ref="A22:B22"/>
    <mergeCell ref="F22:G22"/>
    <mergeCell ref="A23:B23"/>
    <mergeCell ref="F23:G23"/>
    <mergeCell ref="A24:B24"/>
    <mergeCell ref="F24:G24"/>
    <mergeCell ref="A25:B25"/>
    <mergeCell ref="F25:G25"/>
    <mergeCell ref="A26:B26"/>
    <mergeCell ref="F26:G26"/>
    <mergeCell ref="A27:B27"/>
    <mergeCell ref="F27:G27"/>
    <mergeCell ref="A28:B28"/>
    <mergeCell ref="F28:G28"/>
    <mergeCell ref="A29:B29"/>
    <mergeCell ref="F29:G29"/>
    <mergeCell ref="A30:B30"/>
    <mergeCell ref="F30:G30"/>
    <mergeCell ref="F31:G31"/>
    <mergeCell ref="A32:B32"/>
    <mergeCell ref="A37:B37"/>
    <mergeCell ref="A38:B38"/>
    <mergeCell ref="A39:B39"/>
    <mergeCell ref="A40:B40"/>
    <mergeCell ref="A41:B41"/>
    <mergeCell ref="A42:B42"/>
    <mergeCell ref="A43:B43"/>
    <mergeCell ref="A137:B145"/>
    <mergeCell ref="A146:B146"/>
    <mergeCell ref="F146:H146"/>
    <mergeCell ref="A147:I147"/>
    <mergeCell ref="A148:I148"/>
    <mergeCell ref="A66:B66"/>
    <mergeCell ref="D66:G66"/>
    <mergeCell ref="C91:D91"/>
    <mergeCell ref="C92:D92"/>
    <mergeCell ref="C96:D96"/>
    <mergeCell ref="A103:B103"/>
    <mergeCell ref="A110:B110"/>
    <mergeCell ref="F110:G110"/>
    <mergeCell ref="A113:B113"/>
    <mergeCell ref="A63:B63"/>
    <mergeCell ref="D63:G63"/>
    <mergeCell ref="A57:B57"/>
    <mergeCell ref="D57:G57"/>
    <mergeCell ref="A60:B60"/>
    <mergeCell ref="D60:G60"/>
    <mergeCell ref="F160:H160"/>
    <mergeCell ref="A165:C165"/>
    <mergeCell ref="A166:C166"/>
    <mergeCell ref="A163:C163"/>
    <mergeCell ref="A164:C164"/>
    <mergeCell ref="A167:C167"/>
    <mergeCell ref="A172:C172"/>
    <mergeCell ref="A174:I174"/>
    <mergeCell ref="A149:B149"/>
    <mergeCell ref="D149:G149"/>
    <mergeCell ref="A151:I151"/>
    <mergeCell ref="A152:B152"/>
    <mergeCell ref="D152:G152"/>
    <mergeCell ref="A155:C155"/>
    <mergeCell ref="A156:C156"/>
    <mergeCell ref="A157:C157"/>
    <mergeCell ref="A158:C158"/>
    <mergeCell ref="C177:D177"/>
    <mergeCell ref="C178:D178"/>
    <mergeCell ref="C179:D179"/>
    <mergeCell ref="F195:G195"/>
    <mergeCell ref="C180:D180"/>
    <mergeCell ref="A181:I181"/>
    <mergeCell ref="F183:I183"/>
    <mergeCell ref="A186:B186"/>
    <mergeCell ref="A187:B187"/>
    <mergeCell ref="A190:C190"/>
    <mergeCell ref="F190:I190"/>
    <mergeCell ref="C191:E191"/>
    <mergeCell ref="F192:G192"/>
    <mergeCell ref="A193:B193"/>
    <mergeCell ref="F193:G193"/>
    <mergeCell ref="A206:G206"/>
    <mergeCell ref="A207:G207"/>
    <mergeCell ref="A200:C200"/>
    <mergeCell ref="F200:H200"/>
    <mergeCell ref="A202:H202"/>
    <mergeCell ref="A197:B197"/>
    <mergeCell ref="A196:B196"/>
    <mergeCell ref="A194:B194"/>
    <mergeCell ref="F194:G194"/>
    <mergeCell ref="F199:H199"/>
    <mergeCell ref="F196:G196"/>
    <mergeCell ref="A195:B195"/>
    <mergeCell ref="C175:D175"/>
    <mergeCell ref="C176:D176"/>
    <mergeCell ref="C93:D93"/>
    <mergeCell ref="C94:D94"/>
    <mergeCell ref="C95:D95"/>
    <mergeCell ref="A74:C74"/>
    <mergeCell ref="A75:C75"/>
    <mergeCell ref="A86:C86"/>
    <mergeCell ref="A88:C88"/>
    <mergeCell ref="A115:C115"/>
    <mergeCell ref="A159:C159"/>
    <mergeCell ref="F115:H115"/>
    <mergeCell ref="A117:H117"/>
    <mergeCell ref="A121:G121"/>
    <mergeCell ref="A122:G122"/>
    <mergeCell ref="A111:B111"/>
    <mergeCell ref="F111:G111"/>
    <mergeCell ref="A112:B112"/>
    <mergeCell ref="F112:G112"/>
    <mergeCell ref="A69:B69"/>
    <mergeCell ref="D69:G69"/>
    <mergeCell ref="A106:C106"/>
    <mergeCell ref="F106:I106"/>
    <mergeCell ref="C107:E107"/>
    <mergeCell ref="F108:G108"/>
    <mergeCell ref="A109:B109"/>
    <mergeCell ref="F109:G109"/>
    <mergeCell ref="A97:I97"/>
    <mergeCell ref="F99:I99"/>
    <mergeCell ref="A102:B102"/>
  </mergeCells>
  <pageMargins left="0.75" right="0.1" top="0.5" bottom="0.5" header="0" footer="0.1"/>
  <pageSetup scale="65" fitToHeight="2" orientation="portrait" r:id="rId1"/>
  <headerFooter alignWithMargins="0">
    <oddFooter>&amp;L&amp;8&amp;Z&amp;F&amp;R&amp;8&amp;P / &amp;N</oddFooter>
  </headerFooter>
  <rowBreaks count="1" manualBreakCount="1">
    <brk id="172"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CCCC"/>
  </sheetPr>
  <dimension ref="A1:V209"/>
  <sheetViews>
    <sheetView showGridLines="0" zoomScaleNormal="100" workbookViewId="0">
      <pane ySplit="1" topLeftCell="A117"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307</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4"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32.61</v>
      </c>
      <c r="D14" s="149">
        <v>34.46</v>
      </c>
      <c r="E14" s="196">
        <f>IF(D$30=0,C14*2,C14+D14)</f>
        <v>67.069999999999993</v>
      </c>
      <c r="F14" s="625">
        <f>'0664'!F14:G14</f>
        <v>1.1220000000000001</v>
      </c>
      <c r="G14" s="625"/>
      <c r="H14" s="153">
        <f>ROUND(E14*F14,4)</f>
        <v>75.252499999999998</v>
      </c>
      <c r="I14" s="112">
        <f>ROUND(ROUND(ROUND(H14*$C$8,4)*($H$8),2)*(MAX($H$9,1)),2)</f>
        <v>403873.1</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4</v>
      </c>
      <c r="D15" s="151">
        <v>4.6500000000000004</v>
      </c>
      <c r="E15" s="117">
        <f t="shared" ref="E15:E29" si="1">IF(D$30=0,C15*2,C15+D15)</f>
        <v>8.65</v>
      </c>
      <c r="F15" s="622">
        <f>'0664'!F15:G15</f>
        <v>1.1220000000000001</v>
      </c>
      <c r="G15" s="622"/>
      <c r="H15" s="81">
        <f t="shared" ref="H15:H29" si="2">ROUND(E15*F15,4)</f>
        <v>9.7052999999999994</v>
      </c>
      <c r="I15" s="102">
        <f t="shared" ref="I15:I29" si="3">ROUND(ROUND(ROUND(H15*$C$8,4)*($H$8),2)*(MAX($H$9,1)),2)</f>
        <v>52087.43</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34.11</v>
      </c>
      <c r="D16" s="151">
        <v>34.01</v>
      </c>
      <c r="E16" s="117">
        <f t="shared" si="1"/>
        <v>68.12</v>
      </c>
      <c r="F16" s="622">
        <f>'0664'!F16:G16</f>
        <v>1</v>
      </c>
      <c r="G16" s="622"/>
      <c r="H16" s="81">
        <f t="shared" si="2"/>
        <v>68.12</v>
      </c>
      <c r="I16" s="102">
        <f t="shared" si="3"/>
        <v>365593.64</v>
      </c>
      <c r="N16" s="635" t="s">
        <v>22</v>
      </c>
      <c r="O16" s="635"/>
      <c r="P16" s="636">
        <f t="shared" si="0"/>
        <v>0</v>
      </c>
      <c r="Q16" s="636"/>
      <c r="R16" s="637">
        <v>1</v>
      </c>
      <c r="S16" s="637"/>
      <c r="T16" s="96">
        <f t="shared" si="4"/>
        <v>0</v>
      </c>
      <c r="U16" s="97">
        <f t="shared" si="5"/>
        <v>0</v>
      </c>
    </row>
    <row r="17" spans="1:21" x14ac:dyDescent="0.25">
      <c r="A17" s="586" t="s">
        <v>23</v>
      </c>
      <c r="B17" s="586"/>
      <c r="C17" s="151">
        <v>6.5</v>
      </c>
      <c r="D17" s="151">
        <v>6</v>
      </c>
      <c r="E17" s="117">
        <f t="shared" si="1"/>
        <v>12.5</v>
      </c>
      <c r="F17" s="622">
        <f>'0664'!F17:G17</f>
        <v>1</v>
      </c>
      <c r="G17" s="622"/>
      <c r="H17" s="81">
        <f t="shared" si="2"/>
        <v>12.5</v>
      </c>
      <c r="I17" s="102">
        <f t="shared" si="3"/>
        <v>67086.33</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f>'0664'!F19:G19</f>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4.8899999999999997</v>
      </c>
      <c r="D26" s="151">
        <v>5.49</v>
      </c>
      <c r="E26" s="117">
        <f t="shared" si="1"/>
        <v>10.379999999999999</v>
      </c>
      <c r="F26" s="622">
        <f>'0664'!F26:G26</f>
        <v>1.208</v>
      </c>
      <c r="G26" s="622"/>
      <c r="H26" s="81">
        <f t="shared" si="2"/>
        <v>12.539</v>
      </c>
      <c r="I26" s="102">
        <f t="shared" si="3"/>
        <v>67295.64</v>
      </c>
      <c r="N26" s="635" t="s">
        <v>91</v>
      </c>
      <c r="O26" s="635"/>
      <c r="P26" s="636">
        <f t="shared" si="0"/>
        <v>0</v>
      </c>
      <c r="Q26" s="636"/>
      <c r="R26" s="637">
        <v>1</v>
      </c>
      <c r="S26" s="637"/>
      <c r="T26" s="96">
        <f t="shared" si="4"/>
        <v>0</v>
      </c>
      <c r="U26" s="97">
        <f t="shared" si="5"/>
        <v>0</v>
      </c>
    </row>
    <row r="27" spans="1:21" x14ac:dyDescent="0.25">
      <c r="A27" s="586" t="s">
        <v>92</v>
      </c>
      <c r="B27" s="586"/>
      <c r="C27" s="151">
        <v>1.33</v>
      </c>
      <c r="D27" s="151">
        <v>1.55</v>
      </c>
      <c r="E27" s="117">
        <f t="shared" si="1"/>
        <v>2.88</v>
      </c>
      <c r="F27" s="622">
        <f>'0664'!F27:G27</f>
        <v>1.208</v>
      </c>
      <c r="G27" s="622"/>
      <c r="H27" s="81">
        <f t="shared" si="2"/>
        <v>3.4790000000000001</v>
      </c>
      <c r="I27" s="102">
        <f t="shared" si="3"/>
        <v>18671.47</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83.44</v>
      </c>
      <c r="D30" s="95">
        <f>SUM(D14:D29)</f>
        <v>86.16</v>
      </c>
      <c r="E30" s="95">
        <f>SUM(E14:E29)</f>
        <v>169.6</v>
      </c>
      <c r="F30" s="609"/>
      <c r="G30" s="609"/>
      <c r="H30" s="100">
        <f>SUM(H14:H29)</f>
        <v>181.5958</v>
      </c>
      <c r="I30" s="95">
        <f>SUM(I14:I29)</f>
        <v>974607.60999999987</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50">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52">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52">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52">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52">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44">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181.5958</v>
      </c>
      <c r="F46" s="34"/>
      <c r="G46" s="107"/>
      <c r="H46" s="108" t="s">
        <v>104</v>
      </c>
      <c r="I46" s="95">
        <f>SUM(I44,I30)</f>
        <v>974607.60999999987</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974607.60999999987</v>
      </c>
      <c r="G51" s="110" t="s">
        <v>6</v>
      </c>
      <c r="H51" s="425">
        <v>4.5199999999999997E-2</v>
      </c>
      <c r="I51" s="102">
        <f>ROUND(F51*H51,2)</f>
        <v>44052.26</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974607.60999999987</v>
      </c>
      <c r="G52" s="110" t="s">
        <v>6</v>
      </c>
      <c r="H52" s="425">
        <v>1.41E-2</v>
      </c>
      <c r="I52" s="102">
        <f>ROUND(F52*H52,2)</f>
        <v>13741.97</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57794.23</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169.6</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8.34E-4</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181.5958</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7.9799999999999999E-4</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169.6</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9.0700000000000004E-4</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169.6</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8.3500000000000002E-4</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169.6</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9.0799999999999995E-4</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8.3500000000000002E-4</v>
      </c>
      <c r="I71" s="102">
        <f>ROUND(F71*H71,2)</f>
        <v>37295.72</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61"/>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8.34E-4</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9.0799999999999995E-4</v>
      </c>
      <c r="I76" s="102">
        <f>ROUND(F76*H76,2)</f>
        <v>14679.68</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9.0700000000000004E-4</v>
      </c>
      <c r="I78" s="102">
        <f t="shared" ref="I78:I87" si="10">ROUND(F78*H78,2)</f>
        <v>9106.3700000000008</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21.15</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21.15</v>
      </c>
      <c r="G83" s="37" t="s">
        <v>6</v>
      </c>
      <c r="H83" s="448">
        <f>'0664'!H83</f>
        <v>1951.26</v>
      </c>
      <c r="I83" s="102">
        <f>ROUND(F83*H83,2)</f>
        <v>41269.15</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7.9799999999999999E-4</v>
      </c>
      <c r="I85" s="102">
        <f t="shared" si="10"/>
        <v>187041.97</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7.9799999999999999E-4</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97.496799999999993</v>
      </c>
      <c r="D92" s="597"/>
      <c r="E92" s="47">
        <f>H8</f>
        <v>1.0442</v>
      </c>
      <c r="F92" s="320">
        <f>'0664'!F92</f>
        <v>947.59</v>
      </c>
      <c r="G92" s="39" t="s">
        <v>12</v>
      </c>
      <c r="H92" s="102">
        <f>ROUND(C92*E92*F92,2)</f>
        <v>96470.5</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84.099000000000004</v>
      </c>
      <c r="D93" s="597"/>
      <c r="E93" s="47">
        <f>H8</f>
        <v>1.0442</v>
      </c>
      <c r="F93" s="320">
        <f>'0664'!F93</f>
        <v>904.74</v>
      </c>
      <c r="G93" s="39" t="s">
        <v>12</v>
      </c>
      <c r="H93" s="102">
        <f>ROUND(C93*E93*F93,2)</f>
        <v>79450.81</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20">
        <f>'0664'!F94</f>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181.5958</v>
      </c>
      <c r="D95" s="601"/>
      <c r="E95" s="130"/>
      <c r="F95" s="130"/>
      <c r="G95" s="130"/>
      <c r="H95" s="131" t="s">
        <v>112</v>
      </c>
      <c r="I95" s="102">
        <f>IF(A1=75,0,H94+H93+H92)</f>
        <v>175921.31</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4"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1</v>
      </c>
      <c r="D101" s="151">
        <v>0</v>
      </c>
      <c r="E101" s="152">
        <f>(C101+D101)/2</f>
        <v>0.5</v>
      </c>
      <c r="F101" s="134" t="s">
        <v>30</v>
      </c>
      <c r="G101" s="321">
        <f>'0664'!G101</f>
        <v>565</v>
      </c>
      <c r="I101" s="102">
        <f>ROUND(G101*E101,2)</f>
        <v>282.5</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52">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50">
        <f>IF(D30=0,C109*2,C109+D109)</f>
        <v>0</v>
      </c>
      <c r="F109" s="688">
        <v>0</v>
      </c>
      <c r="G109" s="688"/>
      <c r="H109" s="62">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52">
        <f>IF(D31=0,C110*2,C110+D110)</f>
        <v>0</v>
      </c>
      <c r="F110" s="588">
        <f>ROUND(F109/2,2)</f>
        <v>0</v>
      </c>
      <c r="G110" s="588"/>
      <c r="H110" s="62">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52">
        <f>IF(D32=0,C111*2,C111+D111)</f>
        <v>0</v>
      </c>
      <c r="F111" s="589"/>
      <c r="G111" s="589"/>
      <c r="H111" s="64">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1497998.5399999998</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1440204.3099999998</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1440204.3099999998</v>
      </c>
      <c r="I123" s="95">
        <f>ROUND(IF(E30=0,0,IF(E30&gt;250,-(((250/E30)*H123)*IF(G123="H",0.02,0.05)),IF(G123="H",-0.02*H123,-0.05*H123))),2)</f>
        <v>-72010.22</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1425988.3199999998</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1425988.3199999998</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118832.36</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0</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T9:U9"/>
    <mergeCell ref="A62:B62"/>
    <mergeCell ref="D62:G62"/>
    <mergeCell ref="N62:O62"/>
    <mergeCell ref="Q62:S62"/>
    <mergeCell ref="T62:U62"/>
    <mergeCell ref="N63:S63"/>
    <mergeCell ref="T63:U63"/>
    <mergeCell ref="A65:B65"/>
    <mergeCell ref="D65:G65"/>
    <mergeCell ref="N65:O65"/>
    <mergeCell ref="Q65:S65"/>
    <mergeCell ref="T65:U65"/>
    <mergeCell ref="N57:S57"/>
    <mergeCell ref="T57:U57"/>
    <mergeCell ref="A59:B59"/>
    <mergeCell ref="D59:G59"/>
    <mergeCell ref="N59:O59"/>
    <mergeCell ref="Q59:S59"/>
    <mergeCell ref="T59:U59"/>
    <mergeCell ref="A56:B56"/>
    <mergeCell ref="D56:G56"/>
    <mergeCell ref="N56:O56"/>
    <mergeCell ref="Q56:S56"/>
    <mergeCell ref="N140:U140"/>
    <mergeCell ref="N115:T115"/>
    <mergeCell ref="A116:H116"/>
    <mergeCell ref="A120:G120"/>
    <mergeCell ref="N120:U120"/>
    <mergeCell ref="A121:G121"/>
    <mergeCell ref="N121:U121"/>
    <mergeCell ref="A112:B112"/>
    <mergeCell ref="N112:O112"/>
    <mergeCell ref="A114:C114"/>
    <mergeCell ref="F114:H114"/>
    <mergeCell ref="N114:P114"/>
    <mergeCell ref="A110:B110"/>
    <mergeCell ref="F110:G110"/>
    <mergeCell ref="N110:O110"/>
    <mergeCell ref="P110:Q110"/>
    <mergeCell ref="R110:S110"/>
    <mergeCell ref="A111:B111"/>
    <mergeCell ref="F111:G111"/>
    <mergeCell ref="N111:O111"/>
    <mergeCell ref="P111:Q111"/>
    <mergeCell ref="R111:S111"/>
    <mergeCell ref="R108:S108"/>
    <mergeCell ref="A109:B109"/>
    <mergeCell ref="F109:G109"/>
    <mergeCell ref="N109:O109"/>
    <mergeCell ref="P109:Q109"/>
    <mergeCell ref="R109:S109"/>
    <mergeCell ref="C106:E106"/>
    <mergeCell ref="F107:G107"/>
    <mergeCell ref="A108:B108"/>
    <mergeCell ref="F108:G108"/>
    <mergeCell ref="N108:O108"/>
    <mergeCell ref="P108:Q108"/>
    <mergeCell ref="A102:B102"/>
    <mergeCell ref="N102:O102"/>
    <mergeCell ref="P102:R102"/>
    <mergeCell ref="A105:C105"/>
    <mergeCell ref="F105:I105"/>
    <mergeCell ref="N105:U105"/>
    <mergeCell ref="A96:I96"/>
    <mergeCell ref="N96:U96"/>
    <mergeCell ref="F98:I98"/>
    <mergeCell ref="N98:P98"/>
    <mergeCell ref="Q98:T98"/>
    <mergeCell ref="A101:B101"/>
    <mergeCell ref="N101:O101"/>
    <mergeCell ref="P101:R101"/>
    <mergeCell ref="C93:D93"/>
    <mergeCell ref="P93:Q93"/>
    <mergeCell ref="C94:D94"/>
    <mergeCell ref="P94:Q94"/>
    <mergeCell ref="C95:D95"/>
    <mergeCell ref="P95:T95"/>
    <mergeCell ref="C90:D90"/>
    <mergeCell ref="C91:D91"/>
    <mergeCell ref="N91:O91"/>
    <mergeCell ref="P91:Q91"/>
    <mergeCell ref="R91:U91"/>
    <mergeCell ref="C92:D92"/>
    <mergeCell ref="P92:Q92"/>
    <mergeCell ref="A87:C87"/>
    <mergeCell ref="N87:P87"/>
    <mergeCell ref="A85:C85"/>
    <mergeCell ref="A74:C74"/>
    <mergeCell ref="N60:S60"/>
    <mergeCell ref="T60:U60"/>
    <mergeCell ref="A73:C73"/>
    <mergeCell ref="N73:P73"/>
    <mergeCell ref="N66:S66"/>
    <mergeCell ref="T66:U66"/>
    <mergeCell ref="A68:B68"/>
    <mergeCell ref="D68:G68"/>
    <mergeCell ref="N68:O68"/>
    <mergeCell ref="Q68:S68"/>
    <mergeCell ref="T68:U68"/>
    <mergeCell ref="N69:S69"/>
    <mergeCell ref="T69:U69"/>
    <mergeCell ref="N74:P74"/>
    <mergeCell ref="T56:U56"/>
    <mergeCell ref="N44:Q44"/>
    <mergeCell ref="S44:T44"/>
    <mergeCell ref="N46:Q46"/>
    <mergeCell ref="S46:T46"/>
    <mergeCell ref="A42:B42"/>
    <mergeCell ref="N42:O42"/>
    <mergeCell ref="P42:T42"/>
    <mergeCell ref="A43:B43"/>
    <mergeCell ref="N43:O43"/>
    <mergeCell ref="P43:T43"/>
    <mergeCell ref="A40:B40"/>
    <mergeCell ref="N40:O40"/>
    <mergeCell ref="P40:T40"/>
    <mergeCell ref="A41:B41"/>
    <mergeCell ref="N41:O41"/>
    <mergeCell ref="P41:T41"/>
    <mergeCell ref="A38:B38"/>
    <mergeCell ref="N38:O38"/>
    <mergeCell ref="P38:T38"/>
    <mergeCell ref="A39:B39"/>
    <mergeCell ref="N39:O39"/>
    <mergeCell ref="P39:T39"/>
    <mergeCell ref="A30:B30"/>
    <mergeCell ref="F30:G30"/>
    <mergeCell ref="N30:O30"/>
    <mergeCell ref="P30:Q30"/>
    <mergeCell ref="R30:S30"/>
    <mergeCell ref="F34:H37"/>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N13:O13"/>
    <mergeCell ref="P13:Q13"/>
    <mergeCell ref="R13:S13"/>
    <mergeCell ref="A14:B14"/>
    <mergeCell ref="F14:G14"/>
    <mergeCell ref="N14:O14"/>
    <mergeCell ref="P14:Q14"/>
    <mergeCell ref="R14:S14"/>
    <mergeCell ref="A15:B15"/>
    <mergeCell ref="F15:G15"/>
    <mergeCell ref="N15:O15"/>
    <mergeCell ref="P15:Q15"/>
    <mergeCell ref="R15:S15"/>
    <mergeCell ref="N7:U7"/>
    <mergeCell ref="N8:O8"/>
    <mergeCell ref="P8:Q8"/>
    <mergeCell ref="R8:S8"/>
    <mergeCell ref="T8:U8"/>
    <mergeCell ref="F11:G11"/>
    <mergeCell ref="R11:S11"/>
    <mergeCell ref="N85:P85"/>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CCCC"/>
  </sheetPr>
  <dimension ref="A1:V209"/>
  <sheetViews>
    <sheetView showGridLines="0" zoomScaleNormal="100" workbookViewId="0">
      <pane ySplit="1" topLeftCell="A117"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329</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4"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195.19</v>
      </c>
      <c r="D16" s="151">
        <v>199.34</v>
      </c>
      <c r="E16" s="117">
        <f t="shared" si="1"/>
        <v>394.53</v>
      </c>
      <c r="F16" s="622">
        <f>'0664'!F16:G16</f>
        <v>1</v>
      </c>
      <c r="G16" s="622"/>
      <c r="H16" s="81">
        <f t="shared" si="2"/>
        <v>394.53</v>
      </c>
      <c r="I16" s="102">
        <f t="shared" si="3"/>
        <v>2117405.4500000002</v>
      </c>
      <c r="N16" s="635" t="s">
        <v>22</v>
      </c>
      <c r="O16" s="635"/>
      <c r="P16" s="636">
        <f t="shared" si="0"/>
        <v>0</v>
      </c>
      <c r="Q16" s="636"/>
      <c r="R16" s="637">
        <v>1</v>
      </c>
      <c r="S16" s="637"/>
      <c r="T16" s="96">
        <f t="shared" si="4"/>
        <v>0</v>
      </c>
      <c r="U16" s="97">
        <f t="shared" si="5"/>
        <v>0</v>
      </c>
    </row>
    <row r="17" spans="1:21" x14ac:dyDescent="0.25">
      <c r="A17" s="586" t="s">
        <v>23</v>
      </c>
      <c r="B17" s="586"/>
      <c r="C17" s="151">
        <v>30</v>
      </c>
      <c r="D17" s="151">
        <v>31.22</v>
      </c>
      <c r="E17" s="117">
        <f t="shared" si="1"/>
        <v>61.22</v>
      </c>
      <c r="F17" s="622">
        <f>'0664'!F17:G17</f>
        <v>1</v>
      </c>
      <c r="G17" s="622"/>
      <c r="H17" s="81">
        <f t="shared" si="2"/>
        <v>61.22</v>
      </c>
      <c r="I17" s="102">
        <f t="shared" si="3"/>
        <v>328561.99</v>
      </c>
      <c r="J17" s="66"/>
      <c r="N17" s="635" t="s">
        <v>23</v>
      </c>
      <c r="O17" s="635"/>
      <c r="P17" s="636">
        <f t="shared" si="0"/>
        <v>0</v>
      </c>
      <c r="Q17" s="636"/>
      <c r="R17" s="637">
        <v>1</v>
      </c>
      <c r="S17" s="637"/>
      <c r="T17" s="96">
        <f t="shared" si="4"/>
        <v>0</v>
      </c>
      <c r="U17" s="97">
        <f t="shared" si="5"/>
        <v>0</v>
      </c>
    </row>
    <row r="18" spans="1:21" x14ac:dyDescent="0.25">
      <c r="A18" s="586" t="s">
        <v>24</v>
      </c>
      <c r="B18" s="586"/>
      <c r="C18" s="151">
        <v>165.69</v>
      </c>
      <c r="D18" s="151">
        <v>160.24</v>
      </c>
      <c r="E18" s="117">
        <f t="shared" si="1"/>
        <v>325.93</v>
      </c>
      <c r="F18" s="622">
        <f>'0664'!F18:G18</f>
        <v>0.98799999999999999</v>
      </c>
      <c r="G18" s="622"/>
      <c r="H18" s="81">
        <f t="shared" si="2"/>
        <v>322.0188</v>
      </c>
      <c r="I18" s="102">
        <f t="shared" si="3"/>
        <v>1728244.65</v>
      </c>
      <c r="N18" s="635" t="s">
        <v>24</v>
      </c>
      <c r="O18" s="635"/>
      <c r="P18" s="636">
        <f t="shared" si="0"/>
        <v>0</v>
      </c>
      <c r="Q18" s="636"/>
      <c r="R18" s="637">
        <v>1</v>
      </c>
      <c r="S18" s="637"/>
      <c r="T18" s="96">
        <f t="shared" si="4"/>
        <v>0</v>
      </c>
      <c r="U18" s="97">
        <f t="shared" si="5"/>
        <v>0</v>
      </c>
    </row>
    <row r="19" spans="1:21" x14ac:dyDescent="0.25">
      <c r="A19" s="586" t="s">
        <v>25</v>
      </c>
      <c r="B19" s="586"/>
      <c r="C19" s="151">
        <v>18.5</v>
      </c>
      <c r="D19" s="151">
        <v>18.04</v>
      </c>
      <c r="E19" s="117">
        <f t="shared" si="1"/>
        <v>36.54</v>
      </c>
      <c r="F19" s="622">
        <f>'0664'!F19:G19</f>
        <v>0.98799999999999999</v>
      </c>
      <c r="G19" s="622"/>
      <c r="H19" s="81">
        <f t="shared" si="2"/>
        <v>36.101500000000001</v>
      </c>
      <c r="I19" s="102">
        <f t="shared" si="3"/>
        <v>193753.36</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39.479999999999997</v>
      </c>
      <c r="D27" s="151">
        <v>41.89</v>
      </c>
      <c r="E27" s="117">
        <f t="shared" si="1"/>
        <v>81.37</v>
      </c>
      <c r="F27" s="622">
        <f>'0664'!F27:G27</f>
        <v>1.208</v>
      </c>
      <c r="G27" s="622"/>
      <c r="H27" s="81">
        <f t="shared" si="2"/>
        <v>98.295000000000002</v>
      </c>
      <c r="I27" s="102">
        <f t="shared" si="3"/>
        <v>527540.03</v>
      </c>
      <c r="N27" s="635" t="s">
        <v>92</v>
      </c>
      <c r="O27" s="635"/>
      <c r="P27" s="636">
        <f t="shared" si="0"/>
        <v>0</v>
      </c>
      <c r="Q27" s="636"/>
      <c r="R27" s="637">
        <v>1</v>
      </c>
      <c r="S27" s="637"/>
      <c r="T27" s="96">
        <f t="shared" si="4"/>
        <v>0</v>
      </c>
      <c r="U27" s="97">
        <f t="shared" si="5"/>
        <v>0</v>
      </c>
    </row>
    <row r="28" spans="1:21" x14ac:dyDescent="0.25">
      <c r="A28" s="586" t="s">
        <v>93</v>
      </c>
      <c r="B28" s="586"/>
      <c r="C28" s="151">
        <v>34.840000000000003</v>
      </c>
      <c r="D28" s="151">
        <v>33.46</v>
      </c>
      <c r="E28" s="117">
        <f t="shared" si="1"/>
        <v>68.300000000000011</v>
      </c>
      <c r="F28" s="622">
        <f>'0664'!F28:G28</f>
        <v>1.208</v>
      </c>
      <c r="G28" s="622"/>
      <c r="H28" s="81">
        <f t="shared" si="2"/>
        <v>82.506399999999999</v>
      </c>
      <c r="I28" s="102">
        <f t="shared" si="3"/>
        <v>442804.1</v>
      </c>
      <c r="N28" s="635" t="s">
        <v>93</v>
      </c>
      <c r="O28" s="635"/>
      <c r="P28" s="636">
        <f t="shared" si="0"/>
        <v>0</v>
      </c>
      <c r="Q28" s="636"/>
      <c r="R28" s="637">
        <v>1</v>
      </c>
      <c r="S28" s="637"/>
      <c r="T28" s="96">
        <f t="shared" si="4"/>
        <v>0</v>
      </c>
      <c r="U28" s="97">
        <f t="shared" si="5"/>
        <v>0</v>
      </c>
    </row>
    <row r="29" spans="1:21" x14ac:dyDescent="0.25">
      <c r="A29" s="586" t="s">
        <v>94</v>
      </c>
      <c r="B29" s="586"/>
      <c r="C29" s="111">
        <v>19.239999999999998</v>
      </c>
      <c r="D29" s="111">
        <v>20.22</v>
      </c>
      <c r="E29" s="163">
        <f t="shared" si="1"/>
        <v>39.459999999999994</v>
      </c>
      <c r="F29" s="622">
        <f>'0664'!F29:G29</f>
        <v>1.0720000000000001</v>
      </c>
      <c r="G29" s="622"/>
      <c r="H29" s="94">
        <f t="shared" si="2"/>
        <v>42.301099999999998</v>
      </c>
      <c r="I29" s="95">
        <f t="shared" si="3"/>
        <v>227026.03</v>
      </c>
      <c r="N29" s="652" t="s">
        <v>94</v>
      </c>
      <c r="O29" s="652"/>
      <c r="P29" s="636">
        <f t="shared" si="0"/>
        <v>0</v>
      </c>
      <c r="Q29" s="636"/>
      <c r="R29" s="653">
        <v>1</v>
      </c>
      <c r="S29" s="653"/>
      <c r="T29" s="96">
        <f t="shared" si="4"/>
        <v>0</v>
      </c>
      <c r="U29" s="97">
        <f t="shared" si="5"/>
        <v>0</v>
      </c>
    </row>
    <row r="30" spans="1:21" x14ac:dyDescent="0.25">
      <c r="A30" s="584" t="s">
        <v>5</v>
      </c>
      <c r="B30" s="584"/>
      <c r="C30" s="95">
        <f>SUM(C14:C29)</f>
        <v>502.94000000000005</v>
      </c>
      <c r="D30" s="95">
        <f>SUM(D14:D29)</f>
        <v>504.40999999999997</v>
      </c>
      <c r="E30" s="95">
        <f>SUM(E14:E29)</f>
        <v>1007.3500000000001</v>
      </c>
      <c r="F30" s="609"/>
      <c r="G30" s="609"/>
      <c r="H30" s="100">
        <f>SUM(H14:H29)</f>
        <v>1036.9728</v>
      </c>
      <c r="I30" s="95">
        <f>SUM(I14:I29)</f>
        <v>5565335.6100000003</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50">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52">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52">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52">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52">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44">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1036.9728</v>
      </c>
      <c r="F46" s="34"/>
      <c r="G46" s="107"/>
      <c r="H46" s="108" t="s">
        <v>104</v>
      </c>
      <c r="I46" s="95">
        <f>SUM(I44,I30)</f>
        <v>5565335.6100000003</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5565335.6100000003</v>
      </c>
      <c r="G51" s="110" t="s">
        <v>6</v>
      </c>
      <c r="H51" s="425">
        <v>4.5199999999999997E-2</v>
      </c>
      <c r="I51" s="102">
        <f>ROUND(F51*H51,2)</f>
        <v>251553.17</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5565335.6100000003</v>
      </c>
      <c r="G52" s="110" t="s">
        <v>6</v>
      </c>
      <c r="H52" s="425">
        <v>1.41E-2</v>
      </c>
      <c r="I52" s="102">
        <f>ROUND(F52*H52,2)</f>
        <v>78471.23</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330024.40000000002</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1007.3500000000001</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4.9550000000000002E-3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1036.9728</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4.5570000000000003E-3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1007.3500000000001</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5.3899999999999998E-3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1007.3500000000001</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4.96E-3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1007.3500000000001</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5.3959999999999998E-3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4.96E-3</v>
      </c>
      <c r="I71" s="102">
        <f>ROUND(F71*H71,2)</f>
        <v>221541.06</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61"/>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4.9550000000000002E-3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5.3959999999999998E-3</v>
      </c>
      <c r="I76" s="102">
        <f>ROUND(F76*H76,2)</f>
        <v>87237.41</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5.3899999999999998E-3</v>
      </c>
      <c r="I78" s="102">
        <f t="shared" ref="I78:I87" si="10">ROUND(F78*H78,2)</f>
        <v>54116.13</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97.759999999999991</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97.759999999999991</v>
      </c>
      <c r="G83" s="37" t="s">
        <v>6</v>
      </c>
      <c r="H83" s="448">
        <f>'0664'!H83</f>
        <v>1951.26</v>
      </c>
      <c r="I83" s="102">
        <f>ROUND(F83*H83,2)</f>
        <v>190755.18</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4.5570000000000003E-3</v>
      </c>
      <c r="I85" s="102">
        <f t="shared" si="10"/>
        <v>1068108.08</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4.5570000000000003E-3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0</v>
      </c>
      <c r="D92" s="597"/>
      <c r="E92" s="47">
        <f>H8</f>
        <v>1.0442</v>
      </c>
      <c r="F92" s="320">
        <f>'0664'!F92</f>
        <v>947.59</v>
      </c>
      <c r="G92" s="39" t="s">
        <v>12</v>
      </c>
      <c r="H92" s="102">
        <f>ROUND(C92*E92*F92,2)</f>
        <v>0</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554.04499999999996</v>
      </c>
      <c r="D93" s="597"/>
      <c r="E93" s="47">
        <f>H8</f>
        <v>1.0442</v>
      </c>
      <c r="F93" s="320">
        <f>'0664'!F93</f>
        <v>904.74</v>
      </c>
      <c r="G93" s="39" t="s">
        <v>12</v>
      </c>
      <c r="H93" s="102">
        <f>ROUND(C93*E93*F93,2)</f>
        <v>523422.66</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482.92779999999999</v>
      </c>
      <c r="D94" s="597"/>
      <c r="E94" s="47">
        <f>H8</f>
        <v>1.0442</v>
      </c>
      <c r="F94" s="320">
        <f>'0664'!F94</f>
        <v>906.93</v>
      </c>
      <c r="G94" s="39" t="s">
        <v>12</v>
      </c>
      <c r="H94" s="95">
        <f>ROUND(C94*E94*F94,2)</f>
        <v>457340.5</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1036.9728</v>
      </c>
      <c r="D95" s="601"/>
      <c r="E95" s="130"/>
      <c r="F95" s="130"/>
      <c r="G95" s="130"/>
      <c r="H95" s="131" t="s">
        <v>112</v>
      </c>
      <c r="I95" s="102">
        <f>IF(A1=75,0,H94+H93+H92)</f>
        <v>980763.15999999992</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4"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5</v>
      </c>
      <c r="D101" s="151">
        <v>0</v>
      </c>
      <c r="E101" s="152">
        <f>(C101+D101)/2</f>
        <v>2.5</v>
      </c>
      <c r="F101" s="134" t="s">
        <v>30</v>
      </c>
      <c r="G101" s="321">
        <f>'0664'!G101</f>
        <v>565</v>
      </c>
      <c r="I101" s="102">
        <f>ROUND(G101*E101,2)</f>
        <v>1412.5</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52">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50">
        <f>IF(D30=0,C109*2,C109+D109)</f>
        <v>0</v>
      </c>
      <c r="F109" s="688">
        <v>0</v>
      </c>
      <c r="G109" s="688"/>
      <c r="H109" s="62">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52">
        <f>IF(D31=0,C110*2,C110+D110)</f>
        <v>0</v>
      </c>
      <c r="F110" s="588">
        <f>ROUND(F109/2,2)</f>
        <v>0</v>
      </c>
      <c r="G110" s="588"/>
      <c r="H110" s="62">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52">
        <f>IF(D32=0,C111*2,C111+D111)</f>
        <v>0</v>
      </c>
      <c r="F111" s="589"/>
      <c r="G111" s="589"/>
      <c r="H111" s="64">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8499293.5299999993</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8169269.129999999</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8169269.129999999</v>
      </c>
      <c r="I123" s="95">
        <f>ROUND(IF(E30=0,0,IF(E30&gt;250,-(((250/E30)*H123)*IF(G123="H",0.02,0.05)),IF(G123="H",-0.02*H123,-0.05*H123))),2)</f>
        <v>-101370.79</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8397922.7400000002</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8397922.7400000002</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699826.9</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307092.67</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T69:U69"/>
    <mergeCell ref="A74:C74"/>
    <mergeCell ref="A85:C85"/>
    <mergeCell ref="N85:P85"/>
    <mergeCell ref="A87:C87"/>
    <mergeCell ref="N87:P87"/>
    <mergeCell ref="C90:D90"/>
    <mergeCell ref="C91:D91"/>
    <mergeCell ref="N91:O91"/>
    <mergeCell ref="P91:Q91"/>
    <mergeCell ref="N74:P74"/>
    <mergeCell ref="R91:U91"/>
    <mergeCell ref="C92:D92"/>
    <mergeCell ref="P92:Q92"/>
    <mergeCell ref="C93:D93"/>
    <mergeCell ref="P93:Q93"/>
    <mergeCell ref="C94:D94"/>
    <mergeCell ref="P94:Q94"/>
    <mergeCell ref="C95:D95"/>
    <mergeCell ref="P95:T95"/>
    <mergeCell ref="A96:I96"/>
    <mergeCell ref="N96:U96"/>
    <mergeCell ref="F98:I98"/>
    <mergeCell ref="N98:P98"/>
    <mergeCell ref="Q98:T98"/>
    <mergeCell ref="A101:B101"/>
    <mergeCell ref="N101:O101"/>
    <mergeCell ref="P101:R101"/>
    <mergeCell ref="A102:B102"/>
    <mergeCell ref="N102:O102"/>
    <mergeCell ref="P102:R102"/>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N140:U140"/>
    <mergeCell ref="N115:T115"/>
    <mergeCell ref="A116:H116"/>
    <mergeCell ref="A120:G120"/>
    <mergeCell ref="N120:U120"/>
    <mergeCell ref="A121:G121"/>
    <mergeCell ref="N121:U121"/>
    <mergeCell ref="A111:B111"/>
    <mergeCell ref="F111:G111"/>
    <mergeCell ref="N111:O111"/>
    <mergeCell ref="P111:Q111"/>
    <mergeCell ref="R111:S111"/>
    <mergeCell ref="A112:B112"/>
    <mergeCell ref="N112:O112"/>
    <mergeCell ref="A114:C114"/>
    <mergeCell ref="F114:H114"/>
    <mergeCell ref="N114:P114"/>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CCCC"/>
  </sheetPr>
  <dimension ref="A1:V209"/>
  <sheetViews>
    <sheetView showGridLines="0" zoomScaleNormal="100" workbookViewId="0">
      <pane ySplit="1" topLeftCell="A117"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338</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52" t="s">
        <v>333</v>
      </c>
      <c r="D10" s="352"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4"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0</v>
      </c>
      <c r="D16" s="151">
        <v>0</v>
      </c>
      <c r="E16" s="117">
        <f t="shared" si="1"/>
        <v>0</v>
      </c>
      <c r="F16" s="622">
        <f>'0664'!F16:G16</f>
        <v>1</v>
      </c>
      <c r="G16" s="622"/>
      <c r="H16" s="81">
        <f t="shared" si="2"/>
        <v>0</v>
      </c>
      <c r="I16" s="102">
        <f t="shared" si="3"/>
        <v>0</v>
      </c>
      <c r="N16" s="635" t="s">
        <v>22</v>
      </c>
      <c r="O16" s="635"/>
      <c r="P16" s="636">
        <f t="shared" si="0"/>
        <v>0</v>
      </c>
      <c r="Q16" s="636"/>
      <c r="R16" s="637">
        <v>1</v>
      </c>
      <c r="S16" s="637"/>
      <c r="T16" s="96">
        <f t="shared" si="4"/>
        <v>0</v>
      </c>
      <c r="U16" s="97">
        <f t="shared" si="5"/>
        <v>0</v>
      </c>
    </row>
    <row r="17" spans="1:21" x14ac:dyDescent="0.25">
      <c r="A17" s="586" t="s">
        <v>23</v>
      </c>
      <c r="B17" s="586"/>
      <c r="C17" s="151">
        <v>0</v>
      </c>
      <c r="D17" s="151">
        <v>0</v>
      </c>
      <c r="E17" s="117">
        <f t="shared" si="1"/>
        <v>0</v>
      </c>
      <c r="F17" s="622">
        <f>'0664'!F17:G17</f>
        <v>1</v>
      </c>
      <c r="G17" s="622"/>
      <c r="H17" s="81">
        <f t="shared" si="2"/>
        <v>0</v>
      </c>
      <c r="I17" s="102">
        <f t="shared" si="3"/>
        <v>0</v>
      </c>
      <c r="J17" s="66"/>
      <c r="N17" s="635" t="s">
        <v>23</v>
      </c>
      <c r="O17" s="635"/>
      <c r="P17" s="636">
        <f t="shared" si="0"/>
        <v>0</v>
      </c>
      <c r="Q17" s="636"/>
      <c r="R17" s="637">
        <v>1</v>
      </c>
      <c r="S17" s="637"/>
      <c r="T17" s="96">
        <f t="shared" si="4"/>
        <v>0</v>
      </c>
      <c r="U17" s="97">
        <f t="shared" si="5"/>
        <v>0</v>
      </c>
    </row>
    <row r="18" spans="1:21" x14ac:dyDescent="0.25">
      <c r="A18" s="586" t="s">
        <v>24</v>
      </c>
      <c r="B18" s="586"/>
      <c r="C18" s="151">
        <v>91.76</v>
      </c>
      <c r="D18" s="151">
        <v>87.5</v>
      </c>
      <c r="E18" s="117">
        <f t="shared" si="1"/>
        <v>179.26</v>
      </c>
      <c r="F18" s="622">
        <f>'0664'!F18:G18</f>
        <v>0.98799999999999999</v>
      </c>
      <c r="G18" s="622"/>
      <c r="H18" s="81">
        <f t="shared" si="2"/>
        <v>177.10890000000001</v>
      </c>
      <c r="I18" s="102">
        <f t="shared" si="3"/>
        <v>950526.83</v>
      </c>
      <c r="N18" s="635" t="s">
        <v>24</v>
      </c>
      <c r="O18" s="635"/>
      <c r="P18" s="636">
        <f t="shared" si="0"/>
        <v>0</v>
      </c>
      <c r="Q18" s="636"/>
      <c r="R18" s="637">
        <v>1</v>
      </c>
      <c r="S18" s="637"/>
      <c r="T18" s="96">
        <f t="shared" si="4"/>
        <v>0</v>
      </c>
      <c r="U18" s="97">
        <f t="shared" si="5"/>
        <v>0</v>
      </c>
    </row>
    <row r="19" spans="1:21" x14ac:dyDescent="0.25">
      <c r="A19" s="586" t="s">
        <v>25</v>
      </c>
      <c r="B19" s="586"/>
      <c r="C19" s="151">
        <v>24.44</v>
      </c>
      <c r="D19" s="151">
        <v>24.61</v>
      </c>
      <c r="E19" s="117">
        <f t="shared" si="1"/>
        <v>49.05</v>
      </c>
      <c r="F19" s="622">
        <f>'0664'!F19:G19</f>
        <v>0.98799999999999999</v>
      </c>
      <c r="G19" s="622"/>
      <c r="H19" s="81">
        <f t="shared" si="2"/>
        <v>48.461399999999998</v>
      </c>
      <c r="I19" s="102">
        <f t="shared" si="3"/>
        <v>260087.78</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0</v>
      </c>
      <c r="D27" s="151">
        <v>0</v>
      </c>
      <c r="E27" s="117">
        <f t="shared" si="1"/>
        <v>0</v>
      </c>
      <c r="F27" s="622">
        <f>'0664'!F27:G27</f>
        <v>1.208</v>
      </c>
      <c r="G27" s="622"/>
      <c r="H27" s="81">
        <f t="shared" si="2"/>
        <v>0</v>
      </c>
      <c r="I27" s="102">
        <f t="shared" si="3"/>
        <v>0</v>
      </c>
      <c r="N27" s="635" t="s">
        <v>92</v>
      </c>
      <c r="O27" s="635"/>
      <c r="P27" s="636">
        <f t="shared" si="0"/>
        <v>0</v>
      </c>
      <c r="Q27" s="636"/>
      <c r="R27" s="637">
        <v>1</v>
      </c>
      <c r="S27" s="637"/>
      <c r="T27" s="96">
        <f t="shared" si="4"/>
        <v>0</v>
      </c>
      <c r="U27" s="97">
        <f t="shared" si="5"/>
        <v>0</v>
      </c>
    </row>
    <row r="28" spans="1:21" x14ac:dyDescent="0.25">
      <c r="A28" s="586" t="s">
        <v>93</v>
      </c>
      <c r="B28" s="586"/>
      <c r="C28" s="151">
        <v>15.59</v>
      </c>
      <c r="D28" s="151">
        <v>15.98</v>
      </c>
      <c r="E28" s="117">
        <f t="shared" si="1"/>
        <v>31.57</v>
      </c>
      <c r="F28" s="622">
        <f>'0664'!F28:G28</f>
        <v>1.208</v>
      </c>
      <c r="G28" s="622"/>
      <c r="H28" s="81">
        <f t="shared" si="2"/>
        <v>38.136600000000001</v>
      </c>
      <c r="I28" s="102">
        <f t="shared" si="3"/>
        <v>204675.55</v>
      </c>
      <c r="N28" s="635" t="s">
        <v>93</v>
      </c>
      <c r="O28" s="635"/>
      <c r="P28" s="636">
        <f t="shared" si="0"/>
        <v>0</v>
      </c>
      <c r="Q28" s="636"/>
      <c r="R28" s="637">
        <v>1</v>
      </c>
      <c r="S28" s="637"/>
      <c r="T28" s="96">
        <f t="shared" si="4"/>
        <v>0</v>
      </c>
      <c r="U28" s="97">
        <f t="shared" si="5"/>
        <v>0</v>
      </c>
    </row>
    <row r="29" spans="1:21" x14ac:dyDescent="0.25">
      <c r="A29" s="586" t="s">
        <v>94</v>
      </c>
      <c r="B29" s="586"/>
      <c r="C29" s="111">
        <v>25.21</v>
      </c>
      <c r="D29" s="111">
        <v>27.65</v>
      </c>
      <c r="E29" s="117">
        <f t="shared" si="1"/>
        <v>52.86</v>
      </c>
      <c r="F29" s="622">
        <f>'0664'!F29:G29</f>
        <v>1.0720000000000001</v>
      </c>
      <c r="G29" s="622"/>
      <c r="H29" s="94">
        <f t="shared" si="2"/>
        <v>56.665900000000001</v>
      </c>
      <c r="I29" s="95">
        <f t="shared" si="3"/>
        <v>304120.56</v>
      </c>
      <c r="N29" s="652" t="s">
        <v>94</v>
      </c>
      <c r="O29" s="652"/>
      <c r="P29" s="636">
        <f t="shared" si="0"/>
        <v>0</v>
      </c>
      <c r="Q29" s="636"/>
      <c r="R29" s="653">
        <v>1</v>
      </c>
      <c r="S29" s="653"/>
      <c r="T29" s="96">
        <f t="shared" si="4"/>
        <v>0</v>
      </c>
      <c r="U29" s="97">
        <f t="shared" si="5"/>
        <v>0</v>
      </c>
    </row>
    <row r="30" spans="1:21" x14ac:dyDescent="0.25">
      <c r="A30" s="584" t="s">
        <v>5</v>
      </c>
      <c r="B30" s="584"/>
      <c r="C30" s="95">
        <f>SUM(C14:C29)</f>
        <v>157</v>
      </c>
      <c r="D30" s="95">
        <f>SUM(D14:D29)</f>
        <v>155.74</v>
      </c>
      <c r="E30" s="98">
        <f>SUM(E14:E29)</f>
        <v>312.74</v>
      </c>
      <c r="F30" s="609"/>
      <c r="G30" s="609"/>
      <c r="H30" s="100">
        <f>SUM(H14:H29)</f>
        <v>320.37280000000004</v>
      </c>
      <c r="I30" s="95">
        <f>SUM(I14:I29)</f>
        <v>1719410.72</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50">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52">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52">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52">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52">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44">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320.37280000000004</v>
      </c>
      <c r="F46" s="34"/>
      <c r="G46" s="107"/>
      <c r="H46" s="108" t="s">
        <v>104</v>
      </c>
      <c r="I46" s="95">
        <f>SUM(I44,I30)</f>
        <v>1719410.72</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1719410.72</v>
      </c>
      <c r="G51" s="110" t="s">
        <v>6</v>
      </c>
      <c r="H51" s="425">
        <v>4.5199999999999997E-2</v>
      </c>
      <c r="I51" s="102">
        <f>ROUND(F51*H51,2)</f>
        <v>77717.36</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1719410.72</v>
      </c>
      <c r="G52" s="110" t="s">
        <v>6</v>
      </c>
      <c r="H52" s="425">
        <v>1.41E-2</v>
      </c>
      <c r="I52" s="102">
        <f>ROUND(F52*H52,2)</f>
        <v>24243.69</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101961.05</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312.74</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1.5380000000000001E-3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320.37280000000004</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1.408E-3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312.74</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1.673E-3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312.74</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1.5399999999999999E-3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312.74</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1.6750000000000001E-3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1.5399999999999999E-3</v>
      </c>
      <c r="I71" s="102">
        <f>ROUND(F71*H71,2)</f>
        <v>68784.929999999993</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61"/>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1.5380000000000001E-3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1.6750000000000001E-3</v>
      </c>
      <c r="I76" s="102">
        <f>ROUND(F76*H76,2)</f>
        <v>27079.81</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1.673E-3</v>
      </c>
      <c r="I78" s="102">
        <f t="shared" ref="I78:I87" si="10">ROUND(F78*H78,2)</f>
        <v>16797.09</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49.05</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49.05</v>
      </c>
      <c r="G83" s="37" t="s">
        <v>6</v>
      </c>
      <c r="H83" s="448">
        <f>'0664'!H83</f>
        <v>1951.26</v>
      </c>
      <c r="I83" s="102">
        <f>ROUND(F83*H83,2)</f>
        <v>95709.3</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1.408E-3</v>
      </c>
      <c r="I85" s="102">
        <f t="shared" si="10"/>
        <v>330018.90999999997</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1.408E-3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0</v>
      </c>
      <c r="D92" s="597"/>
      <c r="E92" s="47">
        <f>H8</f>
        <v>1.0442</v>
      </c>
      <c r="F92" s="320">
        <f>'0664'!F92</f>
        <v>947.59</v>
      </c>
      <c r="G92" s="39" t="s">
        <v>12</v>
      </c>
      <c r="H92" s="102">
        <f>ROUND(C92*E92*F92,2)</f>
        <v>0</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0</v>
      </c>
      <c r="D93" s="597"/>
      <c r="E93" s="47">
        <f>H8</f>
        <v>1.0442</v>
      </c>
      <c r="F93" s="320">
        <f>'0664'!F93</f>
        <v>904.74</v>
      </c>
      <c r="G93" s="39" t="s">
        <v>12</v>
      </c>
      <c r="H93" s="102">
        <f>ROUND(C93*E93*F93,2)</f>
        <v>0</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320.37280000000004</v>
      </c>
      <c r="D94" s="597"/>
      <c r="E94" s="47">
        <f>H8</f>
        <v>1.0442</v>
      </c>
      <c r="F94" s="320">
        <f>'0664'!F94</f>
        <v>906.93</v>
      </c>
      <c r="G94" s="39" t="s">
        <v>12</v>
      </c>
      <c r="H94" s="95">
        <f>ROUND(C94*E94*F94,2)</f>
        <v>303398.27</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320.37280000000004</v>
      </c>
      <c r="D95" s="601"/>
      <c r="E95" s="130"/>
      <c r="F95" s="130"/>
      <c r="G95" s="130"/>
      <c r="H95" s="131" t="s">
        <v>112</v>
      </c>
      <c r="I95" s="102">
        <f>IF(A1=75,0,H94+H93+H92)</f>
        <v>303398.27</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4"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0</v>
      </c>
      <c r="D101" s="151">
        <v>0</v>
      </c>
      <c r="E101" s="152">
        <f>(C101+D101)/2</f>
        <v>0</v>
      </c>
      <c r="F101" s="134" t="s">
        <v>30</v>
      </c>
      <c r="G101" s="321">
        <f>'0664'!G101</f>
        <v>565</v>
      </c>
      <c r="I101" s="102">
        <f>ROUND(G101*E101,2)</f>
        <v>0</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52">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50">
        <f>IF(D30=0,C109*2,C109+D109)</f>
        <v>0</v>
      </c>
      <c r="F109" s="688">
        <v>0</v>
      </c>
      <c r="G109" s="688"/>
      <c r="H109" s="62">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52">
        <f>IF(D31=0,C110*2,C110+D110)</f>
        <v>0</v>
      </c>
      <c r="F110" s="588">
        <f>ROUND(F109/2,2)</f>
        <v>0</v>
      </c>
      <c r="G110" s="588"/>
      <c r="H110" s="62">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52">
        <f>IF(D32=0,C111*2,C111+D111)</f>
        <v>0</v>
      </c>
      <c r="F111" s="589"/>
      <c r="G111" s="589"/>
      <c r="H111" s="64">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2663160.08</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2561199.0300000003</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2561199.0300000003</v>
      </c>
      <c r="I123" s="95">
        <f>ROUND(IF(E30=0,0,IF(E30&gt;250,-(((250/E30)*H123)*IF(G123="H",0.02,0.05)),IF(G123="H",-0.02*H123,-0.05*H123))),2)</f>
        <v>-102369.34</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2560790.7400000002</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2560790.7400000002</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213399.23</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386"/>
      <c r="Q134" s="74"/>
      <c r="R134" s="74"/>
      <c r="S134" s="74"/>
      <c r="T134" s="74"/>
      <c r="U134" s="74"/>
    </row>
    <row r="135" spans="1:21" ht="16.5" thickBot="1" x14ac:dyDescent="0.3">
      <c r="A135" s="3" t="s">
        <v>96</v>
      </c>
      <c r="B135" s="70"/>
      <c r="C135" s="70"/>
      <c r="D135" s="70"/>
      <c r="E135" s="70"/>
      <c r="F135" s="70"/>
      <c r="G135" s="70"/>
      <c r="H135" s="66"/>
      <c r="I135" s="141">
        <f>ROUND(IF(G123="H",(H123*0.02)+I123,(H123*0.05)+I123),2)</f>
        <v>25690.61</v>
      </c>
      <c r="N135" s="74"/>
      <c r="O135" s="74"/>
      <c r="P135" s="386"/>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T69:U69"/>
    <mergeCell ref="A74:C74"/>
    <mergeCell ref="A85:C85"/>
    <mergeCell ref="N85:P85"/>
    <mergeCell ref="A87:C87"/>
    <mergeCell ref="N87:P87"/>
    <mergeCell ref="C90:D90"/>
    <mergeCell ref="C91:D91"/>
    <mergeCell ref="N91:O91"/>
    <mergeCell ref="P91:Q91"/>
    <mergeCell ref="N74:P74"/>
    <mergeCell ref="R91:U91"/>
    <mergeCell ref="C92:D92"/>
    <mergeCell ref="P92:Q92"/>
    <mergeCell ref="C93:D93"/>
    <mergeCell ref="P93:Q93"/>
    <mergeCell ref="C94:D94"/>
    <mergeCell ref="P94:Q94"/>
    <mergeCell ref="C95:D95"/>
    <mergeCell ref="P95:T95"/>
    <mergeCell ref="A96:I96"/>
    <mergeCell ref="N96:U96"/>
    <mergeCell ref="F98:I98"/>
    <mergeCell ref="N98:P98"/>
    <mergeCell ref="Q98:T98"/>
    <mergeCell ref="A101:B101"/>
    <mergeCell ref="N101:O101"/>
    <mergeCell ref="P101:R101"/>
    <mergeCell ref="A102:B102"/>
    <mergeCell ref="N102:O102"/>
    <mergeCell ref="P102:R102"/>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N140:U140"/>
    <mergeCell ref="N115:T115"/>
    <mergeCell ref="A116:H116"/>
    <mergeCell ref="A120:G120"/>
    <mergeCell ref="N120:U120"/>
    <mergeCell ref="A121:G121"/>
    <mergeCell ref="N121:U121"/>
    <mergeCell ref="A111:B111"/>
    <mergeCell ref="F111:G111"/>
    <mergeCell ref="N111:O111"/>
    <mergeCell ref="P111:Q111"/>
    <mergeCell ref="R111:S111"/>
    <mergeCell ref="A112:B112"/>
    <mergeCell ref="N112:O112"/>
    <mergeCell ref="A114:C114"/>
    <mergeCell ref="F114:H114"/>
    <mergeCell ref="N114:P114"/>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CCC"/>
  </sheetPr>
  <dimension ref="A1:V209"/>
  <sheetViews>
    <sheetView showGridLines="0" zoomScaleNormal="100" workbookViewId="0">
      <pane ySplit="1" topLeftCell="A103"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403</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159"/>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9" t="s">
        <v>333</v>
      </c>
      <c r="D10" s="89"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4">
        <v>44829</v>
      </c>
      <c r="D12" s="342"/>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0</v>
      </c>
      <c r="D16" s="151">
        <v>0</v>
      </c>
      <c r="E16" s="117">
        <f t="shared" si="1"/>
        <v>0</v>
      </c>
      <c r="F16" s="622">
        <f>'0664'!F16:G16</f>
        <v>1</v>
      </c>
      <c r="G16" s="622"/>
      <c r="H16" s="81">
        <f t="shared" si="2"/>
        <v>0</v>
      </c>
      <c r="I16" s="102">
        <f t="shared" si="3"/>
        <v>0</v>
      </c>
      <c r="N16" s="635" t="s">
        <v>22</v>
      </c>
      <c r="O16" s="635"/>
      <c r="P16" s="636">
        <f t="shared" si="0"/>
        <v>0</v>
      </c>
      <c r="Q16" s="636"/>
      <c r="R16" s="637">
        <v>1</v>
      </c>
      <c r="S16" s="637"/>
      <c r="T16" s="96">
        <f t="shared" si="4"/>
        <v>0</v>
      </c>
      <c r="U16" s="97">
        <f t="shared" si="5"/>
        <v>0</v>
      </c>
    </row>
    <row r="17" spans="1:21" x14ac:dyDescent="0.25">
      <c r="A17" s="586" t="s">
        <v>23</v>
      </c>
      <c r="B17" s="586"/>
      <c r="C17" s="151">
        <v>0</v>
      </c>
      <c r="D17" s="151">
        <v>0</v>
      </c>
      <c r="E17" s="117">
        <f t="shared" si="1"/>
        <v>0</v>
      </c>
      <c r="F17" s="622">
        <f>'0664'!F17:G17</f>
        <v>1</v>
      </c>
      <c r="G17" s="622"/>
      <c r="H17" s="81">
        <f t="shared" si="2"/>
        <v>0</v>
      </c>
      <c r="I17" s="102">
        <f t="shared" si="3"/>
        <v>0</v>
      </c>
      <c r="J17" s="66"/>
      <c r="N17" s="635" t="s">
        <v>23</v>
      </c>
      <c r="O17" s="635"/>
      <c r="P17" s="636">
        <f t="shared" si="0"/>
        <v>0</v>
      </c>
      <c r="Q17" s="636"/>
      <c r="R17" s="637">
        <v>1</v>
      </c>
      <c r="S17" s="637"/>
      <c r="T17" s="96">
        <f t="shared" si="4"/>
        <v>0</v>
      </c>
      <c r="U17" s="97">
        <f t="shared" si="5"/>
        <v>0</v>
      </c>
    </row>
    <row r="18" spans="1:21" x14ac:dyDescent="0.25">
      <c r="A18" s="586" t="s">
        <v>24</v>
      </c>
      <c r="B18" s="586"/>
      <c r="C18" s="151">
        <v>14.88</v>
      </c>
      <c r="D18" s="151">
        <v>13.47</v>
      </c>
      <c r="E18" s="117">
        <f t="shared" si="1"/>
        <v>28.35</v>
      </c>
      <c r="F18" s="622">
        <f>'0664'!F18:G18</f>
        <v>0.98799999999999999</v>
      </c>
      <c r="G18" s="622"/>
      <c r="H18" s="81">
        <f t="shared" si="2"/>
        <v>28.009799999999998</v>
      </c>
      <c r="I18" s="102">
        <f t="shared" si="3"/>
        <v>150325.97</v>
      </c>
      <c r="N18" s="635" t="s">
        <v>24</v>
      </c>
      <c r="O18" s="635"/>
      <c r="P18" s="636">
        <f t="shared" si="0"/>
        <v>0</v>
      </c>
      <c r="Q18" s="636"/>
      <c r="R18" s="637">
        <v>1</v>
      </c>
      <c r="S18" s="637"/>
      <c r="T18" s="96">
        <f t="shared" si="4"/>
        <v>0</v>
      </c>
      <c r="U18" s="97">
        <f t="shared" si="5"/>
        <v>0</v>
      </c>
    </row>
    <row r="19" spans="1:21" x14ac:dyDescent="0.25">
      <c r="A19" s="586" t="s">
        <v>25</v>
      </c>
      <c r="B19" s="586"/>
      <c r="C19" s="151">
        <v>2</v>
      </c>
      <c r="D19" s="151">
        <v>2</v>
      </c>
      <c r="E19" s="117">
        <f t="shared" si="1"/>
        <v>4</v>
      </c>
      <c r="F19" s="622">
        <f>'0664'!F19:G19</f>
        <v>0.98799999999999999</v>
      </c>
      <c r="G19" s="622"/>
      <c r="H19" s="81">
        <f t="shared" si="2"/>
        <v>3.952</v>
      </c>
      <c r="I19" s="102">
        <f t="shared" si="3"/>
        <v>21210.01</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0</v>
      </c>
      <c r="D27" s="151">
        <v>0</v>
      </c>
      <c r="E27" s="117">
        <f t="shared" si="1"/>
        <v>0</v>
      </c>
      <c r="F27" s="622">
        <f>'0664'!F27:G27</f>
        <v>1.208</v>
      </c>
      <c r="G27" s="622"/>
      <c r="H27" s="81">
        <f t="shared" si="2"/>
        <v>0</v>
      </c>
      <c r="I27" s="102">
        <f t="shared" si="3"/>
        <v>0</v>
      </c>
      <c r="N27" s="635" t="s">
        <v>92</v>
      </c>
      <c r="O27" s="635"/>
      <c r="P27" s="636">
        <f t="shared" si="0"/>
        <v>0</v>
      </c>
      <c r="Q27" s="636"/>
      <c r="R27" s="637">
        <v>1</v>
      </c>
      <c r="S27" s="637"/>
      <c r="T27" s="96">
        <f t="shared" si="4"/>
        <v>0</v>
      </c>
      <c r="U27" s="97">
        <f t="shared" si="5"/>
        <v>0</v>
      </c>
    </row>
    <row r="28" spans="1:21" x14ac:dyDescent="0.25">
      <c r="A28" s="586" t="s">
        <v>93</v>
      </c>
      <c r="B28" s="586"/>
      <c r="C28" s="151">
        <v>2.19</v>
      </c>
      <c r="D28" s="151">
        <v>1.81</v>
      </c>
      <c r="E28" s="117">
        <f t="shared" si="1"/>
        <v>4</v>
      </c>
      <c r="F28" s="622">
        <f>'0664'!F28:G28</f>
        <v>1.208</v>
      </c>
      <c r="G28" s="622"/>
      <c r="H28" s="81">
        <f t="shared" si="2"/>
        <v>4.8319999999999999</v>
      </c>
      <c r="I28" s="102">
        <f t="shared" si="3"/>
        <v>25932.89</v>
      </c>
      <c r="N28" s="635" t="s">
        <v>93</v>
      </c>
      <c r="O28" s="635"/>
      <c r="P28" s="636">
        <f t="shared" si="0"/>
        <v>0</v>
      </c>
      <c r="Q28" s="636"/>
      <c r="R28" s="637">
        <v>1</v>
      </c>
      <c r="S28" s="637"/>
      <c r="T28" s="96">
        <f t="shared" si="4"/>
        <v>0</v>
      </c>
      <c r="U28" s="97">
        <f t="shared" si="5"/>
        <v>0</v>
      </c>
    </row>
    <row r="29" spans="1:21" x14ac:dyDescent="0.25">
      <c r="A29" s="586" t="s">
        <v>94</v>
      </c>
      <c r="B29" s="586"/>
      <c r="C29" s="111">
        <v>0.88</v>
      </c>
      <c r="D29" s="111">
        <v>1.01</v>
      </c>
      <c r="E29" s="163">
        <f t="shared" si="1"/>
        <v>1.8900000000000001</v>
      </c>
      <c r="F29" s="622">
        <f>'0664'!F29:G29</f>
        <v>1.0720000000000001</v>
      </c>
      <c r="G29" s="622"/>
      <c r="H29" s="94">
        <f t="shared" si="2"/>
        <v>2.0261</v>
      </c>
      <c r="I29" s="95">
        <f t="shared" si="3"/>
        <v>10873.89</v>
      </c>
      <c r="N29" s="652" t="s">
        <v>94</v>
      </c>
      <c r="O29" s="652"/>
      <c r="P29" s="636">
        <f t="shared" si="0"/>
        <v>0</v>
      </c>
      <c r="Q29" s="636"/>
      <c r="R29" s="653">
        <v>1</v>
      </c>
      <c r="S29" s="653"/>
      <c r="T29" s="96">
        <f t="shared" si="4"/>
        <v>0</v>
      </c>
      <c r="U29" s="97">
        <f t="shared" si="5"/>
        <v>0</v>
      </c>
    </row>
    <row r="30" spans="1:21" x14ac:dyDescent="0.25">
      <c r="A30" s="584" t="s">
        <v>5</v>
      </c>
      <c r="B30" s="584"/>
      <c r="C30" s="95">
        <f>SUM(C14:C29)</f>
        <v>19.950000000000003</v>
      </c>
      <c r="D30" s="95">
        <f>SUM(D14:D29)</f>
        <v>18.290000000000003</v>
      </c>
      <c r="E30" s="95">
        <f>SUM(E14:E29)</f>
        <v>38.24</v>
      </c>
      <c r="F30" s="609"/>
      <c r="G30" s="609"/>
      <c r="H30" s="100">
        <f>SUM(H14:H29)</f>
        <v>38.819899999999997</v>
      </c>
      <c r="I30" s="95">
        <f>SUM(I14:I29)</f>
        <v>208342.76</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38.819899999999997</v>
      </c>
      <c r="F46" s="34"/>
      <c r="G46" s="107"/>
      <c r="H46" s="108" t="s">
        <v>104</v>
      </c>
      <c r="I46" s="95">
        <f>SUM(I44,I30)</f>
        <v>208342.76</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208342.76</v>
      </c>
      <c r="G51" s="110" t="s">
        <v>6</v>
      </c>
      <c r="H51" s="425">
        <v>4.5199999999999997E-2</v>
      </c>
      <c r="I51" s="102">
        <f>ROUND(F51*H51,2)</f>
        <v>9417.09</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208342.76</v>
      </c>
      <c r="G52" s="110" t="s">
        <v>6</v>
      </c>
      <c r="H52" s="425">
        <v>1.41E-2</v>
      </c>
      <c r="I52" s="102">
        <f>ROUND(F52*H52,2)</f>
        <v>2937.63</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12354.720000000001</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38.24</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1.8799999999999999E-4</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38.819899999999997</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1.7100000000000001E-4</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38.24</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2.05E-4</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38.24</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1.8799999999999999E-4</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38.24</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2.05E-4</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1.8799999999999999E-4</v>
      </c>
      <c r="I71" s="102">
        <f>ROUND(F71*H71,2)</f>
        <v>8397.1200000000008</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1.8799999999999999E-4</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2.05E-4</v>
      </c>
      <c r="I76" s="102">
        <f>ROUND(F76*H76,2)</f>
        <v>3314.25</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2.05E-4</v>
      </c>
      <c r="I78" s="102">
        <f t="shared" ref="I78:I87" si="10">ROUND(F78*H78,2)</f>
        <v>2058.2199999999998</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4</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4</v>
      </c>
      <c r="G83" s="37" t="s">
        <v>6</v>
      </c>
      <c r="H83" s="448">
        <f>'0664'!H83</f>
        <v>1951.26</v>
      </c>
      <c r="I83" s="102">
        <f>ROUND(F83*H83,2)</f>
        <v>7805.04</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1.7100000000000001E-4</v>
      </c>
      <c r="I85" s="102">
        <f t="shared" si="10"/>
        <v>40080.42</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1.7100000000000001E-4</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0</v>
      </c>
      <c r="D92" s="597"/>
      <c r="E92" s="47">
        <f>H8</f>
        <v>1.0442</v>
      </c>
      <c r="F92" s="320">
        <f>'0664'!F92</f>
        <v>947.59</v>
      </c>
      <c r="G92" s="39" t="s">
        <v>12</v>
      </c>
      <c r="H92" s="102">
        <f>ROUND(C92*E92*F92,2)</f>
        <v>0</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0</v>
      </c>
      <c r="D93" s="597"/>
      <c r="E93" s="47">
        <f>H8</f>
        <v>1.0442</v>
      </c>
      <c r="F93" s="320">
        <f>'0664'!F93</f>
        <v>904.74</v>
      </c>
      <c r="G93" s="39" t="s">
        <v>12</v>
      </c>
      <c r="H93" s="102">
        <f>ROUND(C93*E93*F93,2)</f>
        <v>0</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38.819899999999997</v>
      </c>
      <c r="D94" s="597"/>
      <c r="E94" s="47">
        <f>H8</f>
        <v>1.0442</v>
      </c>
      <c r="F94" s="320">
        <f>'0664'!F94</f>
        <v>906.93</v>
      </c>
      <c r="G94" s="39" t="s">
        <v>12</v>
      </c>
      <c r="H94" s="95">
        <f>ROUND(C94*E94*F94,2)</f>
        <v>36763.08</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38.819899999999997</v>
      </c>
      <c r="D95" s="601"/>
      <c r="E95" s="130"/>
      <c r="F95" s="130"/>
      <c r="G95" s="130"/>
      <c r="H95" s="131" t="s">
        <v>112</v>
      </c>
      <c r="I95" s="102">
        <f>IF(A1=75,0,H94+H93+H92)</f>
        <v>36763.08</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4">
        <v>44829</v>
      </c>
      <c r="D100" s="342"/>
      <c r="E100" s="342" t="s">
        <v>2</v>
      </c>
      <c r="F100" s="44"/>
      <c r="G100" s="44"/>
      <c r="H100" s="44"/>
      <c r="I100" s="44"/>
      <c r="N100" s="46"/>
      <c r="O100" s="46"/>
      <c r="P100" s="46"/>
      <c r="Q100" s="133"/>
      <c r="R100" s="133"/>
      <c r="S100" s="133"/>
      <c r="T100" s="133"/>
      <c r="U100" s="104"/>
    </row>
    <row r="101" spans="1:21" x14ac:dyDescent="0.25">
      <c r="A101" s="590" t="s">
        <v>435</v>
      </c>
      <c r="B101" s="596"/>
      <c r="C101" s="151">
        <v>2</v>
      </c>
      <c r="D101" s="151">
        <v>0</v>
      </c>
      <c r="E101" s="117">
        <f>(C101+D101)/2</f>
        <v>1</v>
      </c>
      <c r="F101" s="134" t="s">
        <v>30</v>
      </c>
      <c r="G101" s="321">
        <f>'0664'!G101</f>
        <v>565</v>
      </c>
      <c r="I101" s="102">
        <f>ROUND(G101*E101,2)</f>
        <v>565</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319680.61000000004</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307325.89</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307325.89</v>
      </c>
      <c r="I123" s="95">
        <f>ROUND(IF(E30=0,0,IF(E30&gt;250,-(((250/E30)*H123)*IF(G123="H",0.02,0.05)),IF(G123="H",-0.02*H123,-0.05*H123))),2)</f>
        <v>-15366.29</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304314.32000000007</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304314.32000000007</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25359.53</v>
      </c>
      <c r="J133" s="250"/>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0</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38" t="str">
        <f>'0664'!A140</f>
        <v>(a) Additional FTE includes FTE earned through Advanced Placement, International Baccalaureate, Advanced International Certificate of Education, Industry Certified Career</v>
      </c>
      <c r="B140" s="409"/>
      <c r="C140" s="409"/>
      <c r="D140" s="409"/>
      <c r="E140" s="409"/>
      <c r="F140" s="409"/>
      <c r="G140" s="409"/>
      <c r="H140" s="409"/>
      <c r="I140" s="409"/>
      <c r="J140" s="78"/>
      <c r="K140" s="77"/>
      <c r="L140" s="77"/>
      <c r="M140" s="77"/>
      <c r="N140" s="679"/>
      <c r="O140" s="679"/>
      <c r="P140" s="679"/>
      <c r="Q140" s="679"/>
      <c r="R140" s="679"/>
      <c r="S140" s="679"/>
      <c r="T140" s="679"/>
      <c r="U140" s="679"/>
    </row>
    <row r="141" spans="1:21" ht="15.75" customHeight="1" x14ac:dyDescent="0.25">
      <c r="A141" s="369" t="s">
        <v>426</v>
      </c>
      <c r="B141" s="409"/>
      <c r="C141" s="409"/>
      <c r="D141" s="409"/>
      <c r="E141" s="409"/>
      <c r="F141" s="409"/>
      <c r="G141" s="409"/>
      <c r="H141" s="409"/>
      <c r="I141" s="409"/>
      <c r="J141" s="78"/>
      <c r="K141" s="77"/>
      <c r="L141" s="77"/>
      <c r="M141" s="77"/>
      <c r="N141" s="74"/>
      <c r="O141" s="74"/>
      <c r="P141" s="74"/>
      <c r="Q141" s="74"/>
      <c r="R141" s="74"/>
      <c r="S141" s="74"/>
      <c r="T141" s="74"/>
      <c r="U141" s="74"/>
    </row>
    <row r="142" spans="1:21" x14ac:dyDescent="0.25">
      <c r="A142" s="338" t="s">
        <v>427</v>
      </c>
      <c r="B142" s="265"/>
      <c r="C142" s="265"/>
      <c r="D142" s="265"/>
      <c r="E142" s="265"/>
      <c r="F142" s="265"/>
      <c r="G142" s="265"/>
      <c r="H142" s="265"/>
      <c r="I142" s="265"/>
      <c r="J142" s="77"/>
      <c r="K142" s="77"/>
      <c r="L142" s="77"/>
      <c r="M142" s="77"/>
      <c r="N142" s="79"/>
      <c r="O142" s="80"/>
      <c r="P142" s="80"/>
      <c r="Q142" s="80"/>
      <c r="R142" s="80"/>
      <c r="S142" s="80"/>
      <c r="T142" s="80"/>
      <c r="U142" s="80"/>
    </row>
    <row r="143" spans="1:21" s="77" customFormat="1" x14ac:dyDescent="0.2">
      <c r="A143" s="338" t="s">
        <v>428</v>
      </c>
      <c r="B143" s="265"/>
      <c r="C143" s="265"/>
      <c r="D143" s="265"/>
      <c r="E143" s="265"/>
      <c r="F143" s="265"/>
      <c r="G143" s="265"/>
      <c r="H143" s="265"/>
      <c r="I143" s="265"/>
      <c r="N143" s="79"/>
    </row>
    <row r="144" spans="1:21" s="77" customFormat="1" x14ac:dyDescent="0.2">
      <c r="A144" s="338" t="s">
        <v>429</v>
      </c>
      <c r="B144" s="265"/>
      <c r="C144" s="265"/>
      <c r="D144" s="265"/>
      <c r="E144" s="265"/>
      <c r="F144" s="265"/>
      <c r="G144" s="265"/>
      <c r="H144" s="265"/>
      <c r="I144" s="265"/>
      <c r="N144" s="79"/>
    </row>
    <row r="145" spans="1:14" s="77" customFormat="1" x14ac:dyDescent="0.2">
      <c r="A145" s="338" t="s">
        <v>430</v>
      </c>
      <c r="B145" s="265"/>
      <c r="C145" s="265"/>
      <c r="D145" s="265"/>
      <c r="E145" s="265"/>
      <c r="F145" s="265"/>
      <c r="G145" s="265"/>
      <c r="H145" s="265"/>
      <c r="I145" s="265"/>
      <c r="N145" s="79"/>
    </row>
    <row r="146" spans="1:14" s="77" customFormat="1" x14ac:dyDescent="0.2">
      <c r="A146" s="338" t="s">
        <v>431</v>
      </c>
      <c r="B146" s="265"/>
      <c r="C146" s="265"/>
      <c r="D146" s="265"/>
      <c r="E146" s="265"/>
      <c r="F146" s="265"/>
      <c r="G146" s="265"/>
      <c r="H146" s="265"/>
      <c r="I146" s="265"/>
      <c r="N146" s="79"/>
    </row>
    <row r="147" spans="1:14" s="77" customFormat="1" x14ac:dyDescent="0.2">
      <c r="A147" s="338" t="s">
        <v>433</v>
      </c>
      <c r="B147" s="265"/>
      <c r="C147" s="265"/>
      <c r="D147" s="265"/>
      <c r="E147" s="265"/>
      <c r="F147" s="265"/>
      <c r="G147" s="265"/>
      <c r="H147" s="265"/>
      <c r="I147" s="265"/>
      <c r="N147" s="79"/>
    </row>
    <row r="148" spans="1:14" s="77" customFormat="1" x14ac:dyDescent="0.2">
      <c r="A148" s="408" t="s">
        <v>432</v>
      </c>
      <c r="B148" s="265"/>
      <c r="C148" s="265"/>
      <c r="D148" s="265"/>
      <c r="E148" s="265"/>
      <c r="F148" s="265"/>
      <c r="G148" s="265"/>
      <c r="H148" s="265"/>
      <c r="I148" s="265"/>
      <c r="N148" s="79"/>
    </row>
    <row r="149" spans="1:14" s="77" customFormat="1" x14ac:dyDescent="0.2">
      <c r="A149" s="338" t="s">
        <v>434</v>
      </c>
      <c r="B149" s="265"/>
      <c r="C149" s="265"/>
      <c r="D149" s="265"/>
      <c r="E149" s="265"/>
      <c r="F149" s="265"/>
      <c r="G149" s="265"/>
      <c r="H149" s="265"/>
      <c r="I149" s="265"/>
      <c r="N149" s="79"/>
    </row>
    <row r="150" spans="1:14" s="77" customFormat="1" x14ac:dyDescent="0.2">
      <c r="A150" s="369" t="str">
        <f>'0664'!A150</f>
        <v>"All Adjusted ESE Riders" should include only ESE Riders.</v>
      </c>
      <c r="B150" s="265"/>
      <c r="C150" s="265"/>
      <c r="D150" s="265"/>
      <c r="E150" s="265"/>
      <c r="F150" s="265"/>
      <c r="G150" s="265"/>
      <c r="H150" s="265"/>
      <c r="I150" s="265"/>
      <c r="N150" s="79"/>
    </row>
    <row r="151" spans="1:14" s="77" customFormat="1" x14ac:dyDescent="0.2">
      <c r="A151" s="338" t="s">
        <v>437</v>
      </c>
      <c r="B151" s="265"/>
      <c r="C151" s="265"/>
      <c r="D151" s="265"/>
      <c r="E151" s="265"/>
      <c r="F151" s="265"/>
      <c r="G151" s="265"/>
      <c r="H151" s="265"/>
      <c r="I151" s="265"/>
      <c r="N151" s="79"/>
    </row>
    <row r="152" spans="1:14" s="77" customFormat="1" ht="15.75" customHeight="1" x14ac:dyDescent="0.2">
      <c r="A152" s="338" t="str">
        <f>'0664'!A152</f>
        <v xml:space="preserve">(j) Funding based on student eligibility and meals provided, if participating in the National School Lunch Program. </v>
      </c>
      <c r="B152" s="310"/>
      <c r="C152" s="310"/>
      <c r="D152" s="310"/>
      <c r="E152" s="310"/>
      <c r="F152" s="310"/>
      <c r="G152" s="310"/>
      <c r="H152" s="310"/>
      <c r="I152" s="310"/>
      <c r="N152" s="79"/>
    </row>
    <row r="153" spans="1:14" s="77" customFormat="1" ht="15.75" customHeight="1" x14ac:dyDescent="0.2">
      <c r="A153" s="338" t="s">
        <v>439</v>
      </c>
      <c r="B153" s="310"/>
      <c r="C153" s="310"/>
      <c r="D153" s="310"/>
      <c r="E153" s="310"/>
      <c r="F153" s="310"/>
      <c r="G153" s="310"/>
      <c r="H153" s="310"/>
      <c r="I153" s="310"/>
      <c r="N153" s="79"/>
    </row>
    <row r="154" spans="1:14" s="77" customFormat="1" ht="15.75" customHeight="1" x14ac:dyDescent="0.2">
      <c r="A154" s="369" t="s">
        <v>438</v>
      </c>
      <c r="B154" s="310"/>
      <c r="C154" s="310"/>
      <c r="D154" s="310"/>
      <c r="E154" s="310"/>
      <c r="F154" s="310"/>
      <c r="G154" s="310"/>
      <c r="H154" s="310"/>
      <c r="I154" s="310"/>
      <c r="N154" s="79"/>
    </row>
    <row r="155" spans="1:14" s="77" customFormat="1" ht="15.75" customHeight="1" x14ac:dyDescent="0.2">
      <c r="A155" s="338" t="s">
        <v>440</v>
      </c>
      <c r="B155" s="361"/>
      <c r="C155" s="361"/>
      <c r="D155" s="361"/>
      <c r="E155" s="361"/>
      <c r="F155" s="361"/>
      <c r="G155" s="361"/>
      <c r="H155" s="361"/>
      <c r="I155" s="361"/>
      <c r="N155" s="79"/>
    </row>
    <row r="156" spans="1:14" s="77" customFormat="1" ht="15.75" customHeight="1" x14ac:dyDescent="0.2">
      <c r="A156" s="369" t="str">
        <f>'0664'!A156</f>
        <v xml:space="preserve">unweighted full-time equivalent students. </v>
      </c>
      <c r="B156" s="361"/>
      <c r="C156" s="361"/>
      <c r="D156" s="361"/>
      <c r="E156" s="361"/>
      <c r="F156" s="361"/>
      <c r="G156" s="361"/>
      <c r="H156" s="361"/>
      <c r="I156" s="361"/>
      <c r="N156" s="79"/>
    </row>
    <row r="157" spans="1:14" s="77" customFormat="1" ht="15.75" customHeight="1" x14ac:dyDescent="0.2">
      <c r="A157" s="338" t="s">
        <v>442</v>
      </c>
      <c r="B157" s="361"/>
      <c r="C157" s="361"/>
      <c r="D157" s="361"/>
      <c r="E157" s="361"/>
      <c r="F157" s="361"/>
      <c r="G157" s="361"/>
      <c r="H157" s="361"/>
      <c r="I157" s="361"/>
      <c r="N157" s="79"/>
    </row>
    <row r="158" spans="1:14" s="77" customFormat="1" ht="15.75" customHeight="1" x14ac:dyDescent="0.2">
      <c r="A158" s="369" t="s">
        <v>441</v>
      </c>
      <c r="B158" s="361"/>
      <c r="C158" s="361"/>
      <c r="D158" s="361"/>
      <c r="E158" s="361"/>
      <c r="F158" s="361"/>
      <c r="G158" s="361"/>
      <c r="H158" s="361"/>
      <c r="I158" s="361"/>
      <c r="N158" s="79"/>
    </row>
    <row r="159" spans="1:14" s="77" customFormat="1" ht="15.75" customHeight="1" x14ac:dyDescent="0.2">
      <c r="A159" s="338"/>
      <c r="B159" s="361"/>
      <c r="C159" s="361"/>
      <c r="D159" s="361"/>
      <c r="E159" s="361"/>
      <c r="F159" s="361"/>
      <c r="G159" s="361"/>
      <c r="H159" s="361"/>
      <c r="I159" s="361"/>
      <c r="N159" s="79"/>
    </row>
    <row r="160" spans="1:14" s="77" customFormat="1" ht="15.75" customHeight="1" x14ac:dyDescent="0.25">
      <c r="A160" s="377" t="str">
        <f>'0664'!A160</f>
        <v>Administrative fees:</v>
      </c>
      <c r="B160" s="310"/>
      <c r="C160" s="310"/>
      <c r="D160" s="310"/>
      <c r="E160" s="310"/>
      <c r="F160" s="310"/>
      <c r="G160" s="310"/>
      <c r="H160" s="310"/>
      <c r="I160" s="310"/>
      <c r="J160" s="3"/>
      <c r="K160" s="3"/>
      <c r="L160" s="3"/>
      <c r="M160" s="3"/>
      <c r="N160" s="79"/>
    </row>
    <row r="161" spans="1:21" s="77" customFormat="1" ht="15.75" customHeight="1" x14ac:dyDescent="0.25">
      <c r="A161" s="378" t="str">
        <f>'0664'!A161</f>
        <v xml:space="preserve">Administrative fees charged by the school district pursuant to s. 1002.33(20)(a), F.S., shall be calculated based upon 5% of available funds from the FEFP and categorical </v>
      </c>
      <c r="B161" s="310"/>
      <c r="C161" s="310"/>
      <c r="D161" s="310"/>
      <c r="E161" s="310"/>
      <c r="F161" s="310"/>
      <c r="G161" s="310"/>
      <c r="H161" s="310"/>
      <c r="I161" s="310"/>
      <c r="J161" s="3"/>
      <c r="K161" s="3"/>
      <c r="L161" s="3"/>
      <c r="M161" s="3"/>
      <c r="N161" s="79"/>
    </row>
    <row r="162" spans="1:21" s="77" customFormat="1" ht="15.75" customHeight="1" x14ac:dyDescent="0.25">
      <c r="A162" s="379" t="str">
        <f>'0664'!A162</f>
        <v>funding for which charter students may be eligible.  To calculate the administrative fee to be withheld for schools with more than 250 students, divide the school</v>
      </c>
      <c r="B162" s="310"/>
      <c r="C162" s="310"/>
      <c r="D162" s="310"/>
      <c r="E162" s="310"/>
      <c r="F162" s="310"/>
      <c r="G162" s="310"/>
      <c r="H162" s="310"/>
      <c r="I162" s="310"/>
      <c r="J162" s="3"/>
      <c r="K162" s="3"/>
      <c r="L162" s="3"/>
      <c r="M162" s="3"/>
      <c r="N162" s="79"/>
    </row>
    <row r="163" spans="1:21" s="77" customFormat="1" ht="15.75" customHeight="1" x14ac:dyDescent="0.25">
      <c r="A163" s="379" t="s">
        <v>443</v>
      </c>
      <c r="B163" s="310"/>
      <c r="C163" s="310"/>
      <c r="D163" s="310"/>
      <c r="E163" s="310"/>
      <c r="F163" s="310"/>
      <c r="G163" s="310"/>
      <c r="H163" s="310"/>
      <c r="I163" s="310"/>
      <c r="J163" s="3"/>
      <c r="K163" s="3"/>
      <c r="L163" s="3"/>
      <c r="M163" s="3"/>
      <c r="N163" s="79"/>
    </row>
    <row r="164" spans="1:21" s="77" customFormat="1" ht="15.75" customHeight="1" x14ac:dyDescent="0.25">
      <c r="A164" s="379" t="s">
        <v>444</v>
      </c>
      <c r="B164" s="373"/>
      <c r="C164" s="373"/>
      <c r="D164" s="373"/>
      <c r="E164" s="373"/>
      <c r="F164" s="373"/>
      <c r="G164" s="373"/>
      <c r="H164" s="373"/>
      <c r="I164" s="373"/>
      <c r="N164" s="75"/>
      <c r="O164" s="3"/>
      <c r="P164" s="3"/>
      <c r="Q164" s="3"/>
      <c r="R164" s="3"/>
      <c r="S164" s="3"/>
      <c r="T164" s="3"/>
      <c r="U164" s="3"/>
    </row>
    <row r="165" spans="1:21" s="77" customFormat="1" ht="15.75" customHeight="1" x14ac:dyDescent="0.25">
      <c r="A165" s="378"/>
      <c r="B165" s="373"/>
      <c r="C165" s="373"/>
      <c r="D165" s="373"/>
      <c r="E165" s="373"/>
      <c r="F165" s="373"/>
      <c r="G165" s="373"/>
      <c r="H165" s="373"/>
      <c r="I165" s="373"/>
      <c r="N165" s="75"/>
      <c r="O165" s="3"/>
      <c r="P165" s="3"/>
      <c r="Q165" s="3"/>
      <c r="R165" s="3"/>
      <c r="S165" s="3"/>
      <c r="T165" s="3"/>
      <c r="U165" s="3"/>
    </row>
    <row r="166" spans="1:21" ht="15.75" customHeight="1" x14ac:dyDescent="0.25">
      <c r="A166" s="378" t="str">
        <f>'0664'!A166</f>
        <v xml:space="preserve">For high performing charter schools, administrative fees charged by the school district shall be calculated based upon 2% of available funds from the FEFP and categorical </v>
      </c>
      <c r="B166" s="310"/>
      <c r="C166" s="310"/>
      <c r="D166" s="310"/>
      <c r="E166" s="310"/>
      <c r="F166" s="310"/>
      <c r="G166" s="310"/>
      <c r="H166" s="310"/>
      <c r="I166" s="310"/>
      <c r="J166" s="77"/>
      <c r="K166" s="77"/>
      <c r="L166" s="77"/>
      <c r="M166" s="77"/>
      <c r="N166" s="79"/>
      <c r="O166" s="77"/>
      <c r="P166" s="77"/>
      <c r="Q166" s="77"/>
      <c r="R166" s="77"/>
      <c r="S166" s="77"/>
      <c r="T166" s="77"/>
      <c r="U166" s="77"/>
    </row>
    <row r="167" spans="1:21" ht="15.75" customHeight="1" x14ac:dyDescent="0.25">
      <c r="A167" s="379" t="str">
        <f>'0664'!A167</f>
        <v>funding for which charter students may be eligible.  To calculate the administrative fee to be withheld for schools with more than 250 students, divide the school</v>
      </c>
      <c r="B167" s="361"/>
      <c r="C167" s="361"/>
      <c r="D167" s="361"/>
      <c r="E167" s="361"/>
      <c r="F167" s="361"/>
      <c r="G167" s="361"/>
      <c r="H167" s="361"/>
      <c r="I167" s="361"/>
      <c r="J167" s="77"/>
      <c r="K167" s="77"/>
      <c r="L167" s="77"/>
      <c r="M167" s="77"/>
      <c r="N167" s="79"/>
      <c r="O167" s="77"/>
      <c r="P167" s="77"/>
      <c r="Q167" s="77"/>
      <c r="R167" s="77"/>
      <c r="S167" s="77"/>
      <c r="T167" s="77"/>
      <c r="U167" s="77"/>
    </row>
    <row r="168" spans="1:21" s="77" customFormat="1" ht="15.75" customHeight="1" x14ac:dyDescent="0.2">
      <c r="A168" s="379" t="str">
        <f>'0664'!A168</f>
        <v xml:space="preserve">population into 250. Multiply that fraction times the funds available, then times 2%.  </v>
      </c>
      <c r="B168" s="310"/>
      <c r="C168" s="310"/>
      <c r="D168" s="310"/>
      <c r="E168" s="310"/>
      <c r="F168" s="310"/>
      <c r="G168" s="310"/>
      <c r="H168" s="310"/>
      <c r="I168" s="310"/>
      <c r="N168" s="79"/>
    </row>
    <row r="169" spans="1:21" x14ac:dyDescent="0.25">
      <c r="A169" s="338"/>
      <c r="N169" s="75"/>
    </row>
    <row r="170" spans="1:21" x14ac:dyDescent="0.25">
      <c r="A170" s="377" t="str">
        <f>'0664'!A170</f>
        <v>Other:</v>
      </c>
      <c r="N170" s="75"/>
    </row>
    <row r="171" spans="1:21" x14ac:dyDescent="0.25">
      <c r="A171" s="378" t="str">
        <f>'0664'!A171</f>
        <v>FEFP and categorical funding are recalculated during the year to reflect the revised number of full-time equivalent students reported during the survey periods designated</v>
      </c>
      <c r="N171" s="75"/>
    </row>
    <row r="172" spans="1:21" x14ac:dyDescent="0.25">
      <c r="A172" s="381" t="str">
        <f>'0664'!A172</f>
        <v>by the Commissioner of Education.</v>
      </c>
      <c r="N172" s="75"/>
    </row>
    <row r="173" spans="1:21" x14ac:dyDescent="0.25">
      <c r="A173" s="378" t="str">
        <f>'0664'!A173</f>
        <v>Revenues flow to districts from state sources and from county tax collectors on various distribution schedules.</v>
      </c>
      <c r="N173" s="75"/>
    </row>
    <row r="174" spans="1:21" x14ac:dyDescent="0.25">
      <c r="A174" s="75"/>
      <c r="N174" s="75"/>
    </row>
    <row r="175" spans="1:21" x14ac:dyDescent="0.25">
      <c r="A175" s="75"/>
      <c r="N175" s="75"/>
    </row>
    <row r="176" spans="1:21" x14ac:dyDescent="0.25">
      <c r="A176" s="75"/>
      <c r="N176" s="75"/>
    </row>
    <row r="177" spans="1:14" x14ac:dyDescent="0.25">
      <c r="A177" s="75"/>
      <c r="N177" s="75"/>
    </row>
    <row r="178" spans="1:14" x14ac:dyDescent="0.25">
      <c r="A178" s="75"/>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C93:D93"/>
    <mergeCell ref="P93:Q93"/>
    <mergeCell ref="C94:D94"/>
    <mergeCell ref="P94:Q94"/>
    <mergeCell ref="C95:D95"/>
    <mergeCell ref="P95:T95"/>
    <mergeCell ref="A96:I96"/>
    <mergeCell ref="N96:U96"/>
    <mergeCell ref="F98:I98"/>
    <mergeCell ref="N98:P98"/>
    <mergeCell ref="Q98:T98"/>
    <mergeCell ref="R108:S108"/>
    <mergeCell ref="A101:B101"/>
    <mergeCell ref="N101:O101"/>
    <mergeCell ref="P101:R101"/>
    <mergeCell ref="A102:B102"/>
    <mergeCell ref="N102:O102"/>
    <mergeCell ref="P102:R102"/>
    <mergeCell ref="R110:S110"/>
    <mergeCell ref="A105:C105"/>
    <mergeCell ref="F105:I105"/>
    <mergeCell ref="N105:U105"/>
    <mergeCell ref="C106:E106"/>
    <mergeCell ref="F107:G107"/>
    <mergeCell ref="A108:B108"/>
    <mergeCell ref="F108:G108"/>
    <mergeCell ref="N108:O108"/>
    <mergeCell ref="P108:Q108"/>
    <mergeCell ref="A109:B109"/>
    <mergeCell ref="F109:G109"/>
    <mergeCell ref="N109:O109"/>
    <mergeCell ref="P109:Q109"/>
    <mergeCell ref="R109:S109"/>
    <mergeCell ref="A110:B110"/>
    <mergeCell ref="F110:G110"/>
    <mergeCell ref="N110:O110"/>
    <mergeCell ref="P110:Q110"/>
    <mergeCell ref="A111:B111"/>
    <mergeCell ref="F111:G111"/>
    <mergeCell ref="N111:O111"/>
    <mergeCell ref="P111:Q111"/>
    <mergeCell ref="R111:S111"/>
    <mergeCell ref="A112:B112"/>
    <mergeCell ref="N112:O112"/>
    <mergeCell ref="N140:U140"/>
    <mergeCell ref="N120:U120"/>
    <mergeCell ref="N114:P114"/>
    <mergeCell ref="A114:C114"/>
    <mergeCell ref="F114:H114"/>
    <mergeCell ref="N115:T115"/>
    <mergeCell ref="A116:H116"/>
    <mergeCell ref="A120:G120"/>
    <mergeCell ref="N121:U121"/>
    <mergeCell ref="A121:G121"/>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K42"/>
  <sheetViews>
    <sheetView zoomScale="90" zoomScaleNormal="90" workbookViewId="0">
      <selection activeCell="K8" sqref="K8"/>
    </sheetView>
  </sheetViews>
  <sheetFormatPr defaultRowHeight="15.75" x14ac:dyDescent="0.25"/>
  <cols>
    <col min="1" max="1" width="9.140625" style="143"/>
    <col min="2" max="2" width="47.85546875" style="143" bestFit="1" customWidth="1"/>
    <col min="3" max="3" width="8.42578125" style="143" bestFit="1" customWidth="1"/>
    <col min="4" max="4" width="5.5703125" style="143" customWidth="1"/>
    <col min="5" max="5" width="17.42578125" style="143" customWidth="1"/>
    <col min="6" max="6" width="10.140625" style="143" bestFit="1" customWidth="1"/>
    <col min="7" max="16384" width="9.140625" style="143"/>
  </cols>
  <sheetData>
    <row r="1" spans="1:11" x14ac:dyDescent="0.25">
      <c r="A1" s="167"/>
      <c r="B1" s="168"/>
      <c r="C1" s="189"/>
      <c r="D1" s="189"/>
      <c r="E1" s="169">
        <v>50</v>
      </c>
      <c r="F1" s="167"/>
      <c r="G1" s="167"/>
      <c r="H1" s="167"/>
    </row>
    <row r="2" spans="1:11" ht="21" x14ac:dyDescent="0.35">
      <c r="A2" s="170"/>
      <c r="B2" s="180" t="s">
        <v>297</v>
      </c>
      <c r="C2" s="180"/>
      <c r="D2" s="180"/>
      <c r="E2" s="170"/>
      <c r="F2" s="170"/>
      <c r="G2" s="170"/>
      <c r="H2" s="170"/>
    </row>
    <row r="3" spans="1:11" x14ac:dyDescent="0.25">
      <c r="B3" s="181" t="s">
        <v>277</v>
      </c>
      <c r="C3" s="181"/>
      <c r="D3" s="181"/>
      <c r="E3" s="300" t="str">
        <f>'0664'!F4</f>
        <v>July 2023</v>
      </c>
      <c r="F3" s="166"/>
      <c r="G3" s="166"/>
      <c r="H3" s="166"/>
    </row>
    <row r="4" spans="1:11" x14ac:dyDescent="0.25">
      <c r="A4" s="167"/>
      <c r="B4" s="167"/>
      <c r="C4" s="167"/>
      <c r="D4" s="167"/>
      <c r="E4" s="167"/>
      <c r="F4" s="167"/>
      <c r="G4" s="167"/>
      <c r="H4" s="167"/>
    </row>
    <row r="5" spans="1:11" x14ac:dyDescent="0.25">
      <c r="A5" s="167"/>
      <c r="B5" s="171" t="s">
        <v>150</v>
      </c>
      <c r="C5" s="171"/>
      <c r="D5" s="171"/>
      <c r="E5" s="172" t="s">
        <v>9</v>
      </c>
      <c r="F5" s="167"/>
      <c r="G5" s="167"/>
      <c r="H5" s="167"/>
    </row>
    <row r="6" spans="1:11" x14ac:dyDescent="0.25">
      <c r="A6" s="167"/>
      <c r="B6" s="167"/>
      <c r="C6" s="167"/>
      <c r="D6" s="167"/>
      <c r="E6" s="167"/>
      <c r="F6" s="167"/>
      <c r="G6" s="167"/>
      <c r="H6" s="167"/>
    </row>
    <row r="7" spans="1:11" x14ac:dyDescent="0.25">
      <c r="A7" s="167"/>
      <c r="B7" s="173"/>
      <c r="C7" s="190"/>
      <c r="D7" s="190"/>
      <c r="E7" s="174" t="s">
        <v>151</v>
      </c>
      <c r="F7" s="167"/>
      <c r="G7" s="167"/>
      <c r="H7" s="167"/>
    </row>
    <row r="8" spans="1:11" x14ac:dyDescent="0.25">
      <c r="A8" s="167"/>
      <c r="B8" s="182" t="s">
        <v>163</v>
      </c>
      <c r="C8" s="182"/>
      <c r="D8" s="182"/>
      <c r="E8" s="258">
        <v>885681905</v>
      </c>
      <c r="F8" s="167"/>
      <c r="G8" s="167"/>
      <c r="H8" s="167"/>
      <c r="K8" s="262" t="s">
        <v>290</v>
      </c>
    </row>
    <row r="9" spans="1:11" x14ac:dyDescent="0.25">
      <c r="A9" s="167"/>
      <c r="B9" s="182" t="s">
        <v>255</v>
      </c>
      <c r="C9" s="182"/>
      <c r="D9" s="182"/>
      <c r="E9" s="258">
        <v>0</v>
      </c>
      <c r="F9" s="167"/>
      <c r="G9" s="167"/>
      <c r="H9" s="167"/>
      <c r="K9" s="262" t="s">
        <v>290</v>
      </c>
    </row>
    <row r="10" spans="1:11" x14ac:dyDescent="0.25">
      <c r="A10" s="167"/>
      <c r="B10" s="171" t="s">
        <v>152</v>
      </c>
      <c r="C10" s="171"/>
      <c r="D10" s="171"/>
      <c r="E10" s="258">
        <v>126865223</v>
      </c>
      <c r="F10" s="167"/>
      <c r="G10" s="167"/>
      <c r="H10" s="167"/>
      <c r="K10" s="262" t="s">
        <v>290</v>
      </c>
    </row>
    <row r="11" spans="1:11" x14ac:dyDescent="0.25">
      <c r="A11" s="167"/>
      <c r="B11" s="171" t="s">
        <v>153</v>
      </c>
      <c r="C11" s="171"/>
      <c r="D11" s="171"/>
      <c r="E11" s="258">
        <v>0</v>
      </c>
      <c r="F11" s="167"/>
      <c r="G11" s="167"/>
      <c r="H11" s="167"/>
      <c r="K11" s="262" t="s">
        <v>290</v>
      </c>
    </row>
    <row r="12" spans="1:11" x14ac:dyDescent="0.25">
      <c r="A12" s="167"/>
      <c r="B12" s="171" t="s">
        <v>154</v>
      </c>
      <c r="C12" s="171"/>
      <c r="D12" s="171"/>
      <c r="E12" s="258">
        <v>8613749</v>
      </c>
      <c r="F12" s="167"/>
      <c r="G12" s="167"/>
      <c r="H12" s="167"/>
      <c r="K12" s="262" t="s">
        <v>290</v>
      </c>
    </row>
    <row r="13" spans="1:11" x14ac:dyDescent="0.25">
      <c r="A13" s="167"/>
      <c r="B13" s="171" t="s">
        <v>155</v>
      </c>
      <c r="C13" s="171"/>
      <c r="D13" s="171"/>
      <c r="E13" s="258">
        <v>14865036</v>
      </c>
      <c r="F13" s="167"/>
      <c r="G13" s="167"/>
      <c r="H13" s="167"/>
      <c r="K13" s="262" t="s">
        <v>290</v>
      </c>
    </row>
    <row r="14" spans="1:11" x14ac:dyDescent="0.25">
      <c r="A14" s="167"/>
      <c r="B14" s="193" t="s">
        <v>8</v>
      </c>
      <c r="C14" s="171" t="s">
        <v>165</v>
      </c>
      <c r="D14" s="171"/>
      <c r="E14" s="186">
        <f>SUM(E8:E13)</f>
        <v>1036025913</v>
      </c>
      <c r="F14" s="167"/>
      <c r="G14" s="167"/>
      <c r="H14" s="167"/>
    </row>
    <row r="15" spans="1:11" x14ac:dyDescent="0.25">
      <c r="A15" s="167"/>
      <c r="B15" s="171"/>
      <c r="C15" s="171"/>
      <c r="D15" s="171"/>
      <c r="E15" s="187"/>
      <c r="F15" s="167"/>
      <c r="G15" s="167"/>
      <c r="H15" s="167"/>
    </row>
    <row r="16" spans="1:11" x14ac:dyDescent="0.25">
      <c r="A16" s="167"/>
      <c r="B16" s="182" t="s">
        <v>164</v>
      </c>
      <c r="C16" s="182" t="s">
        <v>3</v>
      </c>
      <c r="D16" s="182"/>
      <c r="E16" s="259">
        <v>187935.23</v>
      </c>
      <c r="F16" s="167"/>
      <c r="G16" s="167"/>
      <c r="H16" s="167"/>
      <c r="K16" s="262" t="s">
        <v>290</v>
      </c>
    </row>
    <row r="17" spans="1:8" x14ac:dyDescent="0.25">
      <c r="A17" s="167"/>
      <c r="B17" s="182"/>
      <c r="C17" s="182"/>
      <c r="D17" s="182"/>
      <c r="E17" s="184"/>
      <c r="F17" s="167"/>
      <c r="G17" s="167"/>
      <c r="H17" s="167"/>
    </row>
    <row r="18" spans="1:8" x14ac:dyDescent="0.25">
      <c r="A18" s="167"/>
      <c r="B18" s="171" t="s">
        <v>156</v>
      </c>
      <c r="C18" s="171" t="s">
        <v>166</v>
      </c>
      <c r="D18" s="171"/>
      <c r="E18" s="185">
        <f>ROUND(E14/E16,2)</f>
        <v>5512.68</v>
      </c>
      <c r="F18" s="167"/>
      <c r="G18" s="167"/>
      <c r="H18" s="167"/>
    </row>
    <row r="19" spans="1:8" x14ac:dyDescent="0.25">
      <c r="A19" s="167"/>
      <c r="B19" s="171" t="s">
        <v>157</v>
      </c>
      <c r="C19" s="171"/>
      <c r="D19" s="171"/>
      <c r="E19" s="188">
        <f>IF(E18&gt;5230,0,5230-E18)</f>
        <v>0</v>
      </c>
      <c r="F19" s="167"/>
      <c r="G19" s="167"/>
      <c r="H19" s="167"/>
    </row>
    <row r="20" spans="1:8" x14ac:dyDescent="0.25">
      <c r="A20" s="167"/>
      <c r="B20" s="171" t="s">
        <v>158</v>
      </c>
      <c r="C20" s="171"/>
      <c r="D20" s="171"/>
      <c r="E20" s="183">
        <f>E18+E19</f>
        <v>5512.68</v>
      </c>
      <c r="F20" s="167"/>
      <c r="G20" s="167"/>
      <c r="H20" s="167"/>
    </row>
    <row r="21" spans="1:8" x14ac:dyDescent="0.25">
      <c r="A21" s="167"/>
      <c r="B21" s="167"/>
      <c r="C21" s="167"/>
      <c r="D21" s="167"/>
      <c r="E21" s="167"/>
      <c r="F21" s="167"/>
      <c r="G21" s="167"/>
      <c r="H21" s="167"/>
    </row>
    <row r="22" spans="1:8" x14ac:dyDescent="0.25">
      <c r="A22" s="167"/>
      <c r="B22" s="272" t="s">
        <v>263</v>
      </c>
      <c r="C22" s="176"/>
      <c r="D22" s="176"/>
      <c r="E22" s="260">
        <v>0</v>
      </c>
      <c r="F22" s="167"/>
      <c r="G22" s="167"/>
      <c r="H22" s="167"/>
    </row>
    <row r="23" spans="1:8" x14ac:dyDescent="0.25">
      <c r="A23" s="167"/>
      <c r="B23" s="272" t="s">
        <v>264</v>
      </c>
      <c r="C23" s="176"/>
      <c r="D23" s="176"/>
      <c r="E23" s="261">
        <v>0</v>
      </c>
      <c r="F23" s="167"/>
      <c r="G23" s="167"/>
      <c r="H23" s="167"/>
    </row>
    <row r="24" spans="1:8" x14ac:dyDescent="0.25">
      <c r="A24" s="167"/>
      <c r="B24" s="176" t="s">
        <v>159</v>
      </c>
      <c r="C24" s="176"/>
      <c r="D24" s="176"/>
      <c r="E24" s="177">
        <f>+E22+E23</f>
        <v>0</v>
      </c>
      <c r="F24" s="167"/>
      <c r="G24" s="167"/>
      <c r="H24" s="167"/>
    </row>
    <row r="25" spans="1:8" x14ac:dyDescent="0.25">
      <c r="A25" s="167"/>
      <c r="B25" s="176"/>
      <c r="C25" s="176"/>
      <c r="D25" s="176"/>
      <c r="E25" s="191"/>
      <c r="F25" s="167"/>
      <c r="G25" s="167"/>
      <c r="H25" s="167"/>
    </row>
    <row r="26" spans="1:8" x14ac:dyDescent="0.25">
      <c r="A26" s="167"/>
      <c r="B26" s="171" t="s">
        <v>160</v>
      </c>
      <c r="C26" s="171"/>
      <c r="D26" s="171"/>
      <c r="E26" s="192">
        <f>E20*E24</f>
        <v>0</v>
      </c>
      <c r="F26" s="167"/>
      <c r="G26" s="167"/>
      <c r="H26" s="167"/>
    </row>
    <row r="27" spans="1:8" x14ac:dyDescent="0.25">
      <c r="A27" s="167"/>
      <c r="B27" s="182" t="s">
        <v>167</v>
      </c>
      <c r="C27" s="171"/>
      <c r="D27" s="171"/>
      <c r="E27" s="178">
        <v>0.7</v>
      </c>
      <c r="F27" s="167"/>
      <c r="G27" s="167"/>
      <c r="H27" s="167"/>
    </row>
    <row r="28" spans="1:8" x14ac:dyDescent="0.25">
      <c r="A28" s="167"/>
      <c r="B28" s="171" t="s">
        <v>161</v>
      </c>
      <c r="C28" s="171"/>
      <c r="D28" s="171"/>
      <c r="E28" s="192">
        <f>ROUND(E26*E27,2)</f>
        <v>0</v>
      </c>
      <c r="F28" s="167"/>
      <c r="G28" s="167"/>
      <c r="H28" s="167"/>
    </row>
    <row r="29" spans="1:8" x14ac:dyDescent="0.25">
      <c r="A29" s="167"/>
      <c r="B29" s="171" t="s">
        <v>162</v>
      </c>
      <c r="C29" s="171"/>
      <c r="D29" s="171"/>
      <c r="E29" s="179">
        <f>-ROUND(E28*0.05,2)</f>
        <v>0</v>
      </c>
      <c r="F29" s="167"/>
      <c r="G29" s="167"/>
      <c r="H29" s="167"/>
    </row>
    <row r="30" spans="1:8" x14ac:dyDescent="0.25">
      <c r="A30" s="167"/>
      <c r="B30" s="171" t="s">
        <v>80</v>
      </c>
      <c r="C30" s="171"/>
      <c r="D30" s="171"/>
      <c r="E30" s="195">
        <f>E28+E29</f>
        <v>0</v>
      </c>
      <c r="F30" s="167"/>
      <c r="G30" s="167"/>
      <c r="H30" s="167"/>
    </row>
    <row r="31" spans="1:8" x14ac:dyDescent="0.25">
      <c r="A31" s="167"/>
      <c r="B31" s="167"/>
      <c r="C31" s="167"/>
      <c r="D31" s="167"/>
      <c r="E31" s="167"/>
      <c r="F31" s="167"/>
      <c r="G31" s="175"/>
      <c r="H31" s="167"/>
    </row>
    <row r="32" spans="1:8" x14ac:dyDescent="0.25">
      <c r="A32" s="167"/>
      <c r="B32" s="3" t="s">
        <v>81</v>
      </c>
      <c r="C32" s="171"/>
      <c r="D32" s="171"/>
      <c r="E32" s="263">
        <v>0</v>
      </c>
      <c r="F32" s="167"/>
      <c r="G32" s="175"/>
      <c r="H32" s="167"/>
    </row>
    <row r="33" spans="1:8" x14ac:dyDescent="0.25">
      <c r="A33" s="167"/>
      <c r="B33" s="3"/>
      <c r="C33" s="171"/>
      <c r="D33" s="171"/>
      <c r="E33" s="282"/>
      <c r="F33" s="167"/>
      <c r="G33" s="175"/>
      <c r="H33" s="167"/>
    </row>
    <row r="34" spans="1:8" x14ac:dyDescent="0.25">
      <c r="A34" s="167"/>
      <c r="B34" s="3" t="s">
        <v>265</v>
      </c>
      <c r="C34" s="171"/>
      <c r="D34" s="171"/>
      <c r="E34" s="282">
        <f>E30+E32</f>
        <v>0</v>
      </c>
      <c r="F34" s="167"/>
      <c r="G34" s="175"/>
      <c r="H34" s="167"/>
    </row>
    <row r="35" spans="1:8" x14ac:dyDescent="0.25">
      <c r="A35" s="167"/>
      <c r="B35" s="3"/>
      <c r="C35" s="171"/>
      <c r="D35" s="171"/>
      <c r="E35" s="282"/>
      <c r="F35" s="167"/>
      <c r="G35" s="175"/>
      <c r="H35" s="167"/>
    </row>
    <row r="36" spans="1:8" x14ac:dyDescent="0.25">
      <c r="A36" s="167"/>
      <c r="B36" s="3" t="s">
        <v>267</v>
      </c>
      <c r="C36" s="194"/>
      <c r="D36" s="194"/>
      <c r="E36" s="290">
        <v>11</v>
      </c>
      <c r="F36" s="167"/>
      <c r="G36" s="175"/>
      <c r="H36" s="167"/>
    </row>
    <row r="37" spans="1:8" x14ac:dyDescent="0.25">
      <c r="A37" s="167"/>
      <c r="B37" s="3"/>
      <c r="C37" s="171"/>
      <c r="D37" s="171"/>
      <c r="E37" s="195"/>
      <c r="F37" s="167"/>
      <c r="G37" s="175"/>
      <c r="H37" s="167"/>
    </row>
    <row r="38" spans="1:8" ht="16.5" thickBot="1" x14ac:dyDescent="0.3">
      <c r="A38" s="167"/>
      <c r="B38" s="3" t="s">
        <v>82</v>
      </c>
      <c r="C38" s="171"/>
      <c r="D38" s="171"/>
      <c r="E38" s="283">
        <f>IF(E36=0,0,ROUND(E34/E36,2))</f>
        <v>0</v>
      </c>
      <c r="F38" s="167"/>
      <c r="G38" s="167"/>
      <c r="H38" s="167"/>
    </row>
    <row r="39" spans="1:8" ht="16.5" thickTop="1" x14ac:dyDescent="0.25"/>
    <row r="41" spans="1:8" x14ac:dyDescent="0.25">
      <c r="A41" s="311" t="s">
        <v>293</v>
      </c>
      <c r="B41" s="312"/>
      <c r="C41" s="312"/>
      <c r="D41" s="312"/>
      <c r="E41" s="312"/>
    </row>
    <row r="42" spans="1:8" x14ac:dyDescent="0.25">
      <c r="A42" s="311" t="s">
        <v>294</v>
      </c>
      <c r="B42" s="312"/>
      <c r="C42" s="312"/>
      <c r="D42" s="312"/>
      <c r="E42" s="312"/>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CCC"/>
  </sheetPr>
  <dimension ref="A1:V234"/>
  <sheetViews>
    <sheetView showGridLines="0" zoomScaleNormal="100" workbookViewId="0">
      <pane ySplit="1" topLeftCell="A99" activePane="bottomLeft" state="frozen"/>
      <selection activeCell="E26" sqref="E26"/>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123</v>
      </c>
      <c r="B2" s="2"/>
      <c r="C2" s="2"/>
      <c r="D2" s="2"/>
      <c r="E2" s="2"/>
      <c r="F2" s="2"/>
      <c r="G2" s="2"/>
      <c r="H2" s="2"/>
      <c r="I2" s="2"/>
      <c r="N2" s="628" t="s">
        <v>18</v>
      </c>
      <c r="O2" s="628"/>
      <c r="P2" s="628"/>
      <c r="Q2" s="628"/>
      <c r="R2" s="628"/>
      <c r="S2" s="628"/>
      <c r="T2" s="628"/>
      <c r="U2" s="628"/>
    </row>
    <row r="3" spans="1:21" x14ac:dyDescent="0.25">
      <c r="A3" s="267" t="s">
        <v>445</v>
      </c>
      <c r="N3" s="629" t="str">
        <f>A3</f>
        <v>Based on the FLDOE 2023-24 FEFP Conference Calculation</v>
      </c>
      <c r="O3" s="629"/>
      <c r="P3" s="629"/>
      <c r="Q3" s="629"/>
      <c r="R3" s="629"/>
      <c r="S3" s="629"/>
      <c r="T3" s="629"/>
      <c r="U3" s="629"/>
    </row>
    <row r="4" spans="1:21" x14ac:dyDescent="0.25">
      <c r="A4" s="615" t="s">
        <v>0</v>
      </c>
      <c r="B4" s="615"/>
      <c r="C4" s="616" t="s">
        <v>9</v>
      </c>
      <c r="D4" s="616"/>
      <c r="E4" s="616"/>
      <c r="F4" s="333" t="s">
        <v>446</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v>5139.7299999999996</v>
      </c>
      <c r="D8" s="87"/>
      <c r="E8" s="88"/>
      <c r="F8" s="85"/>
      <c r="G8" s="86" t="s">
        <v>450</v>
      </c>
      <c r="H8" s="304">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v>0</v>
      </c>
      <c r="I9" s="76"/>
      <c r="N9" s="12"/>
      <c r="O9" s="12"/>
      <c r="P9" s="13"/>
      <c r="Q9" s="13"/>
      <c r="R9" s="407" t="s">
        <v>449</v>
      </c>
      <c r="S9" s="407"/>
      <c r="T9" s="645">
        <f>H9</f>
        <v>0</v>
      </c>
      <c r="U9" s="645"/>
    </row>
    <row r="10" spans="1:21" x14ac:dyDescent="0.25">
      <c r="A10" s="7"/>
      <c r="B10" s="7" t="s">
        <v>333</v>
      </c>
      <c r="C10" s="8" t="s">
        <v>333</v>
      </c>
      <c r="D10" s="8" t="s">
        <v>333</v>
      </c>
      <c r="E10" s="8"/>
      <c r="F10" s="9"/>
      <c r="G10" s="9"/>
      <c r="H10" s="10"/>
      <c r="I10" s="343" t="s">
        <v>447</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36" t="s">
        <v>1</v>
      </c>
      <c r="B12" s="36"/>
      <c r="C12" s="342" t="s">
        <v>2</v>
      </c>
      <c r="D12" s="342" t="s">
        <v>2</v>
      </c>
      <c r="E12" s="91"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12.35</v>
      </c>
      <c r="D14" s="149">
        <v>11.76</v>
      </c>
      <c r="E14" s="196">
        <f>IF(D$30=0,C14*2,C14+D14)</f>
        <v>24.11</v>
      </c>
      <c r="F14" s="625">
        <v>1.1220000000000001</v>
      </c>
      <c r="G14" s="625"/>
      <c r="H14" s="153">
        <f>ROUND(E14*F14,4)</f>
        <v>27.051400000000001</v>
      </c>
      <c r="I14" s="112">
        <f>ROUND(ROUND(ROUND(H14*$C$8,4)*($H$8),2)*(MAX($H$9,1)),2)</f>
        <v>145182.32</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3</v>
      </c>
      <c r="D15" s="151">
        <v>3.48</v>
      </c>
      <c r="E15" s="117">
        <f t="shared" ref="E15:E29" si="1">IF(D$30=0,C15*2,C15+D15)</f>
        <v>6.48</v>
      </c>
      <c r="F15" s="622">
        <v>1.1220000000000001</v>
      </c>
      <c r="G15" s="622"/>
      <c r="H15" s="81">
        <f t="shared" ref="H15:H29" si="2">ROUND(E15*F15,4)</f>
        <v>7.2706</v>
      </c>
      <c r="I15" s="102">
        <f t="shared" ref="I15:I29" si="3">ROUND(ROUND(ROUND(H15*$C$8,4)*($H$8),2)*(MAX($H$9,1)),2)</f>
        <v>39020.629999999997</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16.09</v>
      </c>
      <c r="D16" s="151">
        <v>18.18</v>
      </c>
      <c r="E16" s="117">
        <f t="shared" si="1"/>
        <v>34.269999999999996</v>
      </c>
      <c r="F16" s="622">
        <v>1</v>
      </c>
      <c r="G16" s="622"/>
      <c r="H16" s="81">
        <f t="shared" si="2"/>
        <v>34.270000000000003</v>
      </c>
      <c r="I16" s="102">
        <f t="shared" si="3"/>
        <v>183923.87</v>
      </c>
      <c r="N16" s="635" t="s">
        <v>22</v>
      </c>
      <c r="O16" s="635"/>
      <c r="P16" s="636">
        <f t="shared" si="0"/>
        <v>0</v>
      </c>
      <c r="Q16" s="636"/>
      <c r="R16" s="637">
        <v>1</v>
      </c>
      <c r="S16" s="637"/>
      <c r="T16" s="96">
        <f t="shared" si="4"/>
        <v>0</v>
      </c>
      <c r="U16" s="97">
        <f t="shared" si="5"/>
        <v>0</v>
      </c>
    </row>
    <row r="17" spans="1:21" x14ac:dyDescent="0.25">
      <c r="A17" s="586" t="s">
        <v>23</v>
      </c>
      <c r="B17" s="586"/>
      <c r="C17" s="151">
        <v>3</v>
      </c>
      <c r="D17" s="151">
        <v>2</v>
      </c>
      <c r="E17" s="117">
        <f t="shared" si="1"/>
        <v>5</v>
      </c>
      <c r="F17" s="622">
        <v>1</v>
      </c>
      <c r="G17" s="622"/>
      <c r="H17" s="81">
        <f t="shared" si="2"/>
        <v>5</v>
      </c>
      <c r="I17" s="102">
        <f t="shared" si="3"/>
        <v>26834.53</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0</v>
      </c>
      <c r="D19" s="151">
        <v>0</v>
      </c>
      <c r="E19" s="117">
        <f t="shared" si="1"/>
        <v>0</v>
      </c>
      <c r="F19" s="622">
        <v>0.98799999999999999</v>
      </c>
      <c r="G19" s="622"/>
      <c r="H19" s="81">
        <f t="shared" si="2"/>
        <v>0</v>
      </c>
      <c r="I19" s="102">
        <f t="shared" si="3"/>
        <v>0</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8.15</v>
      </c>
      <c r="D26" s="151">
        <v>7.74</v>
      </c>
      <c r="E26" s="117">
        <f t="shared" si="1"/>
        <v>15.89</v>
      </c>
      <c r="F26" s="622">
        <v>1.208</v>
      </c>
      <c r="G26" s="622"/>
      <c r="H26" s="81">
        <f t="shared" si="2"/>
        <v>19.1951</v>
      </c>
      <c r="I26" s="102">
        <f t="shared" si="3"/>
        <v>103018.3</v>
      </c>
      <c r="L26" s="264"/>
      <c r="N26" s="635" t="s">
        <v>91</v>
      </c>
      <c r="O26" s="635"/>
      <c r="P26" s="636">
        <f t="shared" si="0"/>
        <v>0</v>
      </c>
      <c r="Q26" s="636"/>
      <c r="R26" s="637">
        <v>1</v>
      </c>
      <c r="S26" s="637"/>
      <c r="T26" s="96">
        <f t="shared" si="4"/>
        <v>0</v>
      </c>
      <c r="U26" s="97">
        <f t="shared" si="5"/>
        <v>0</v>
      </c>
    </row>
    <row r="27" spans="1:21" x14ac:dyDescent="0.25">
      <c r="A27" s="586" t="s">
        <v>92</v>
      </c>
      <c r="B27" s="586"/>
      <c r="C27" s="151">
        <v>6.41</v>
      </c>
      <c r="D27" s="151">
        <v>6.8</v>
      </c>
      <c r="E27" s="117">
        <f t="shared" si="1"/>
        <v>13.21</v>
      </c>
      <c r="F27" s="622">
        <v>1.208</v>
      </c>
      <c r="G27" s="622"/>
      <c r="H27" s="81">
        <f t="shared" si="2"/>
        <v>15.957700000000001</v>
      </c>
      <c r="I27" s="102">
        <f t="shared" si="3"/>
        <v>85643.48</v>
      </c>
      <c r="L27" s="264"/>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49</v>
      </c>
      <c r="D30" s="95">
        <f>SUM(D14:D29)</f>
        <v>49.96</v>
      </c>
      <c r="E30" s="95">
        <f>SUM(E14:E29)</f>
        <v>98.960000000000008</v>
      </c>
      <c r="F30" s="609"/>
      <c r="G30" s="609"/>
      <c r="H30" s="100">
        <f>SUM(H14:H29)</f>
        <v>108.74480000000001</v>
      </c>
      <c r="I30" s="95">
        <f>SUM(I14:I29)</f>
        <v>583623.13</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299" t="s">
        <v>270</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23" t="s">
        <v>250</v>
      </c>
      <c r="G34" s="623"/>
      <c r="H34" s="623"/>
      <c r="I34" s="102"/>
      <c r="N34" s="28"/>
      <c r="O34" s="28"/>
      <c r="P34" s="29"/>
      <c r="Q34" s="29"/>
      <c r="R34" s="30"/>
      <c r="S34" s="30"/>
      <c r="T34" s="103"/>
      <c r="U34" s="104"/>
    </row>
    <row r="35" spans="1:21" ht="15.75" hidden="1" customHeight="1" x14ac:dyDescent="0.25">
      <c r="A35" s="3"/>
      <c r="B35" s="70"/>
      <c r="C35" s="70"/>
      <c r="D35" s="70"/>
      <c r="E35" s="70"/>
      <c r="F35" s="623"/>
      <c r="G35" s="623"/>
      <c r="H35" s="623"/>
      <c r="I35" s="24" t="str">
        <f>I10</f>
        <v>2023-24</v>
      </c>
      <c r="N35" s="629" t="s">
        <v>26</v>
      </c>
      <c r="O35" s="629"/>
      <c r="P35" s="629"/>
      <c r="Q35" s="629"/>
      <c r="R35" s="629"/>
      <c r="S35" s="629"/>
      <c r="T35" s="629"/>
      <c r="U35" s="25" t="str">
        <f>I35</f>
        <v>2023-24</v>
      </c>
    </row>
    <row r="36" spans="1:21" hidden="1" x14ac:dyDescent="0.25">
      <c r="A36" s="26"/>
      <c r="B36" s="26"/>
      <c r="C36" s="89" t="s">
        <v>339</v>
      </c>
      <c r="D36" s="89"/>
      <c r="E36" s="90" t="s">
        <v>8</v>
      </c>
      <c r="F36" s="623"/>
      <c r="G36" s="623"/>
      <c r="H36" s="623"/>
      <c r="I36" s="24" t="s">
        <v>27</v>
      </c>
      <c r="N36" s="28"/>
      <c r="O36" s="28"/>
      <c r="P36" s="29"/>
      <c r="Q36" s="29"/>
      <c r="R36" s="30"/>
      <c r="S36" s="30"/>
      <c r="T36" s="103"/>
      <c r="U36" s="25" t="s">
        <v>27</v>
      </c>
    </row>
    <row r="37" spans="1:21" ht="26.25" hidden="1" x14ac:dyDescent="0.25">
      <c r="A37" s="610" t="s">
        <v>52</v>
      </c>
      <c r="B37" s="610"/>
      <c r="C37" s="342" t="s">
        <v>2</v>
      </c>
      <c r="D37" s="342"/>
      <c r="E37" s="91" t="s">
        <v>2</v>
      </c>
      <c r="F37" s="624"/>
      <c r="G37" s="624"/>
      <c r="H37" s="624"/>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108.74480000000001</v>
      </c>
      <c r="F46" s="34"/>
      <c r="G46" s="107"/>
      <c r="H46" s="108" t="s">
        <v>104</v>
      </c>
      <c r="I46" s="95">
        <f>SUM(I44,I30)</f>
        <v>583623.13</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1" t="s">
        <v>455</v>
      </c>
      <c r="F50" s="415"/>
      <c r="G50" s="416"/>
      <c r="H50" s="416"/>
      <c r="I50" s="417"/>
      <c r="N50" s="436" t="s">
        <v>455</v>
      </c>
      <c r="O50" s="418"/>
      <c r="P50" s="418"/>
      <c r="Q50" s="418"/>
      <c r="R50" s="419"/>
      <c r="S50" s="420"/>
      <c r="T50" s="420"/>
      <c r="U50" s="428"/>
    </row>
    <row r="51" spans="1:22" x14ac:dyDescent="0.25">
      <c r="A51" s="412"/>
      <c r="B51" s="3" t="s">
        <v>456</v>
      </c>
      <c r="C51" s="26"/>
      <c r="D51" s="26"/>
      <c r="E51" s="44" t="s">
        <v>457</v>
      </c>
      <c r="F51" s="424">
        <f>I46</f>
        <v>583623.13</v>
      </c>
      <c r="G51" s="110" t="s">
        <v>6</v>
      </c>
      <c r="H51" s="425">
        <v>4.5199999999999997E-2</v>
      </c>
      <c r="I51" s="102">
        <f>ROUND(F51*H51,2)</f>
        <v>26379.77</v>
      </c>
      <c r="N51" s="430"/>
      <c r="O51" s="52"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583623.13</v>
      </c>
      <c r="G52" s="110" t="s">
        <v>6</v>
      </c>
      <c r="H52" s="425">
        <v>1.41E-2</v>
      </c>
      <c r="I52" s="102">
        <f>ROUND(F52*H52,2)</f>
        <v>8229.09</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34608.86</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98.960000000000008</v>
      </c>
      <c r="D56" s="593" t="s">
        <v>476</v>
      </c>
      <c r="E56" s="593"/>
      <c r="F56" s="593"/>
      <c r="G56" s="593"/>
      <c r="H56" s="305">
        <v>203305.63</v>
      </c>
      <c r="I56" s="114"/>
      <c r="N56" s="658" t="s">
        <v>466</v>
      </c>
      <c r="O56" s="635"/>
      <c r="P56" s="41">
        <f>P30</f>
        <v>0</v>
      </c>
      <c r="Q56" s="663" t="s">
        <v>468</v>
      </c>
      <c r="R56" s="664"/>
      <c r="S56" s="664"/>
      <c r="T56" s="662">
        <f>H56</f>
        <v>203305.63</v>
      </c>
      <c r="U56" s="662"/>
    </row>
    <row r="57" spans="1:22" x14ac:dyDescent="0.25">
      <c r="B57" s="70"/>
      <c r="G57" s="42" t="s">
        <v>12</v>
      </c>
      <c r="H57" s="115">
        <f>ROUND(C56/H56,6)</f>
        <v>4.8700000000000002E-4</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108.74480000000001</v>
      </c>
      <c r="D59" s="593" t="s">
        <v>477</v>
      </c>
      <c r="E59" s="593"/>
      <c r="F59" s="593"/>
      <c r="G59" s="593"/>
      <c r="H59" s="306">
        <v>227540.36</v>
      </c>
      <c r="I59" s="117"/>
      <c r="N59" s="658" t="s">
        <v>467</v>
      </c>
      <c r="O59" s="635"/>
      <c r="P59" s="41">
        <f>T30</f>
        <v>0</v>
      </c>
      <c r="Q59" s="663" t="s">
        <v>469</v>
      </c>
      <c r="R59" s="664"/>
      <c r="S59" s="664"/>
      <c r="T59" s="662">
        <f>H59</f>
        <v>227540.36</v>
      </c>
      <c r="U59" s="662"/>
    </row>
    <row r="60" spans="1:22" x14ac:dyDescent="0.25">
      <c r="G60" s="42" t="s">
        <v>12</v>
      </c>
      <c r="H60" s="115">
        <f>ROUND(C59/H59,6)</f>
        <v>4.7800000000000002E-4</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98.960000000000008</v>
      </c>
      <c r="D62" s="590" t="s">
        <v>478</v>
      </c>
      <c r="E62" s="590"/>
      <c r="F62" s="590"/>
      <c r="G62" s="590"/>
      <c r="H62" s="305">
        <v>186907.73</v>
      </c>
      <c r="I62" s="114"/>
      <c r="N62" s="658" t="s">
        <v>465</v>
      </c>
      <c r="O62" s="635"/>
      <c r="P62" s="41">
        <f>P30</f>
        <v>0</v>
      </c>
      <c r="Q62" s="668" t="s">
        <v>470</v>
      </c>
      <c r="R62" s="669"/>
      <c r="S62" s="669"/>
      <c r="T62" s="662">
        <f>H62</f>
        <v>186907.73</v>
      </c>
      <c r="U62" s="662"/>
    </row>
    <row r="63" spans="1:22" x14ac:dyDescent="0.25">
      <c r="B63" s="70"/>
      <c r="G63" s="42" t="s">
        <v>12</v>
      </c>
      <c r="H63" s="115">
        <f>ROUND(C62/H62,6)</f>
        <v>5.2899999999999996E-4</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98.960000000000008</v>
      </c>
      <c r="D65" s="606" t="s">
        <v>479</v>
      </c>
      <c r="E65" s="606"/>
      <c r="F65" s="606"/>
      <c r="G65" s="606"/>
      <c r="H65" s="305">
        <v>203080.55</v>
      </c>
      <c r="I65" s="114"/>
      <c r="N65" s="658" t="s">
        <v>465</v>
      </c>
      <c r="O65" s="635"/>
      <c r="P65" s="41">
        <f>P30</f>
        <v>0</v>
      </c>
      <c r="Q65" s="666" t="s">
        <v>471</v>
      </c>
      <c r="R65" s="667"/>
      <c r="S65" s="667"/>
      <c r="T65" s="662">
        <f>H65</f>
        <v>203080.55</v>
      </c>
      <c r="U65" s="662"/>
    </row>
    <row r="66" spans="1:22" x14ac:dyDescent="0.25">
      <c r="B66" s="70"/>
      <c r="G66" s="42" t="s">
        <v>12</v>
      </c>
      <c r="H66" s="115">
        <f>ROUND(C65/H65,6)</f>
        <v>4.8700000000000002E-4</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98.960000000000008</v>
      </c>
      <c r="D68" s="590" t="s">
        <v>480</v>
      </c>
      <c r="E68" s="590"/>
      <c r="F68" s="590"/>
      <c r="G68" s="590"/>
      <c r="H68" s="305">
        <v>186682.65</v>
      </c>
      <c r="I68" s="114"/>
      <c r="N68" s="658" t="s">
        <v>481</v>
      </c>
      <c r="O68" s="635"/>
      <c r="P68" s="41">
        <f>P30</f>
        <v>0</v>
      </c>
      <c r="Q68" s="668" t="s">
        <v>487</v>
      </c>
      <c r="R68" s="669"/>
      <c r="S68" s="669"/>
      <c r="T68" s="662">
        <f>H68</f>
        <v>186682.65</v>
      </c>
      <c r="U68" s="662"/>
    </row>
    <row r="69" spans="1:22" x14ac:dyDescent="0.25">
      <c r="B69" s="70"/>
      <c r="G69" s="42" t="s">
        <v>12</v>
      </c>
      <c r="H69" s="115">
        <f>ROUND(C68/H68,6)</f>
        <v>5.2999999999999998E-4</v>
      </c>
      <c r="I69" s="116"/>
      <c r="N69" s="635"/>
      <c r="O69" s="635"/>
      <c r="P69" s="635"/>
      <c r="Q69" s="635"/>
      <c r="R69" s="635"/>
      <c r="S69" s="635"/>
      <c r="T69" s="665">
        <f>ROUND(P68/T68,6)</f>
        <v>0</v>
      </c>
      <c r="U69" s="665"/>
    </row>
    <row r="70" spans="1:22" x14ac:dyDescent="0.25">
      <c r="A70" s="255"/>
      <c r="G70" s="42"/>
      <c r="H70" s="115"/>
      <c r="I70" s="115"/>
      <c r="N70" s="46"/>
      <c r="O70" s="46"/>
      <c r="P70" s="46"/>
      <c r="Q70" s="46"/>
      <c r="R70" s="46"/>
      <c r="S70" s="46"/>
      <c r="T70" s="120"/>
      <c r="U70" s="120"/>
    </row>
    <row r="71" spans="1:22" x14ac:dyDescent="0.25">
      <c r="A71" s="423" t="s">
        <v>488</v>
      </c>
      <c r="D71" s="70"/>
      <c r="E71" s="44" t="s">
        <v>319</v>
      </c>
      <c r="F71" s="307">
        <v>44665536</v>
      </c>
      <c r="G71" s="37" t="s">
        <v>6</v>
      </c>
      <c r="H71" s="457">
        <f>H66</f>
        <v>4.8700000000000002E-4</v>
      </c>
      <c r="I71" s="102">
        <f>ROUND(F71*H71,2)</f>
        <v>21752.12</v>
      </c>
      <c r="N71" s="52" t="s">
        <v>488</v>
      </c>
      <c r="O71" s="52"/>
      <c r="P71" s="52"/>
      <c r="Q71" s="45"/>
      <c r="R71" s="453">
        <f>F71</f>
        <v>44665536</v>
      </c>
      <c r="S71" s="38" t="s">
        <v>6</v>
      </c>
      <c r="T71" s="455">
        <f>T66</f>
        <v>0</v>
      </c>
      <c r="U71" s="97">
        <f>ROUND(R71*T71,0)</f>
        <v>0</v>
      </c>
    </row>
    <row r="72" spans="1:22" x14ac:dyDescent="0.25">
      <c r="A72" s="423"/>
      <c r="D72" s="70"/>
      <c r="E72" s="44"/>
      <c r="F72" s="307"/>
      <c r="G72" s="37"/>
      <c r="H72" s="457"/>
      <c r="I72" s="102"/>
      <c r="N72" s="52"/>
      <c r="O72" s="52"/>
      <c r="P72" s="52"/>
      <c r="Q72" s="45"/>
      <c r="R72" s="454"/>
      <c r="S72" s="38"/>
      <c r="T72" s="455"/>
      <c r="U72" s="104"/>
    </row>
    <row r="73" spans="1:22" x14ac:dyDescent="0.25">
      <c r="A73" s="598" t="s">
        <v>489</v>
      </c>
      <c r="B73" s="586"/>
      <c r="C73" s="586"/>
      <c r="D73" s="70"/>
      <c r="E73" s="44"/>
      <c r="F73" s="291"/>
      <c r="G73" s="37"/>
      <c r="H73" s="457"/>
      <c r="I73" s="102"/>
      <c r="N73" s="658" t="s">
        <v>490</v>
      </c>
      <c r="O73" s="635"/>
      <c r="P73" s="635"/>
      <c r="Q73" s="52"/>
      <c r="R73" s="454"/>
      <c r="S73" s="52"/>
      <c r="T73" s="38"/>
      <c r="U73" s="52"/>
    </row>
    <row r="74" spans="1:22" x14ac:dyDescent="0.25">
      <c r="A74" s="598" t="s">
        <v>110</v>
      </c>
      <c r="B74" s="586"/>
      <c r="C74" s="586"/>
      <c r="D74" s="70"/>
      <c r="E74" s="44" t="s">
        <v>3</v>
      </c>
      <c r="F74" s="307">
        <v>0</v>
      </c>
      <c r="G74" s="37" t="s">
        <v>6</v>
      </c>
      <c r="H74" s="457">
        <f>H57</f>
        <v>4.8700000000000002E-4</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07"/>
      <c r="G75" s="37"/>
      <c r="H75" s="457"/>
      <c r="I75" s="102"/>
      <c r="N75" s="474"/>
      <c r="O75" s="46"/>
      <c r="P75" s="46"/>
      <c r="Q75" s="45"/>
      <c r="R75" s="453"/>
      <c r="S75" s="38"/>
      <c r="T75" s="455"/>
      <c r="U75" s="97"/>
    </row>
    <row r="76" spans="1:22" x14ac:dyDescent="0.25">
      <c r="A76" s="423" t="s">
        <v>491</v>
      </c>
      <c r="D76" s="70"/>
      <c r="E76" s="44" t="s">
        <v>492</v>
      </c>
      <c r="F76" s="307">
        <v>16167052</v>
      </c>
      <c r="G76" s="37" t="s">
        <v>6</v>
      </c>
      <c r="H76" s="457">
        <f>H69</f>
        <v>5.2999999999999998E-4</v>
      </c>
      <c r="I76" s="102">
        <f>ROUND(F76*H76,2)</f>
        <v>8568.5400000000009</v>
      </c>
      <c r="N76" s="431" t="s">
        <v>491</v>
      </c>
      <c r="O76" s="52"/>
      <c r="P76" s="52"/>
      <c r="Q76" s="45"/>
      <c r="R76" s="453">
        <f>F76</f>
        <v>16167052</v>
      </c>
      <c r="S76" s="38" t="s">
        <v>6</v>
      </c>
      <c r="T76" s="455">
        <f>T69</f>
        <v>0</v>
      </c>
      <c r="U76" s="97">
        <f>ROUND(R76*T76,0)</f>
        <v>0</v>
      </c>
    </row>
    <row r="77" spans="1:22" x14ac:dyDescent="0.25">
      <c r="A77" s="423"/>
      <c r="D77" s="70"/>
      <c r="E77" s="44"/>
      <c r="F77" s="307"/>
      <c r="G77" s="37"/>
      <c r="H77" s="457"/>
      <c r="I77" s="102"/>
      <c r="N77" s="431"/>
      <c r="O77" s="52"/>
      <c r="P77" s="52"/>
      <c r="Q77" s="45"/>
      <c r="R77" s="453"/>
      <c r="S77" s="38"/>
      <c r="T77" s="455"/>
      <c r="U77" s="97"/>
    </row>
    <row r="78" spans="1:22" x14ac:dyDescent="0.25">
      <c r="A78" s="82" t="s">
        <v>493</v>
      </c>
      <c r="D78" s="70"/>
      <c r="E78" s="44" t="s">
        <v>3</v>
      </c>
      <c r="F78" s="307">
        <v>10040099</v>
      </c>
      <c r="G78" s="37" t="s">
        <v>6</v>
      </c>
      <c r="H78" s="457">
        <f>H63</f>
        <v>5.2899999999999996E-4</v>
      </c>
      <c r="I78" s="102">
        <f t="shared" ref="I78:I87" si="10">ROUND(F78*H78,2)</f>
        <v>5311.21</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07"/>
      <c r="G79" s="37"/>
      <c r="H79" s="457"/>
      <c r="I79" s="102"/>
      <c r="N79" s="406"/>
      <c r="O79" s="52"/>
      <c r="P79" s="52"/>
      <c r="Q79" s="45"/>
      <c r="R79" s="454"/>
      <c r="S79" s="38"/>
      <c r="T79" s="455"/>
      <c r="U79" s="104"/>
    </row>
    <row r="80" spans="1:22" x14ac:dyDescent="0.25">
      <c r="A80" s="82" t="s">
        <v>494</v>
      </c>
      <c r="D80" s="70"/>
      <c r="E80" s="44" t="s">
        <v>495</v>
      </c>
      <c r="F80" s="291"/>
      <c r="G80" s="37"/>
      <c r="H80" s="121"/>
      <c r="I80" s="102"/>
      <c r="N80" s="406" t="s">
        <v>494</v>
      </c>
      <c r="O80" s="52"/>
      <c r="P80" s="52"/>
      <c r="Q80" s="46"/>
      <c r="R80" s="442"/>
      <c r="S80" s="38"/>
      <c r="T80" s="122"/>
      <c r="U80" s="426"/>
    </row>
    <row r="81" spans="1:21" x14ac:dyDescent="0.25">
      <c r="A81" s="82"/>
      <c r="B81" s="3" t="s">
        <v>496</v>
      </c>
      <c r="D81" s="70"/>
      <c r="E81" s="44"/>
      <c r="F81" s="117">
        <f>E15+E17+E19</f>
        <v>11.48</v>
      </c>
      <c r="G81" s="37"/>
      <c r="H81" s="121"/>
      <c r="I81" s="102"/>
      <c r="N81" s="406"/>
      <c r="O81" s="52" t="s">
        <v>496</v>
      </c>
      <c r="P81" s="52"/>
      <c r="Q81" s="46"/>
      <c r="R81" s="426">
        <f>IF($H$121=1,F81,0)</f>
        <v>0</v>
      </c>
      <c r="S81" s="38"/>
      <c r="T81" s="122"/>
      <c r="U81" s="426"/>
    </row>
    <row r="82" spans="1:21" x14ac:dyDescent="0.25">
      <c r="A82" s="82"/>
      <c r="B82" s="82" t="s">
        <v>498</v>
      </c>
      <c r="D82" s="70"/>
      <c r="E82" s="44"/>
      <c r="F82" s="444">
        <v>0</v>
      </c>
      <c r="G82" s="37"/>
      <c r="H82" s="446" t="s">
        <v>499</v>
      </c>
      <c r="I82" s="102"/>
      <c r="N82" s="406"/>
      <c r="O82" s="406" t="s">
        <v>498</v>
      </c>
      <c r="P82" s="52"/>
      <c r="Q82" s="46"/>
      <c r="R82" s="449">
        <f>IF($H$121=1,F82,0)</f>
        <v>0</v>
      </c>
      <c r="S82" s="38"/>
      <c r="T82" s="450" t="s">
        <v>499</v>
      </c>
      <c r="U82" s="426"/>
    </row>
    <row r="83" spans="1:21" x14ac:dyDescent="0.25">
      <c r="A83" s="82"/>
      <c r="B83" s="3" t="s">
        <v>497</v>
      </c>
      <c r="D83" s="70"/>
      <c r="E83" s="44"/>
      <c r="F83" s="117">
        <f>F81-F82</f>
        <v>11.48</v>
      </c>
      <c r="G83" s="37" t="s">
        <v>6</v>
      </c>
      <c r="H83" s="470">
        <v>1951.26</v>
      </c>
      <c r="I83" s="102">
        <f>ROUND(F83*H83,2)</f>
        <v>22400.46</v>
      </c>
      <c r="N83" s="406"/>
      <c r="O83" s="52" t="s">
        <v>497</v>
      </c>
      <c r="P83" s="52"/>
      <c r="Q83" s="46"/>
      <c r="R83" s="426">
        <f>R81-R82</f>
        <v>0</v>
      </c>
      <c r="S83" s="38" t="s">
        <v>6</v>
      </c>
      <c r="T83" s="456">
        <v>1951.26</v>
      </c>
      <c r="U83" s="426">
        <f>ROUND(R83*T83,0)</f>
        <v>0</v>
      </c>
    </row>
    <row r="84" spans="1:21" x14ac:dyDescent="0.25">
      <c r="A84" s="82"/>
      <c r="D84" s="70"/>
      <c r="E84" s="44"/>
      <c r="F84" s="117"/>
      <c r="G84" s="37"/>
      <c r="H84" s="470"/>
      <c r="I84" s="102"/>
      <c r="N84" s="406"/>
      <c r="O84" s="52"/>
      <c r="P84" s="52"/>
      <c r="Q84" s="46"/>
      <c r="R84" s="426"/>
      <c r="S84" s="38"/>
      <c r="T84" s="456"/>
      <c r="U84" s="426"/>
    </row>
    <row r="85" spans="1:21" x14ac:dyDescent="0.25">
      <c r="A85" s="585" t="s">
        <v>500</v>
      </c>
      <c r="B85" s="586"/>
      <c r="C85" s="586"/>
      <c r="D85" s="70"/>
      <c r="E85" s="44" t="s">
        <v>4</v>
      </c>
      <c r="F85" s="307">
        <v>234388431</v>
      </c>
      <c r="G85" s="37" t="s">
        <v>6</v>
      </c>
      <c r="H85" s="457">
        <f>H60</f>
        <v>4.7800000000000002E-4</v>
      </c>
      <c r="I85" s="102">
        <f t="shared" si="10"/>
        <v>112037.67</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07"/>
      <c r="G86" s="37"/>
      <c r="H86" s="457"/>
      <c r="I86" s="102"/>
      <c r="N86" s="46"/>
      <c r="O86" s="46"/>
      <c r="P86" s="46"/>
      <c r="Q86" s="45"/>
      <c r="R86" s="453"/>
      <c r="S86" s="38"/>
      <c r="T86" s="455"/>
      <c r="U86" s="97"/>
    </row>
    <row r="87" spans="1:21" x14ac:dyDescent="0.25">
      <c r="A87" s="585" t="s">
        <v>501</v>
      </c>
      <c r="B87" s="586"/>
      <c r="C87" s="586"/>
      <c r="D87" s="70"/>
      <c r="E87" s="44" t="s">
        <v>4</v>
      </c>
      <c r="F87" s="307">
        <v>0</v>
      </c>
      <c r="G87" s="37" t="s">
        <v>6</v>
      </c>
      <c r="H87" s="457">
        <f>H60</f>
        <v>4.7800000000000002E-4</v>
      </c>
      <c r="I87" s="102">
        <f t="shared" si="10"/>
        <v>0</v>
      </c>
      <c r="N87" s="658" t="s">
        <v>501</v>
      </c>
      <c r="O87" s="658"/>
      <c r="P87" s="658"/>
      <c r="Q87" s="45"/>
      <c r="R87" s="453">
        <f t="shared" si="11"/>
        <v>0</v>
      </c>
      <c r="S87" s="38" t="s">
        <v>6</v>
      </c>
      <c r="T87" s="455">
        <f>T60</f>
        <v>0</v>
      </c>
      <c r="U87" s="97">
        <f t="shared" si="12"/>
        <v>0</v>
      </c>
    </row>
    <row r="88" spans="1:21" x14ac:dyDescent="0.25">
      <c r="A88" s="82"/>
      <c r="B88" s="70"/>
      <c r="C88" s="70"/>
      <c r="D88" s="70"/>
      <c r="E88" s="44"/>
      <c r="F88" s="307"/>
      <c r="G88" s="37"/>
      <c r="H88" s="457"/>
      <c r="I88" s="102"/>
      <c r="N88" s="406"/>
      <c r="O88" s="406"/>
      <c r="P88" s="40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126" t="s">
        <v>503</v>
      </c>
      <c r="F91" s="127" t="s">
        <v>118</v>
      </c>
      <c r="G91" s="128"/>
      <c r="H91" s="128"/>
      <c r="I91" s="128"/>
      <c r="N91" s="659" t="s">
        <v>35</v>
      </c>
      <c r="O91" s="659"/>
      <c r="P91" s="660" t="s">
        <v>505</v>
      </c>
      <c r="Q91" s="661"/>
      <c r="R91" s="662" t="s">
        <v>31</v>
      </c>
      <c r="S91" s="662"/>
      <c r="T91" s="662"/>
      <c r="U91" s="662"/>
    </row>
    <row r="92" spans="1:21" x14ac:dyDescent="0.25">
      <c r="A92" s="26"/>
      <c r="B92" s="53" t="s">
        <v>117</v>
      </c>
      <c r="C92" s="597">
        <f>H14+H15+H20+H23+H26</f>
        <v>53.517099999999999</v>
      </c>
      <c r="D92" s="597"/>
      <c r="E92" s="47">
        <f>H8</f>
        <v>1.0442</v>
      </c>
      <c r="F92" s="308">
        <v>947.59</v>
      </c>
      <c r="G92" s="39" t="s">
        <v>12</v>
      </c>
      <c r="H92" s="102">
        <f>ROUND(C92*E92*F92,2)</f>
        <v>52953.75</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55.227700000000006</v>
      </c>
      <c r="D93" s="597"/>
      <c r="E93" s="47">
        <f>H8</f>
        <v>1.0442</v>
      </c>
      <c r="F93" s="308">
        <v>904.74</v>
      </c>
      <c r="G93" s="39" t="s">
        <v>12</v>
      </c>
      <c r="H93" s="102">
        <f>ROUND(C93*E93*F93,2)</f>
        <v>52175.24</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0</v>
      </c>
      <c r="D94" s="597"/>
      <c r="E94" s="47">
        <f>H8</f>
        <v>1.0442</v>
      </c>
      <c r="F94" s="308">
        <v>906.93</v>
      </c>
      <c r="G94" s="39" t="s">
        <v>12</v>
      </c>
      <c r="H94" s="95">
        <f>ROUND(C94*E94*F94,2)</f>
        <v>0</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108.7448</v>
      </c>
      <c r="D95" s="601"/>
      <c r="E95" s="130"/>
      <c r="F95" s="130"/>
      <c r="G95" s="130"/>
      <c r="H95" s="131" t="s">
        <v>112</v>
      </c>
      <c r="I95" s="102">
        <f>IF(A1=75,0,H94+H93+H92)</f>
        <v>105128.98999999999</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44"/>
      <c r="D98" s="70"/>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91" t="s">
        <v>2</v>
      </c>
      <c r="F100" s="44"/>
      <c r="G100" s="44"/>
      <c r="H100" s="44"/>
      <c r="I100" s="44"/>
      <c r="N100" s="46"/>
      <c r="O100" s="46"/>
      <c r="P100" s="46"/>
      <c r="Q100" s="133"/>
      <c r="R100" s="133"/>
      <c r="S100" s="133"/>
      <c r="T100" s="133"/>
      <c r="U100" s="104"/>
    </row>
    <row r="101" spans="1:21" x14ac:dyDescent="0.25">
      <c r="A101" s="590" t="s">
        <v>435</v>
      </c>
      <c r="B101" s="596"/>
      <c r="C101" s="151">
        <v>0</v>
      </c>
      <c r="D101" s="151">
        <v>0</v>
      </c>
      <c r="E101" s="117">
        <f>(C101+D101)/2</f>
        <v>0</v>
      </c>
      <c r="F101" s="134" t="s">
        <v>30</v>
      </c>
      <c r="G101" s="309">
        <v>565</v>
      </c>
      <c r="I101" s="102">
        <f>ROUND(G101*E101,2)</f>
        <v>0</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09">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893430.98</v>
      </c>
      <c r="J116" s="264"/>
      <c r="N116" s="28"/>
      <c r="O116" s="28"/>
      <c r="P116" s="28"/>
      <c r="Q116" s="28"/>
      <c r="R116" s="28"/>
      <c r="S116" s="28"/>
      <c r="T116" s="28"/>
      <c r="U116" s="146"/>
    </row>
    <row r="117" spans="1:21" x14ac:dyDescent="0.25">
      <c r="A117" s="26"/>
      <c r="B117" s="26"/>
      <c r="C117" s="26"/>
      <c r="D117" s="26"/>
      <c r="E117" s="26"/>
      <c r="F117" s="26"/>
      <c r="G117" s="26"/>
      <c r="H117" s="26"/>
      <c r="I117" s="102"/>
      <c r="J117" s="264"/>
      <c r="N117" s="28"/>
      <c r="O117" s="28"/>
      <c r="P117" s="28"/>
      <c r="Q117" s="28"/>
      <c r="R117" s="28"/>
      <c r="S117" s="28"/>
      <c r="T117" s="28"/>
      <c r="U117" s="146"/>
    </row>
    <row r="118" spans="1:21" x14ac:dyDescent="0.25">
      <c r="A118" s="82" t="s">
        <v>513</v>
      </c>
      <c r="B118" s="26"/>
      <c r="C118" s="26"/>
      <c r="D118" s="26"/>
      <c r="E118" s="26"/>
      <c r="F118" s="26"/>
      <c r="G118" s="26"/>
      <c r="H118" s="26"/>
      <c r="I118" s="102">
        <f>I116-I53</f>
        <v>858822.12</v>
      </c>
      <c r="J118" s="264"/>
      <c r="N118" s="28"/>
      <c r="O118" s="28"/>
      <c r="P118" s="28"/>
      <c r="Q118" s="28"/>
      <c r="R118" s="28"/>
      <c r="S118" s="28"/>
      <c r="T118" s="28"/>
      <c r="U118" s="146"/>
    </row>
    <row r="119" spans="1:21" x14ac:dyDescent="0.25">
      <c r="A119" s="26"/>
      <c r="B119" s="26"/>
      <c r="C119" s="26"/>
      <c r="D119" s="26"/>
      <c r="E119" s="26"/>
      <c r="F119" s="26"/>
      <c r="G119" s="26"/>
      <c r="H119" s="26"/>
      <c r="I119" s="102"/>
      <c r="J119" s="264"/>
      <c r="N119" s="28"/>
      <c r="O119" s="28"/>
      <c r="P119" s="28"/>
      <c r="Q119" s="28"/>
      <c r="R119" s="28"/>
      <c r="S119" s="28"/>
      <c r="T119" s="28"/>
      <c r="U119" s="146"/>
    </row>
    <row r="120" spans="1:21" x14ac:dyDescent="0.25">
      <c r="A120" s="585" t="s">
        <v>514</v>
      </c>
      <c r="B120" s="586"/>
      <c r="C120" s="586"/>
      <c r="D120" s="586"/>
      <c r="E120" s="586"/>
      <c r="F120" s="586"/>
      <c r="G120" s="586"/>
      <c r="H120" s="82" t="s">
        <v>355</v>
      </c>
      <c r="I120" s="142"/>
      <c r="J120" s="264"/>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1"/>
      <c r="H123" s="147">
        <f>IF(H121=1,I121,I118)</f>
        <v>858822.12</v>
      </c>
      <c r="I123" s="95">
        <f>ROUND(IF(E30=0,0,IF(E30&gt;250,-(((250/E30)*H123)*IF(G123="H",0.02,0.05)),IF(G123="H",-0.02*H123,-0.05*H123))),2)</f>
        <v>-42941.11</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850489.87</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3" t="s">
        <v>265</v>
      </c>
      <c r="B129" s="70"/>
      <c r="C129" s="70"/>
      <c r="D129" s="70"/>
      <c r="E129" s="70"/>
      <c r="F129" s="70"/>
      <c r="G129" s="70"/>
      <c r="H129" s="66"/>
      <c r="I129" s="102">
        <f>I125+I127</f>
        <v>850489.87</v>
      </c>
      <c r="N129" s="74"/>
      <c r="O129" s="74"/>
      <c r="P129" s="74"/>
      <c r="Q129" s="74"/>
      <c r="R129" s="74"/>
      <c r="S129" s="74"/>
      <c r="T129" s="74"/>
      <c r="U129" s="74"/>
    </row>
    <row r="130" spans="1:21" x14ac:dyDescent="0.25">
      <c r="A130" s="3"/>
      <c r="B130" s="70"/>
      <c r="C130" s="70"/>
      <c r="D130" s="70"/>
      <c r="E130" s="70"/>
      <c r="F130" s="70"/>
      <c r="G130" s="70"/>
      <c r="H130" s="66"/>
      <c r="I130" s="102"/>
      <c r="N130" s="74"/>
      <c r="O130" s="74"/>
      <c r="P130" s="74"/>
      <c r="Q130" s="74"/>
      <c r="R130" s="74"/>
      <c r="S130" s="74"/>
      <c r="T130" s="74"/>
      <c r="U130" s="74"/>
    </row>
    <row r="131" spans="1:21" x14ac:dyDescent="0.25">
      <c r="A131" s="3" t="s">
        <v>266</v>
      </c>
      <c r="B131" s="70"/>
      <c r="C131" s="70"/>
      <c r="D131" s="70"/>
      <c r="E131" s="70"/>
      <c r="F131" s="70"/>
      <c r="G131" s="70"/>
      <c r="H131" s="66"/>
      <c r="I131" s="287">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70874.16</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0</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ht="12.75" customHeight="1" x14ac:dyDescent="0.25">
      <c r="A139" s="362" t="s">
        <v>7</v>
      </c>
      <c r="B139" s="362"/>
      <c r="C139" s="362"/>
      <c r="D139" s="362"/>
      <c r="E139" s="362"/>
      <c r="F139" s="362"/>
      <c r="G139" s="362"/>
      <c r="H139" s="362"/>
      <c r="I139" s="362"/>
      <c r="J139" s="142"/>
      <c r="N139" s="74"/>
      <c r="O139" s="74"/>
      <c r="P139" s="74"/>
      <c r="Q139" s="74"/>
      <c r="R139" s="74"/>
      <c r="S139" s="74"/>
      <c r="T139" s="74"/>
      <c r="U139" s="74"/>
    </row>
    <row r="140" spans="1:21" ht="12.75" customHeight="1" x14ac:dyDescent="0.25">
      <c r="A140" s="363" t="s">
        <v>278</v>
      </c>
      <c r="B140" s="364"/>
      <c r="C140" s="364"/>
      <c r="D140" s="364"/>
      <c r="E140" s="364"/>
      <c r="F140" s="364"/>
      <c r="G140" s="364"/>
      <c r="H140" s="364"/>
      <c r="I140" s="364"/>
      <c r="J140" s="78"/>
      <c r="K140" s="341"/>
      <c r="L140" s="77"/>
      <c r="M140" s="77"/>
      <c r="N140" s="679"/>
      <c r="O140" s="679"/>
      <c r="P140" s="679"/>
      <c r="Q140" s="679"/>
      <c r="R140" s="679"/>
      <c r="S140" s="679"/>
      <c r="T140" s="679"/>
      <c r="U140" s="679"/>
    </row>
    <row r="141" spans="1:21" ht="12.75" customHeight="1" x14ac:dyDescent="0.25">
      <c r="A141" s="369" t="s">
        <v>426</v>
      </c>
      <c r="B141" s="364"/>
      <c r="C141" s="364"/>
      <c r="D141" s="364"/>
      <c r="E141" s="364"/>
      <c r="F141" s="364"/>
      <c r="G141" s="364"/>
      <c r="H141" s="364"/>
      <c r="I141" s="364"/>
      <c r="J141" s="78"/>
      <c r="K141" s="341"/>
      <c r="L141" s="77"/>
      <c r="M141" s="77"/>
      <c r="N141" s="74"/>
      <c r="O141" s="74"/>
      <c r="P141" s="74"/>
      <c r="Q141" s="74"/>
      <c r="R141" s="74"/>
      <c r="S141" s="74"/>
      <c r="T141" s="74"/>
      <c r="U141" s="74"/>
    </row>
    <row r="142" spans="1:21" ht="12.75" customHeight="1" x14ac:dyDescent="0.25">
      <c r="A142" s="366" t="s">
        <v>427</v>
      </c>
      <c r="B142" s="365"/>
      <c r="C142" s="365"/>
      <c r="D142" s="365"/>
      <c r="E142" s="365"/>
      <c r="F142" s="365"/>
      <c r="G142" s="365"/>
      <c r="H142" s="365"/>
      <c r="I142" s="365"/>
      <c r="J142" s="77"/>
      <c r="K142" s="77"/>
      <c r="L142" s="77"/>
      <c r="M142" s="77"/>
      <c r="N142" s="79"/>
      <c r="O142" s="80"/>
      <c r="P142" s="80"/>
      <c r="Q142" s="80"/>
      <c r="R142" s="80"/>
      <c r="S142" s="80"/>
      <c r="T142" s="80"/>
      <c r="U142" s="80"/>
    </row>
    <row r="143" spans="1:21" s="77" customFormat="1" ht="12.75" customHeight="1" x14ac:dyDescent="0.2">
      <c r="A143" s="366" t="s">
        <v>428</v>
      </c>
      <c r="B143" s="365"/>
      <c r="C143" s="365"/>
      <c r="D143" s="365"/>
      <c r="E143" s="365"/>
      <c r="F143" s="365"/>
      <c r="G143" s="365"/>
      <c r="H143" s="365"/>
      <c r="I143" s="365"/>
      <c r="N143" s="79"/>
    </row>
    <row r="144" spans="1:21" s="77" customFormat="1" ht="12.75" customHeight="1" x14ac:dyDescent="0.2">
      <c r="A144" s="366" t="s">
        <v>429</v>
      </c>
      <c r="B144" s="365"/>
      <c r="C144" s="365"/>
      <c r="D144" s="365"/>
      <c r="E144" s="365"/>
      <c r="F144" s="365"/>
      <c r="G144" s="365"/>
      <c r="H144" s="365"/>
      <c r="I144" s="365"/>
      <c r="N144" s="79"/>
    </row>
    <row r="145" spans="1:14" s="77" customFormat="1" ht="12.75" customHeight="1" x14ac:dyDescent="0.2">
      <c r="A145" s="366" t="s">
        <v>430</v>
      </c>
      <c r="B145" s="365"/>
      <c r="C145" s="365"/>
      <c r="D145" s="365"/>
      <c r="E145" s="365"/>
      <c r="F145" s="365"/>
      <c r="G145" s="365"/>
      <c r="H145" s="365"/>
      <c r="I145" s="365"/>
      <c r="N145" s="79"/>
    </row>
    <row r="146" spans="1:14" s="77" customFormat="1" ht="12.75" customHeight="1" x14ac:dyDescent="0.2">
      <c r="A146" s="366" t="s">
        <v>431</v>
      </c>
      <c r="B146" s="365"/>
      <c r="C146" s="365"/>
      <c r="D146" s="365"/>
      <c r="E146" s="365"/>
      <c r="F146" s="365"/>
      <c r="G146" s="365"/>
      <c r="H146" s="365"/>
      <c r="I146" s="365"/>
      <c r="N146" s="79"/>
    </row>
    <row r="147" spans="1:14" s="77" customFormat="1" ht="12.75" customHeight="1" x14ac:dyDescent="0.2">
      <c r="A147" s="366" t="s">
        <v>433</v>
      </c>
      <c r="B147" s="365"/>
      <c r="C147" s="365"/>
      <c r="D147" s="365"/>
      <c r="E147" s="365"/>
      <c r="F147" s="365"/>
      <c r="G147" s="365"/>
      <c r="H147" s="365"/>
      <c r="I147" s="365"/>
      <c r="K147" s="365"/>
      <c r="N147" s="79"/>
    </row>
    <row r="148" spans="1:14" s="77" customFormat="1" ht="12.75" customHeight="1" x14ac:dyDescent="0.2">
      <c r="A148" s="371" t="s">
        <v>432</v>
      </c>
      <c r="B148" s="365"/>
      <c r="C148" s="365"/>
      <c r="D148" s="365"/>
      <c r="E148" s="365"/>
      <c r="F148" s="365"/>
      <c r="G148" s="365"/>
      <c r="H148" s="365"/>
      <c r="I148" s="365"/>
      <c r="N148" s="79"/>
    </row>
    <row r="149" spans="1:14" s="77" customFormat="1" ht="12.75" customHeight="1" x14ac:dyDescent="0.2">
      <c r="A149" s="366" t="s">
        <v>434</v>
      </c>
      <c r="B149" s="365"/>
      <c r="C149" s="365"/>
      <c r="D149" s="365"/>
      <c r="E149" s="365"/>
      <c r="F149" s="365"/>
      <c r="G149" s="365"/>
      <c r="H149" s="365"/>
      <c r="I149" s="365"/>
      <c r="N149" s="79"/>
    </row>
    <row r="150" spans="1:14" s="77" customFormat="1" ht="12.75" customHeight="1" x14ac:dyDescent="0.2">
      <c r="A150" s="370" t="s">
        <v>281</v>
      </c>
      <c r="B150" s="365"/>
      <c r="C150" s="365"/>
      <c r="D150" s="365"/>
      <c r="E150" s="365"/>
      <c r="F150" s="365"/>
      <c r="G150" s="365"/>
      <c r="H150" s="365"/>
      <c r="I150" s="365"/>
      <c r="N150" s="79"/>
    </row>
    <row r="151" spans="1:14" s="77" customFormat="1" ht="12.75" customHeight="1" x14ac:dyDescent="0.2">
      <c r="A151" s="366" t="s">
        <v>437</v>
      </c>
      <c r="B151" s="365"/>
      <c r="C151" s="365"/>
      <c r="D151" s="365"/>
      <c r="E151" s="365"/>
      <c r="F151" s="365"/>
      <c r="G151" s="365"/>
      <c r="H151" s="365"/>
      <c r="I151" s="365"/>
      <c r="N151" s="79"/>
    </row>
    <row r="152" spans="1:14" s="77" customFormat="1" ht="12.75" customHeight="1" x14ac:dyDescent="0.2">
      <c r="A152" s="366" t="s">
        <v>312</v>
      </c>
      <c r="B152" s="365"/>
      <c r="C152" s="365"/>
      <c r="D152" s="365"/>
      <c r="E152" s="365"/>
      <c r="F152" s="365"/>
      <c r="G152" s="365"/>
      <c r="H152" s="365"/>
      <c r="I152" s="365"/>
      <c r="N152" s="79"/>
    </row>
    <row r="153" spans="1:14" s="77" customFormat="1" ht="12.75" customHeight="1" x14ac:dyDescent="0.2">
      <c r="A153" s="366" t="s">
        <v>439</v>
      </c>
      <c r="B153" s="365"/>
      <c r="C153" s="365"/>
      <c r="D153" s="365"/>
      <c r="E153" s="365"/>
      <c r="F153" s="365"/>
      <c r="G153" s="365"/>
      <c r="H153" s="365"/>
      <c r="I153" s="365"/>
      <c r="N153" s="79"/>
    </row>
    <row r="154" spans="1:14" s="77" customFormat="1" ht="12.75" customHeight="1" x14ac:dyDescent="0.2">
      <c r="A154" s="371" t="s">
        <v>438</v>
      </c>
      <c r="B154" s="365"/>
      <c r="C154" s="365"/>
      <c r="D154" s="365"/>
      <c r="E154" s="365"/>
      <c r="F154" s="365"/>
      <c r="G154" s="365"/>
      <c r="H154" s="365"/>
      <c r="I154" s="365"/>
      <c r="N154" s="79"/>
    </row>
    <row r="155" spans="1:14" s="77" customFormat="1" ht="12.75" customHeight="1" x14ac:dyDescent="0.2">
      <c r="A155" s="366" t="s">
        <v>440</v>
      </c>
      <c r="B155" s="365"/>
      <c r="C155" s="365"/>
      <c r="D155" s="365"/>
      <c r="E155" s="365"/>
      <c r="F155" s="365"/>
      <c r="G155" s="365"/>
      <c r="H155" s="365"/>
      <c r="I155" s="365"/>
      <c r="N155" s="79"/>
    </row>
    <row r="156" spans="1:14" s="77" customFormat="1" ht="12.75" customHeight="1" x14ac:dyDescent="0.2">
      <c r="A156" s="371" t="s">
        <v>285</v>
      </c>
      <c r="B156" s="365"/>
      <c r="C156" s="365"/>
      <c r="D156" s="365"/>
      <c r="E156" s="365"/>
      <c r="F156" s="365"/>
      <c r="G156" s="365"/>
      <c r="H156" s="365"/>
      <c r="I156" s="365"/>
      <c r="N156" s="79"/>
    </row>
    <row r="157" spans="1:14" s="77" customFormat="1" ht="12.75" customHeight="1" x14ac:dyDescent="0.2">
      <c r="A157" s="366" t="s">
        <v>442</v>
      </c>
      <c r="B157" s="365"/>
      <c r="C157" s="365"/>
      <c r="D157" s="365"/>
      <c r="E157" s="365"/>
      <c r="F157" s="365"/>
      <c r="G157" s="365"/>
      <c r="H157" s="365"/>
      <c r="I157" s="365"/>
      <c r="N157" s="79"/>
    </row>
    <row r="158" spans="1:14" s="77" customFormat="1" ht="12.75" customHeight="1" x14ac:dyDescent="0.2">
      <c r="A158" s="371" t="s">
        <v>441</v>
      </c>
      <c r="B158" s="365"/>
      <c r="C158" s="365"/>
      <c r="D158" s="365"/>
      <c r="E158" s="365"/>
      <c r="F158" s="365"/>
      <c r="G158" s="365"/>
      <c r="H158" s="365"/>
      <c r="I158" s="365"/>
      <c r="N158" s="79"/>
    </row>
    <row r="159" spans="1:14" s="77" customFormat="1" ht="12.75" customHeight="1" x14ac:dyDescent="0.2">
      <c r="A159" s="366"/>
      <c r="B159" s="365"/>
      <c r="C159" s="365"/>
      <c r="D159" s="365"/>
      <c r="E159" s="365"/>
      <c r="F159" s="365"/>
      <c r="G159" s="365"/>
      <c r="H159" s="365"/>
      <c r="I159" s="365"/>
      <c r="N159" s="79"/>
    </row>
    <row r="160" spans="1:14" s="77" customFormat="1" ht="12.75" customHeight="1" x14ac:dyDescent="0.2">
      <c r="A160" s="374" t="s">
        <v>70</v>
      </c>
      <c r="B160" s="365"/>
      <c r="C160" s="365"/>
      <c r="D160" s="365"/>
      <c r="E160" s="365"/>
      <c r="F160" s="365"/>
      <c r="G160" s="365"/>
      <c r="H160" s="365"/>
      <c r="I160" s="365"/>
      <c r="N160" s="79"/>
    </row>
    <row r="161" spans="1:21" s="77" customFormat="1" ht="12.75" customHeight="1" x14ac:dyDescent="0.2">
      <c r="A161" s="367" t="s">
        <v>286</v>
      </c>
      <c r="B161" s="368"/>
      <c r="C161" s="368"/>
      <c r="D161" s="368"/>
      <c r="E161" s="368"/>
      <c r="F161" s="368"/>
      <c r="G161" s="368"/>
      <c r="H161" s="368"/>
      <c r="I161" s="368"/>
      <c r="N161" s="79"/>
    </row>
    <row r="162" spans="1:21" s="77" customFormat="1" ht="12.75" customHeight="1" x14ac:dyDescent="0.2">
      <c r="A162" s="372" t="s">
        <v>324</v>
      </c>
      <c r="B162" s="375"/>
      <c r="C162" s="375"/>
      <c r="D162" s="375"/>
      <c r="E162" s="375"/>
      <c r="F162" s="375"/>
      <c r="G162" s="375"/>
      <c r="H162" s="375"/>
      <c r="I162" s="375"/>
      <c r="N162" s="79"/>
    </row>
    <row r="163" spans="1:21" s="77" customFormat="1" ht="12.75" customHeight="1" x14ac:dyDescent="0.2">
      <c r="A163" s="372" t="s">
        <v>443</v>
      </c>
      <c r="B163" s="375"/>
      <c r="C163" s="375"/>
      <c r="D163" s="375"/>
      <c r="E163" s="375"/>
      <c r="F163" s="375"/>
      <c r="G163" s="375"/>
      <c r="H163" s="375"/>
      <c r="I163" s="375"/>
      <c r="N163" s="79"/>
    </row>
    <row r="164" spans="1:21" s="77" customFormat="1" ht="12.75" customHeight="1" x14ac:dyDescent="0.2">
      <c r="A164" s="372" t="s">
        <v>444</v>
      </c>
      <c r="B164" s="375"/>
      <c r="C164" s="375"/>
      <c r="D164" s="375"/>
      <c r="E164" s="375"/>
      <c r="F164" s="375"/>
      <c r="G164" s="375"/>
      <c r="H164" s="375"/>
      <c r="I164" s="375"/>
      <c r="N164" s="79"/>
    </row>
    <row r="165" spans="1:21" s="77" customFormat="1" ht="12.75" customHeight="1" x14ac:dyDescent="0.2">
      <c r="A165" s="367"/>
      <c r="B165" s="375"/>
      <c r="C165" s="375"/>
      <c r="D165" s="375"/>
      <c r="E165" s="375"/>
      <c r="F165" s="375"/>
      <c r="G165" s="375"/>
      <c r="H165" s="375"/>
      <c r="I165" s="375"/>
      <c r="N165" s="79"/>
    </row>
    <row r="166" spans="1:21" s="77" customFormat="1" ht="12.75" customHeight="1" x14ac:dyDescent="0.25">
      <c r="A166" s="367" t="s">
        <v>326</v>
      </c>
      <c r="B166" s="368"/>
      <c r="C166" s="368"/>
      <c r="D166" s="368"/>
      <c r="E166" s="368"/>
      <c r="F166" s="368"/>
      <c r="G166" s="368"/>
      <c r="H166" s="368"/>
      <c r="I166" s="368"/>
      <c r="J166" s="3"/>
      <c r="K166" s="3"/>
      <c r="L166" s="3"/>
      <c r="M166" s="3"/>
      <c r="N166" s="79"/>
    </row>
    <row r="167" spans="1:21" s="77" customFormat="1" ht="12.75" customHeight="1" x14ac:dyDescent="0.25">
      <c r="A167" s="372" t="s">
        <v>324</v>
      </c>
      <c r="B167" s="368"/>
      <c r="C167" s="368"/>
      <c r="D167" s="368"/>
      <c r="E167" s="368"/>
      <c r="F167" s="368"/>
      <c r="G167" s="368"/>
      <c r="H167" s="368"/>
      <c r="I167" s="368"/>
      <c r="J167" s="3"/>
      <c r="K167" s="3"/>
      <c r="L167" s="3"/>
      <c r="M167" s="3"/>
      <c r="N167" s="79"/>
    </row>
    <row r="168" spans="1:21" s="77" customFormat="1" ht="12.75" customHeight="1" x14ac:dyDescent="0.25">
      <c r="A168" s="372" t="s">
        <v>327</v>
      </c>
      <c r="B168" s="368"/>
      <c r="C168" s="368"/>
      <c r="D168" s="368"/>
      <c r="E168" s="368"/>
      <c r="F168" s="368"/>
      <c r="G168" s="368"/>
      <c r="H168" s="368"/>
      <c r="I168" s="368"/>
      <c r="J168" s="3"/>
      <c r="K168" s="3"/>
      <c r="L168" s="3"/>
      <c r="M168" s="3"/>
      <c r="N168" s="79"/>
    </row>
    <row r="169" spans="1:21" s="77" customFormat="1" ht="12.75" customHeight="1" x14ac:dyDescent="0.25">
      <c r="A169" s="368"/>
      <c r="B169" s="368"/>
      <c r="C169" s="368"/>
      <c r="D169" s="368"/>
      <c r="E169" s="368"/>
      <c r="F169" s="368"/>
      <c r="G169" s="368"/>
      <c r="H169" s="368"/>
      <c r="I169" s="368"/>
      <c r="J169" s="3"/>
      <c r="K169" s="3"/>
      <c r="L169" s="3"/>
      <c r="M169" s="3"/>
      <c r="N169" s="79"/>
    </row>
    <row r="170" spans="1:21" s="77" customFormat="1" ht="12.75" customHeight="1" x14ac:dyDescent="0.25">
      <c r="A170" s="374" t="s">
        <v>71</v>
      </c>
      <c r="B170" s="374"/>
      <c r="C170" s="374"/>
      <c r="D170" s="374"/>
      <c r="E170" s="374"/>
      <c r="F170" s="374"/>
      <c r="G170" s="374"/>
      <c r="H170" s="374"/>
      <c r="I170" s="374"/>
      <c r="N170" s="75"/>
      <c r="O170" s="3"/>
      <c r="P170" s="3"/>
      <c r="Q170" s="3"/>
      <c r="R170" s="3"/>
      <c r="S170" s="3"/>
      <c r="T170" s="3"/>
      <c r="U170" s="3"/>
    </row>
    <row r="171" spans="1:21" ht="12.75" customHeight="1" x14ac:dyDescent="0.25">
      <c r="A171" s="367" t="s">
        <v>287</v>
      </c>
      <c r="B171" s="368"/>
      <c r="C171" s="368"/>
      <c r="D171" s="368"/>
      <c r="E171" s="368"/>
      <c r="F171" s="368"/>
      <c r="G171" s="368"/>
      <c r="H171" s="368"/>
      <c r="I171" s="368"/>
      <c r="J171" s="77"/>
      <c r="K171" s="77"/>
      <c r="L171" s="77"/>
      <c r="M171" s="77"/>
      <c r="N171" s="79"/>
      <c r="O171" s="77"/>
      <c r="P171" s="77"/>
      <c r="Q171" s="77"/>
      <c r="R171" s="77"/>
      <c r="S171" s="77"/>
      <c r="T171" s="77"/>
      <c r="U171" s="77"/>
    </row>
    <row r="172" spans="1:21" ht="12.75" customHeight="1" x14ac:dyDescent="0.25">
      <c r="A172" s="372" t="s">
        <v>288</v>
      </c>
      <c r="B172" s="375"/>
      <c r="C172" s="375"/>
      <c r="D172" s="375"/>
      <c r="E172" s="375"/>
      <c r="F172" s="375"/>
      <c r="G172" s="375"/>
      <c r="H172" s="375"/>
      <c r="I172" s="375"/>
      <c r="J172" s="77"/>
      <c r="K172" s="77"/>
      <c r="L172" s="77"/>
      <c r="M172" s="77"/>
      <c r="N172" s="79"/>
      <c r="O172" s="77"/>
      <c r="P172" s="77"/>
      <c r="Q172" s="77"/>
      <c r="R172" s="77"/>
      <c r="S172" s="77"/>
      <c r="T172" s="77"/>
      <c r="U172" s="77"/>
    </row>
    <row r="173" spans="1:21" s="77" customFormat="1" ht="12.75" customHeight="1" x14ac:dyDescent="0.2">
      <c r="A173" s="368" t="s">
        <v>11</v>
      </c>
      <c r="B173" s="368"/>
      <c r="C173" s="368"/>
      <c r="D173" s="368"/>
      <c r="E173" s="368"/>
      <c r="F173" s="368"/>
      <c r="G173" s="368"/>
      <c r="H173" s="368"/>
      <c r="I173" s="368"/>
      <c r="N173" s="79"/>
    </row>
    <row r="174" spans="1:21" s="77" customFormat="1" ht="15.75" customHeight="1" x14ac:dyDescent="0.25">
      <c r="A174" s="310"/>
      <c r="B174" s="310"/>
      <c r="C174" s="310"/>
      <c r="D174" s="310"/>
      <c r="E174" s="310"/>
      <c r="F174" s="310"/>
      <c r="G174" s="310"/>
      <c r="H174" s="310"/>
      <c r="I174" s="310"/>
      <c r="J174" s="3"/>
      <c r="K174" s="3"/>
      <c r="L174" s="3"/>
      <c r="M174" s="3"/>
      <c r="N174" s="79"/>
    </row>
    <row r="175" spans="1:21" s="77" customFormat="1" ht="15.75" customHeight="1" x14ac:dyDescent="0.25">
      <c r="A175" s="75"/>
      <c r="B175" s="3"/>
      <c r="C175" s="3"/>
      <c r="D175" s="3"/>
      <c r="E175" s="3"/>
      <c r="F175" s="3"/>
      <c r="G175" s="3"/>
      <c r="H175" s="3"/>
      <c r="I175" s="3"/>
      <c r="J175" s="3"/>
      <c r="K175" s="3"/>
      <c r="L175" s="3"/>
      <c r="M175" s="3"/>
      <c r="N175" s="75"/>
      <c r="O175" s="3"/>
      <c r="P175" s="3"/>
      <c r="Q175" s="3"/>
      <c r="R175" s="3"/>
      <c r="S175" s="3"/>
      <c r="T175" s="3"/>
      <c r="U175" s="3"/>
    </row>
    <row r="176" spans="1:21" ht="15.75" customHeight="1" x14ac:dyDescent="0.25">
      <c r="A176" s="75"/>
      <c r="N176" s="75"/>
    </row>
    <row r="177" spans="1:14" ht="15.75" customHeight="1" x14ac:dyDescent="0.25">
      <c r="A177" s="75"/>
      <c r="N177" s="75"/>
    </row>
    <row r="178" spans="1:14" ht="15.75" customHeight="1" x14ac:dyDescent="0.25">
      <c r="A178" s="75"/>
      <c r="B178" s="143"/>
      <c r="C178" s="143"/>
      <c r="D178" s="143"/>
      <c r="E178" s="143"/>
      <c r="F178" s="143"/>
      <c r="G178" s="143"/>
      <c r="H178" s="143"/>
      <c r="I178" s="143"/>
      <c r="N178" s="75"/>
    </row>
    <row r="179" spans="1:14" ht="15.75" customHeight="1" x14ac:dyDescent="0.25">
      <c r="A179" s="75"/>
      <c r="N179" s="75"/>
    </row>
    <row r="180" spans="1:14" ht="15.75" customHeight="1" x14ac:dyDescent="0.25">
      <c r="A180" s="75"/>
      <c r="N180" s="75"/>
    </row>
    <row r="181" spans="1:14" ht="15.75" customHeight="1" x14ac:dyDescent="0.25">
      <c r="A181" s="75"/>
      <c r="N181" s="75"/>
    </row>
    <row r="182" spans="1:14" ht="15.75" customHeight="1" x14ac:dyDescent="0.25">
      <c r="A182" s="75"/>
      <c r="N182" s="75"/>
    </row>
    <row r="183" spans="1:14" ht="15.75" customHeight="1" x14ac:dyDescent="0.25">
      <c r="A183" s="75"/>
      <c r="N183" s="75"/>
    </row>
    <row r="184" spans="1:14" ht="15.75" customHeight="1" x14ac:dyDescent="0.25">
      <c r="A184" s="75"/>
      <c r="N184" s="75"/>
    </row>
    <row r="185" spans="1:14" ht="15.75" customHeight="1" x14ac:dyDescent="0.25">
      <c r="A185" s="75"/>
      <c r="N185" s="75"/>
    </row>
    <row r="186" spans="1:14" ht="15.75" customHeight="1" x14ac:dyDescent="0.25">
      <c r="A186" s="75"/>
      <c r="N186" s="75"/>
    </row>
    <row r="187" spans="1:14" ht="15.75" customHeight="1" x14ac:dyDescent="0.25">
      <c r="A187" s="75"/>
      <c r="N187" s="75"/>
    </row>
    <row r="188" spans="1:14" ht="15.75" customHeight="1" x14ac:dyDescent="0.25">
      <c r="A188" s="75"/>
      <c r="N188" s="75"/>
    </row>
    <row r="189" spans="1:14" ht="15.75" customHeight="1" x14ac:dyDescent="0.25">
      <c r="A189" s="75"/>
      <c r="N189" s="75"/>
    </row>
    <row r="190" spans="1:14" ht="15.75" customHeight="1" x14ac:dyDescent="0.25">
      <c r="A190" s="75"/>
      <c r="N190" s="75"/>
    </row>
    <row r="191" spans="1:14" ht="15.75" customHeight="1" x14ac:dyDescent="0.25">
      <c r="A191" s="75"/>
      <c r="N191" s="75"/>
    </row>
    <row r="192" spans="1:14" ht="15.75" customHeight="1" x14ac:dyDescent="0.25">
      <c r="A192" s="75"/>
      <c r="N192" s="75"/>
    </row>
    <row r="193" spans="1:14" x14ac:dyDescent="0.25">
      <c r="A193" s="75"/>
      <c r="N193" s="75"/>
    </row>
    <row r="194" spans="1:14" x14ac:dyDescent="0.25">
      <c r="A194" s="75"/>
      <c r="N194" s="75"/>
    </row>
    <row r="195" spans="1:14" x14ac:dyDescent="0.25">
      <c r="A195" s="75"/>
      <c r="N195" s="75"/>
    </row>
    <row r="196" spans="1:14" x14ac:dyDescent="0.25">
      <c r="A196" s="75"/>
      <c r="N196" s="75"/>
    </row>
    <row r="197" spans="1:14" x14ac:dyDescent="0.25">
      <c r="A197" s="75"/>
      <c r="N197" s="75"/>
    </row>
    <row r="198" spans="1:14" x14ac:dyDescent="0.25">
      <c r="A198" s="75"/>
      <c r="N198" s="75"/>
    </row>
    <row r="199" spans="1:14" x14ac:dyDescent="0.25">
      <c r="A199" s="75"/>
      <c r="N199" s="75"/>
    </row>
    <row r="200" spans="1:14" x14ac:dyDescent="0.25">
      <c r="A200" s="75"/>
      <c r="N200" s="75"/>
    </row>
    <row r="201" spans="1:14" x14ac:dyDescent="0.25">
      <c r="A201" s="75"/>
      <c r="N201" s="75"/>
    </row>
    <row r="202" spans="1:14" x14ac:dyDescent="0.25">
      <c r="A202" s="75"/>
      <c r="N202" s="75"/>
    </row>
    <row r="203" spans="1:14" x14ac:dyDescent="0.25">
      <c r="A203" s="75"/>
      <c r="N203" s="75"/>
    </row>
    <row r="204" spans="1:14" x14ac:dyDescent="0.25">
      <c r="A204" s="75"/>
      <c r="N204" s="75"/>
    </row>
    <row r="205" spans="1:14" x14ac:dyDescent="0.25">
      <c r="A205" s="75"/>
      <c r="N205" s="75"/>
    </row>
    <row r="206" spans="1:14" x14ac:dyDescent="0.25">
      <c r="A206" s="75"/>
      <c r="N206" s="75"/>
    </row>
    <row r="207" spans="1:14" x14ac:dyDescent="0.25">
      <c r="A207" s="75"/>
      <c r="N207" s="75"/>
    </row>
    <row r="208" spans="1:14" x14ac:dyDescent="0.25">
      <c r="A208" s="75"/>
      <c r="N208" s="75"/>
    </row>
    <row r="209" spans="1:14" x14ac:dyDescent="0.25">
      <c r="A209" s="75"/>
      <c r="N209" s="75"/>
    </row>
    <row r="210" spans="1:14" x14ac:dyDescent="0.25">
      <c r="A210" s="75"/>
      <c r="N210" s="75"/>
    </row>
    <row r="211" spans="1:14" x14ac:dyDescent="0.25">
      <c r="A211" s="75"/>
      <c r="N211" s="75"/>
    </row>
    <row r="212" spans="1:14" x14ac:dyDescent="0.25">
      <c r="A212" s="75"/>
      <c r="N212" s="75"/>
    </row>
    <row r="213" spans="1:14" x14ac:dyDescent="0.25">
      <c r="A213" s="75"/>
      <c r="N213" s="75"/>
    </row>
    <row r="214" spans="1:14" x14ac:dyDescent="0.25">
      <c r="A214" s="75"/>
      <c r="N214" s="75"/>
    </row>
    <row r="215" spans="1:14" x14ac:dyDescent="0.25">
      <c r="A215" s="75"/>
      <c r="N215" s="75"/>
    </row>
    <row r="216" spans="1:14" x14ac:dyDescent="0.25">
      <c r="A216" s="75"/>
    </row>
    <row r="217" spans="1:14" x14ac:dyDescent="0.25">
      <c r="A217" s="75"/>
    </row>
    <row r="218" spans="1:14" x14ac:dyDescent="0.25">
      <c r="A218" s="75"/>
    </row>
    <row r="219" spans="1:14" x14ac:dyDescent="0.25">
      <c r="A219" s="75"/>
    </row>
    <row r="220" spans="1:14" x14ac:dyDescent="0.25">
      <c r="A220" s="75"/>
    </row>
    <row r="221" spans="1:14" x14ac:dyDescent="0.25">
      <c r="A221" s="75"/>
    </row>
    <row r="222" spans="1:14" x14ac:dyDescent="0.25">
      <c r="A222" s="75"/>
    </row>
    <row r="223" spans="1:14" x14ac:dyDescent="0.25">
      <c r="A223" s="75"/>
    </row>
    <row r="224" spans="1:14" x14ac:dyDescent="0.25">
      <c r="A224" s="75"/>
    </row>
    <row r="225" spans="1:1" x14ac:dyDescent="0.25">
      <c r="A225" s="75"/>
    </row>
    <row r="226" spans="1:1" x14ac:dyDescent="0.25">
      <c r="A226" s="75"/>
    </row>
    <row r="227" spans="1:1" x14ac:dyDescent="0.25">
      <c r="A227" s="75"/>
    </row>
    <row r="228" spans="1:1" x14ac:dyDescent="0.25">
      <c r="A228" s="75"/>
    </row>
    <row r="229" spans="1:1" x14ac:dyDescent="0.25">
      <c r="A229" s="75"/>
    </row>
    <row r="230" spans="1:1" x14ac:dyDescent="0.25">
      <c r="A230" s="75"/>
    </row>
    <row r="231" spans="1:1" x14ac:dyDescent="0.25">
      <c r="A231" s="75"/>
    </row>
    <row r="232" spans="1:1" x14ac:dyDescent="0.25">
      <c r="A232" s="75"/>
    </row>
    <row r="233" spans="1:1" x14ac:dyDescent="0.25">
      <c r="A233" s="75"/>
    </row>
    <row r="234" spans="1:1" x14ac:dyDescent="0.25">
      <c r="A234" s="75"/>
    </row>
  </sheetData>
  <mergeCells count="242">
    <mergeCell ref="T62:U62"/>
    <mergeCell ref="N63:S63"/>
    <mergeCell ref="T63:U63"/>
    <mergeCell ref="N57:S57"/>
    <mergeCell ref="T57:U57"/>
    <mergeCell ref="N56:O56"/>
    <mergeCell ref="Q56:S56"/>
    <mergeCell ref="T56:U56"/>
    <mergeCell ref="N43:O43"/>
    <mergeCell ref="P43:T43"/>
    <mergeCell ref="N44:Q44"/>
    <mergeCell ref="S44:T44"/>
    <mergeCell ref="N46:Q46"/>
    <mergeCell ref="S46:T46"/>
    <mergeCell ref="N121:U121"/>
    <mergeCell ref="N140:U140"/>
    <mergeCell ref="D56:G56"/>
    <mergeCell ref="D59:G59"/>
    <mergeCell ref="C90:D90"/>
    <mergeCell ref="C91:D91"/>
    <mergeCell ref="F107:G107"/>
    <mergeCell ref="C106:E106"/>
    <mergeCell ref="N114:P114"/>
    <mergeCell ref="N115:T115"/>
    <mergeCell ref="N120:U120"/>
    <mergeCell ref="N111:O111"/>
    <mergeCell ref="P111:Q111"/>
    <mergeCell ref="R111:S111"/>
    <mergeCell ref="N112:O112"/>
    <mergeCell ref="N109:O109"/>
    <mergeCell ref="P109:Q109"/>
    <mergeCell ref="R109:S109"/>
    <mergeCell ref="N110:O110"/>
    <mergeCell ref="P110:Q110"/>
    <mergeCell ref="R110:S110"/>
    <mergeCell ref="N101:O101"/>
    <mergeCell ref="P101:R101"/>
    <mergeCell ref="N102:O102"/>
    <mergeCell ref="P102:R102"/>
    <mergeCell ref="N105:U105"/>
    <mergeCell ref="N108:O108"/>
    <mergeCell ref="P108:Q108"/>
    <mergeCell ref="R108:S108"/>
    <mergeCell ref="P92:Q92"/>
    <mergeCell ref="P93:Q93"/>
    <mergeCell ref="P94:Q94"/>
    <mergeCell ref="P95:T95"/>
    <mergeCell ref="N96:U96"/>
    <mergeCell ref="N98:P98"/>
    <mergeCell ref="Q98:T98"/>
    <mergeCell ref="N87:P87"/>
    <mergeCell ref="N85:P85"/>
    <mergeCell ref="N91:O91"/>
    <mergeCell ref="P91:Q91"/>
    <mergeCell ref="R91:U91"/>
    <mergeCell ref="Q59:S59"/>
    <mergeCell ref="N60:S60"/>
    <mergeCell ref="T60:U60"/>
    <mergeCell ref="N73:P73"/>
    <mergeCell ref="N65:O65"/>
    <mergeCell ref="Q65:S65"/>
    <mergeCell ref="T65:U65"/>
    <mergeCell ref="N66:S66"/>
    <mergeCell ref="T66:U66"/>
    <mergeCell ref="N59:O59"/>
    <mergeCell ref="T59:U59"/>
    <mergeCell ref="N68:O68"/>
    <mergeCell ref="Q68:S68"/>
    <mergeCell ref="T68:U68"/>
    <mergeCell ref="N69:S69"/>
    <mergeCell ref="T69:U69"/>
    <mergeCell ref="N74:P74"/>
    <mergeCell ref="N62:O62"/>
    <mergeCell ref="Q62:S62"/>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27:O27"/>
    <mergeCell ref="P27:Q27"/>
    <mergeCell ref="R27:S27"/>
    <mergeCell ref="N28:O28"/>
    <mergeCell ref="P28:Q28"/>
    <mergeCell ref="R28:S28"/>
    <mergeCell ref="N25:O25"/>
    <mergeCell ref="P25:Q25"/>
    <mergeCell ref="R25:S25"/>
    <mergeCell ref="N26:O26"/>
    <mergeCell ref="P26:Q26"/>
    <mergeCell ref="R26:S26"/>
    <mergeCell ref="N24:O24"/>
    <mergeCell ref="P24:Q24"/>
    <mergeCell ref="R24:S24"/>
    <mergeCell ref="N21:O21"/>
    <mergeCell ref="P21:Q21"/>
    <mergeCell ref="R21:S21"/>
    <mergeCell ref="N22:O22"/>
    <mergeCell ref="P22:Q22"/>
    <mergeCell ref="R22:S22"/>
    <mergeCell ref="N23:O23"/>
    <mergeCell ref="P23:Q23"/>
    <mergeCell ref="R23:S23"/>
    <mergeCell ref="R20:S20"/>
    <mergeCell ref="N17:O17"/>
    <mergeCell ref="P17:Q17"/>
    <mergeCell ref="R17:S17"/>
    <mergeCell ref="N18:O18"/>
    <mergeCell ref="P18:Q18"/>
    <mergeCell ref="R18:S18"/>
    <mergeCell ref="N20:O20"/>
    <mergeCell ref="P20:Q20"/>
    <mergeCell ref="N19:O19"/>
    <mergeCell ref="P19:Q19"/>
    <mergeCell ref="R19:S19"/>
    <mergeCell ref="R8:S8"/>
    <mergeCell ref="T8:U8"/>
    <mergeCell ref="R11:S11"/>
    <mergeCell ref="N12:O12"/>
    <mergeCell ref="P12:Q12"/>
    <mergeCell ref="R12:S12"/>
    <mergeCell ref="N15:O15"/>
    <mergeCell ref="P15:Q15"/>
    <mergeCell ref="R15:S15"/>
    <mergeCell ref="T9:U9"/>
    <mergeCell ref="N16:O16"/>
    <mergeCell ref="P16:Q16"/>
    <mergeCell ref="R16:S16"/>
    <mergeCell ref="N13:O13"/>
    <mergeCell ref="P13:Q13"/>
    <mergeCell ref="R13:S13"/>
    <mergeCell ref="N14:O14"/>
    <mergeCell ref="P14:Q14"/>
    <mergeCell ref="R14:S14"/>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F29:G29"/>
    <mergeCell ref="A25:B25"/>
    <mergeCell ref="A26:B26"/>
    <mergeCell ref="A38:B38"/>
    <mergeCell ref="F111:G111"/>
    <mergeCell ref="C94:D94"/>
    <mergeCell ref="A59:B59"/>
    <mergeCell ref="C93:D93"/>
    <mergeCell ref="F34:H37"/>
    <mergeCell ref="A37:B37"/>
    <mergeCell ref="F110:G110"/>
    <mergeCell ref="A73:C73"/>
    <mergeCell ref="A109:B109"/>
    <mergeCell ref="A105:C105"/>
    <mergeCell ref="F105:I105"/>
    <mergeCell ref="A101:B101"/>
    <mergeCell ref="A102:B102"/>
    <mergeCell ref="F30:G30"/>
    <mergeCell ref="A56:B56"/>
    <mergeCell ref="A87:C87"/>
    <mergeCell ref="A62:B62"/>
    <mergeCell ref="D62:G62"/>
    <mergeCell ref="A116:H116"/>
    <mergeCell ref="A121:G121"/>
    <mergeCell ref="A120:G120"/>
    <mergeCell ref="F114:H114"/>
    <mergeCell ref="A40:B40"/>
    <mergeCell ref="A41:B41"/>
    <mergeCell ref="A112:B112"/>
    <mergeCell ref="A111:B111"/>
    <mergeCell ref="A110:B110"/>
    <mergeCell ref="A96:I96"/>
    <mergeCell ref="F109:G109"/>
    <mergeCell ref="A74:C74"/>
    <mergeCell ref="C95:D95"/>
    <mergeCell ref="A108:B108"/>
    <mergeCell ref="F98:I98"/>
    <mergeCell ref="F108:G108"/>
    <mergeCell ref="A114:C114"/>
    <mergeCell ref="A42:B42"/>
    <mergeCell ref="A85:C85"/>
    <mergeCell ref="C92:D92"/>
    <mergeCell ref="A65:B65"/>
    <mergeCell ref="D65:G65"/>
    <mergeCell ref="A68:B68"/>
    <mergeCell ref="D68:G68"/>
  </mergeCells>
  <phoneticPr fontId="2" type="noConversion"/>
  <printOptions horizontalCentered="1" headings="1"/>
  <pageMargins left="0.1" right="0.1" top="0.5" bottom="0.5" header="0" footer="0.1"/>
  <pageSetup scale="77" fitToHeight="3" orientation="portrait" r:id="rId1"/>
  <headerFooter alignWithMargins="0">
    <oddFooter>&amp;R&amp;P of &amp;N</oddFooter>
  </headerFooter>
  <rowBreaks count="1" manualBreakCount="1">
    <brk id="69"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CCC"/>
  </sheetPr>
  <dimension ref="A1:V209"/>
  <sheetViews>
    <sheetView showGridLines="0" zoomScaleNormal="100" workbookViewId="0">
      <pane ySplit="1" topLeftCell="A114"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271</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89" t="s">
        <v>333</v>
      </c>
      <c r="C10" s="39" t="s">
        <v>333</v>
      </c>
      <c r="D10" s="89" t="s">
        <v>333</v>
      </c>
      <c r="E10" s="8"/>
      <c r="F10" s="9"/>
      <c r="G10" s="9"/>
      <c r="H10" s="10"/>
      <c r="I10" s="322" t="str">
        <f>'0664'!I10</f>
        <v>2023-24</v>
      </c>
      <c r="N10" s="12"/>
      <c r="O10" s="12"/>
      <c r="P10" s="13"/>
      <c r="Q10" s="13"/>
      <c r="R10" s="14"/>
      <c r="S10" s="14"/>
      <c r="T10" s="15"/>
      <c r="U10" s="384" t="str">
        <f>I10</f>
        <v>2023-24</v>
      </c>
    </row>
    <row r="11" spans="1:21" x14ac:dyDescent="0.25">
      <c r="A11" s="7"/>
      <c r="B11" s="66"/>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36" t="s">
        <v>1</v>
      </c>
      <c r="B12" s="36"/>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0</v>
      </c>
      <c r="D16" s="151">
        <v>0</v>
      </c>
      <c r="E16" s="117">
        <f t="shared" si="1"/>
        <v>0</v>
      </c>
      <c r="F16" s="622">
        <f>'0664'!F16:G16</f>
        <v>1</v>
      </c>
      <c r="G16" s="622"/>
      <c r="H16" s="81">
        <f t="shared" si="2"/>
        <v>0</v>
      </c>
      <c r="I16" s="102">
        <f t="shared" si="3"/>
        <v>0</v>
      </c>
      <c r="N16" s="635" t="s">
        <v>22</v>
      </c>
      <c r="O16" s="635"/>
      <c r="P16" s="636">
        <f t="shared" si="0"/>
        <v>0</v>
      </c>
      <c r="Q16" s="636"/>
      <c r="R16" s="637">
        <v>1</v>
      </c>
      <c r="S16" s="637"/>
      <c r="T16" s="96">
        <f t="shared" si="4"/>
        <v>0</v>
      </c>
      <c r="U16" s="97">
        <f t="shared" si="5"/>
        <v>0</v>
      </c>
    </row>
    <row r="17" spans="1:21" x14ac:dyDescent="0.25">
      <c r="A17" s="586" t="s">
        <v>23</v>
      </c>
      <c r="B17" s="586"/>
      <c r="C17" s="151">
        <v>0</v>
      </c>
      <c r="D17" s="151">
        <v>0</v>
      </c>
      <c r="E17" s="117">
        <f t="shared" si="1"/>
        <v>0</v>
      </c>
      <c r="F17" s="622">
        <f>'0664'!F17:G17</f>
        <v>1</v>
      </c>
      <c r="G17" s="622"/>
      <c r="H17" s="81">
        <f t="shared" si="2"/>
        <v>0</v>
      </c>
      <c r="I17" s="102">
        <f t="shared" si="3"/>
        <v>0</v>
      </c>
      <c r="J17" s="66"/>
      <c r="N17" s="635" t="s">
        <v>23</v>
      </c>
      <c r="O17" s="635"/>
      <c r="P17" s="636">
        <f t="shared" si="0"/>
        <v>0</v>
      </c>
      <c r="Q17" s="636"/>
      <c r="R17" s="637">
        <v>1</v>
      </c>
      <c r="S17" s="637"/>
      <c r="T17" s="96">
        <f t="shared" si="4"/>
        <v>0</v>
      </c>
      <c r="U17" s="97">
        <f t="shared" si="5"/>
        <v>0</v>
      </c>
    </row>
    <row r="18" spans="1:21" x14ac:dyDescent="0.25">
      <c r="A18" s="586" t="s">
        <v>24</v>
      </c>
      <c r="B18" s="586"/>
      <c r="C18" s="151">
        <v>256.52999999999997</v>
      </c>
      <c r="D18" s="151">
        <v>248.59</v>
      </c>
      <c r="E18" s="117">
        <f t="shared" si="1"/>
        <v>505.12</v>
      </c>
      <c r="F18" s="622">
        <f>'0664'!F18:G18</f>
        <v>0.98799999999999999</v>
      </c>
      <c r="G18" s="622"/>
      <c r="H18" s="81">
        <f t="shared" si="2"/>
        <v>499.05860000000001</v>
      </c>
      <c r="I18" s="102">
        <f t="shared" si="3"/>
        <v>2678400.63</v>
      </c>
      <c r="N18" s="635" t="s">
        <v>24</v>
      </c>
      <c r="O18" s="635"/>
      <c r="P18" s="636">
        <f t="shared" si="0"/>
        <v>0</v>
      </c>
      <c r="Q18" s="636"/>
      <c r="R18" s="637">
        <v>1</v>
      </c>
      <c r="S18" s="637"/>
      <c r="T18" s="96">
        <f t="shared" si="4"/>
        <v>0</v>
      </c>
      <c r="U18" s="97">
        <f t="shared" si="5"/>
        <v>0</v>
      </c>
    </row>
    <row r="19" spans="1:21" x14ac:dyDescent="0.25">
      <c r="A19" s="586" t="s">
        <v>25</v>
      </c>
      <c r="B19" s="586"/>
      <c r="C19" s="151">
        <v>37.35</v>
      </c>
      <c r="D19" s="151">
        <v>37.520000000000003</v>
      </c>
      <c r="E19" s="117">
        <f t="shared" si="1"/>
        <v>74.87</v>
      </c>
      <c r="F19" s="622">
        <f>'0664'!F19:G19</f>
        <v>0.98799999999999999</v>
      </c>
      <c r="G19" s="622"/>
      <c r="H19" s="81">
        <f t="shared" si="2"/>
        <v>73.971599999999995</v>
      </c>
      <c r="I19" s="102">
        <f t="shared" si="3"/>
        <v>396998.63</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0</v>
      </c>
      <c r="D27" s="151">
        <v>0</v>
      </c>
      <c r="E27" s="117">
        <f t="shared" si="1"/>
        <v>0</v>
      </c>
      <c r="F27" s="622">
        <f>'0664'!F27:G27</f>
        <v>1.208</v>
      </c>
      <c r="G27" s="622"/>
      <c r="H27" s="81">
        <f t="shared" si="2"/>
        <v>0</v>
      </c>
      <c r="I27" s="102">
        <f t="shared" si="3"/>
        <v>0</v>
      </c>
      <c r="N27" s="635" t="s">
        <v>92</v>
      </c>
      <c r="O27" s="635"/>
      <c r="P27" s="636">
        <f t="shared" si="0"/>
        <v>0</v>
      </c>
      <c r="Q27" s="636"/>
      <c r="R27" s="637">
        <v>1</v>
      </c>
      <c r="S27" s="637"/>
      <c r="T27" s="96">
        <f t="shared" si="4"/>
        <v>0</v>
      </c>
      <c r="U27" s="97">
        <f t="shared" si="5"/>
        <v>0</v>
      </c>
    </row>
    <row r="28" spans="1:21" x14ac:dyDescent="0.25">
      <c r="A28" s="586" t="s">
        <v>93</v>
      </c>
      <c r="B28" s="586"/>
      <c r="C28" s="151">
        <v>8.8000000000000007</v>
      </c>
      <c r="D28" s="151">
        <v>6.27</v>
      </c>
      <c r="E28" s="117">
        <f t="shared" si="1"/>
        <v>15.07</v>
      </c>
      <c r="F28" s="622">
        <f>'0664'!F28:G28</f>
        <v>1.208</v>
      </c>
      <c r="G28" s="622"/>
      <c r="H28" s="81">
        <f t="shared" si="2"/>
        <v>18.204599999999999</v>
      </c>
      <c r="I28" s="102">
        <f t="shared" si="3"/>
        <v>97702.38</v>
      </c>
      <c r="N28" s="635" t="s">
        <v>93</v>
      </c>
      <c r="O28" s="635"/>
      <c r="P28" s="636">
        <f t="shared" si="0"/>
        <v>0</v>
      </c>
      <c r="Q28" s="636"/>
      <c r="R28" s="637">
        <v>1</v>
      </c>
      <c r="S28" s="637"/>
      <c r="T28" s="96">
        <f t="shared" si="4"/>
        <v>0</v>
      </c>
      <c r="U28" s="97">
        <f t="shared" si="5"/>
        <v>0</v>
      </c>
    </row>
    <row r="29" spans="1:21" x14ac:dyDescent="0.25">
      <c r="A29" s="586" t="s">
        <v>94</v>
      </c>
      <c r="B29" s="586"/>
      <c r="C29" s="111">
        <v>73.760000000000005</v>
      </c>
      <c r="D29" s="111">
        <v>73.31</v>
      </c>
      <c r="E29" s="163">
        <f t="shared" si="1"/>
        <v>147.07</v>
      </c>
      <c r="F29" s="622">
        <f>'0664'!F29:G29</f>
        <v>1.0720000000000001</v>
      </c>
      <c r="G29" s="622"/>
      <c r="H29" s="94">
        <f t="shared" si="2"/>
        <v>157.65899999999999</v>
      </c>
      <c r="I29" s="95">
        <f t="shared" si="3"/>
        <v>846141.04</v>
      </c>
      <c r="N29" s="652" t="s">
        <v>94</v>
      </c>
      <c r="O29" s="652"/>
      <c r="P29" s="636">
        <f t="shared" si="0"/>
        <v>0</v>
      </c>
      <c r="Q29" s="636"/>
      <c r="R29" s="653">
        <v>1</v>
      </c>
      <c r="S29" s="653"/>
      <c r="T29" s="96">
        <f t="shared" si="4"/>
        <v>0</v>
      </c>
      <c r="U29" s="97">
        <f t="shared" si="5"/>
        <v>0</v>
      </c>
    </row>
    <row r="30" spans="1:21" x14ac:dyDescent="0.25">
      <c r="A30" s="584" t="s">
        <v>5</v>
      </c>
      <c r="B30" s="584"/>
      <c r="C30" s="95">
        <f>SUM(C14:C29)</f>
        <v>376.44</v>
      </c>
      <c r="D30" s="95">
        <f>SUM(D14:D29)</f>
        <v>365.69</v>
      </c>
      <c r="E30" s="95">
        <f>SUM(E14:E29)</f>
        <v>742.13000000000011</v>
      </c>
      <c r="F30" s="609"/>
      <c r="G30" s="609"/>
      <c r="H30" s="100">
        <f>SUM(H14:H29)</f>
        <v>748.89380000000006</v>
      </c>
      <c r="I30" s="95">
        <f>SUM(I14:I29)</f>
        <v>4019242.6799999997</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748.89380000000006</v>
      </c>
      <c r="F46" s="34"/>
      <c r="G46" s="107"/>
      <c r="H46" s="108" t="s">
        <v>104</v>
      </c>
      <c r="I46" s="95">
        <f>SUM(I44,I30)</f>
        <v>4019242.6799999997</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4019242.6799999997</v>
      </c>
      <c r="G51" s="110" t="s">
        <v>6</v>
      </c>
      <c r="H51" s="425">
        <v>4.5199999999999997E-2</v>
      </c>
      <c r="I51" s="102">
        <f>ROUND(F51*H51,2)</f>
        <v>181669.77</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4019242.6799999997</v>
      </c>
      <c r="G52" s="110" t="s">
        <v>6</v>
      </c>
      <c r="H52" s="425">
        <v>1.41E-2</v>
      </c>
      <c r="I52" s="102">
        <f>ROUND(F52*H52,2)</f>
        <v>56671.32</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238341.09</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742.13000000000011</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3.65E-3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748.89380000000006</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3.2910000000000001E-3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742.13000000000011</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3.9709999999999997E-3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742.13000000000011</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3.6540000000000001E-3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742.13000000000011</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3.9750000000000002E-3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3.6540000000000001E-3</v>
      </c>
      <c r="I71" s="102">
        <f>ROUND(F71*H71,2)</f>
        <v>163207.87</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3.65E-3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3.9750000000000002E-3</v>
      </c>
      <c r="I76" s="102">
        <f>ROUND(F76*H76,2)</f>
        <v>64264.03</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3.9709999999999997E-3</v>
      </c>
      <c r="I78" s="102">
        <f t="shared" ref="I78:I87" si="10">ROUND(F78*H78,2)</f>
        <v>39869.230000000003</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74.87</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74.87</v>
      </c>
      <c r="G83" s="37" t="s">
        <v>6</v>
      </c>
      <c r="H83" s="448">
        <f>'0664'!H83</f>
        <v>1951.26</v>
      </c>
      <c r="I83" s="102">
        <f>ROUND(F83*H83,2)</f>
        <v>146090.84</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3.2910000000000001E-3</v>
      </c>
      <c r="I85" s="102">
        <f t="shared" si="10"/>
        <v>771372.33</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3.2910000000000001E-3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0</v>
      </c>
      <c r="D92" s="597"/>
      <c r="E92" s="47">
        <f>H8</f>
        <v>1.0442</v>
      </c>
      <c r="F92" s="320">
        <f>'0664'!F92</f>
        <v>947.59</v>
      </c>
      <c r="G92" s="39" t="s">
        <v>12</v>
      </c>
      <c r="H92" s="102">
        <f>ROUND(C92*E92*F92,2)</f>
        <v>0</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0</v>
      </c>
      <c r="D93" s="597"/>
      <c r="E93" s="47">
        <f>H8</f>
        <v>1.0442</v>
      </c>
      <c r="F93" s="320">
        <f>'0664'!F93</f>
        <v>904.74</v>
      </c>
      <c r="G93" s="39" t="s">
        <v>12</v>
      </c>
      <c r="H93" s="102">
        <f>ROUND(C93*E93*F93,2)</f>
        <v>0</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748.89380000000006</v>
      </c>
      <c r="D94" s="597"/>
      <c r="E94" s="47">
        <f>H8</f>
        <v>1.0442</v>
      </c>
      <c r="F94" s="320">
        <f>'0664'!F94</f>
        <v>906.93</v>
      </c>
      <c r="G94" s="39" t="s">
        <v>12</v>
      </c>
      <c r="H94" s="95">
        <f>ROUND(C94*E94*F94,2)</f>
        <v>709214.64</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748.89380000000006</v>
      </c>
      <c r="D95" s="601"/>
      <c r="E95" s="130"/>
      <c r="F95" s="130"/>
      <c r="G95" s="130"/>
      <c r="H95" s="131" t="s">
        <v>112</v>
      </c>
      <c r="I95" s="102">
        <f>IF(A1=75,0,H94+H93+H92)</f>
        <v>709214.64</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8"/>
      <c r="D98" s="8"/>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471</v>
      </c>
      <c r="D101" s="151">
        <v>439</v>
      </c>
      <c r="E101" s="117">
        <f>(C101+D101)/2</f>
        <v>455</v>
      </c>
      <c r="F101" s="134" t="s">
        <v>30</v>
      </c>
      <c r="G101" s="321">
        <f>'0664'!G101</f>
        <v>565</v>
      </c>
      <c r="I101" s="102">
        <f>ROUND(G101*E101,2)</f>
        <v>257075</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6408677.71</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6170336.6200000001</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1" t="s">
        <v>258</v>
      </c>
      <c r="H123" s="147">
        <f>IF(H121=1,I121,I118)</f>
        <v>6170336.6200000001</v>
      </c>
      <c r="I123" s="95">
        <f>ROUND(IF(E30=0,0,IF(E30&gt;250,-(((250/E30)*H123)*IF(G123="H",0.02,0.05)),IF(G123="H",-0.02*H123,-0.05*H123))),2)</f>
        <v>-41571.800000000003</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6367105.9100000001</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6367105.9100000001</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530592.16</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IF(G123="H",(H123*0.02)+I123,(H123*0.05)+I123)</f>
        <v>81834.932400000005</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63" t="str">
        <f>'0664'!A140</f>
        <v>(a) Additional FTE includes FTE earned through Advanced Placement, International Baccalaureate, Advanced International Certificate of Education, Industry Certified Career</v>
      </c>
      <c r="B140" s="364"/>
      <c r="C140" s="364"/>
      <c r="D140" s="364"/>
      <c r="E140" s="364"/>
      <c r="F140" s="364"/>
      <c r="G140" s="364"/>
      <c r="H140" s="364"/>
      <c r="I140" s="364"/>
      <c r="J140" s="78"/>
      <c r="K140" s="77"/>
      <c r="L140" s="77"/>
      <c r="M140" s="77"/>
      <c r="N140" s="679"/>
      <c r="O140" s="679"/>
      <c r="P140" s="679"/>
      <c r="Q140" s="679"/>
      <c r="R140" s="679"/>
      <c r="S140" s="679"/>
      <c r="T140" s="679"/>
      <c r="U140" s="679"/>
    </row>
    <row r="141" spans="1:21" ht="15.75" customHeight="1" x14ac:dyDescent="0.25">
      <c r="A141" s="369" t="s">
        <v>426</v>
      </c>
      <c r="B141" s="364"/>
      <c r="C141" s="364"/>
      <c r="D141" s="364"/>
      <c r="E141" s="364"/>
      <c r="F141" s="364"/>
      <c r="G141" s="364"/>
      <c r="H141" s="364"/>
      <c r="I141" s="364"/>
      <c r="J141" s="78"/>
      <c r="K141" s="77"/>
      <c r="L141" s="77"/>
      <c r="M141" s="77"/>
      <c r="N141" s="74"/>
      <c r="O141" s="74"/>
      <c r="P141" s="74"/>
      <c r="Q141" s="74"/>
      <c r="R141" s="74"/>
      <c r="S141" s="74"/>
      <c r="T141" s="74"/>
      <c r="U141" s="74"/>
    </row>
    <row r="142" spans="1:21" x14ac:dyDescent="0.25">
      <c r="A142" s="363" t="s">
        <v>427</v>
      </c>
      <c r="B142" s="365"/>
      <c r="C142" s="365"/>
      <c r="D142" s="365"/>
      <c r="E142" s="365"/>
      <c r="F142" s="365"/>
      <c r="G142" s="365"/>
      <c r="H142" s="365"/>
      <c r="I142" s="365"/>
      <c r="J142" s="77"/>
      <c r="K142" s="77"/>
      <c r="L142" s="77"/>
      <c r="M142" s="77"/>
      <c r="N142" s="79"/>
      <c r="O142" s="80"/>
      <c r="P142" s="80"/>
      <c r="Q142" s="80"/>
      <c r="R142" s="80"/>
      <c r="S142" s="80"/>
      <c r="T142" s="80"/>
      <c r="U142" s="80"/>
    </row>
    <row r="143" spans="1:21" s="77" customFormat="1" x14ac:dyDescent="0.2">
      <c r="A143" s="363" t="s">
        <v>428</v>
      </c>
      <c r="B143" s="365"/>
      <c r="C143" s="365"/>
      <c r="D143" s="365"/>
      <c r="E143" s="365"/>
      <c r="F143" s="365"/>
      <c r="G143" s="365"/>
      <c r="H143" s="365"/>
      <c r="I143" s="365"/>
      <c r="N143" s="79"/>
    </row>
    <row r="144" spans="1:21" s="77" customFormat="1" x14ac:dyDescent="0.2">
      <c r="A144" s="363" t="s">
        <v>429</v>
      </c>
      <c r="B144" s="365"/>
      <c r="C144" s="365"/>
      <c r="D144" s="365"/>
      <c r="E144" s="365"/>
      <c r="F144" s="365"/>
      <c r="G144" s="365"/>
      <c r="H144" s="365"/>
      <c r="I144" s="365"/>
      <c r="N144" s="79"/>
    </row>
    <row r="145" spans="1:14" s="77" customFormat="1" x14ac:dyDescent="0.2">
      <c r="A145" s="363" t="s">
        <v>430</v>
      </c>
      <c r="B145" s="365"/>
      <c r="C145" s="365"/>
      <c r="D145" s="365"/>
      <c r="E145" s="365"/>
      <c r="F145" s="365"/>
      <c r="G145" s="365"/>
      <c r="H145" s="365"/>
      <c r="I145" s="365"/>
      <c r="N145" s="79"/>
    </row>
    <row r="146" spans="1:14" s="77" customFormat="1" x14ac:dyDescent="0.2">
      <c r="A146" s="363" t="s">
        <v>431</v>
      </c>
      <c r="B146" s="365"/>
      <c r="C146" s="365"/>
      <c r="D146" s="365"/>
      <c r="E146" s="365"/>
      <c r="F146" s="365"/>
      <c r="G146" s="365"/>
      <c r="H146" s="365"/>
      <c r="I146" s="365"/>
      <c r="N146" s="79"/>
    </row>
    <row r="147" spans="1:14" s="77" customFormat="1" x14ac:dyDescent="0.2">
      <c r="A147" s="363" t="s">
        <v>433</v>
      </c>
      <c r="B147" s="365"/>
      <c r="C147" s="365"/>
      <c r="D147" s="365"/>
      <c r="E147" s="365"/>
      <c r="F147" s="365"/>
      <c r="G147" s="365"/>
      <c r="H147" s="365"/>
      <c r="I147" s="365"/>
      <c r="N147" s="79"/>
    </row>
    <row r="148" spans="1:14" s="77" customFormat="1" x14ac:dyDescent="0.2">
      <c r="A148" s="369" t="s">
        <v>432</v>
      </c>
      <c r="B148" s="365"/>
      <c r="C148" s="365"/>
      <c r="D148" s="365"/>
      <c r="E148" s="365"/>
      <c r="F148" s="365"/>
      <c r="G148" s="365"/>
      <c r="H148" s="365"/>
      <c r="I148" s="365"/>
      <c r="N148" s="79"/>
    </row>
    <row r="149" spans="1:14" s="77" customFormat="1" x14ac:dyDescent="0.2">
      <c r="A149" s="363" t="s">
        <v>434</v>
      </c>
      <c r="B149" s="365"/>
      <c r="C149" s="365"/>
      <c r="D149" s="365"/>
      <c r="E149" s="365"/>
      <c r="F149" s="365"/>
      <c r="G149" s="365"/>
      <c r="H149" s="365"/>
      <c r="I149" s="365"/>
      <c r="N149" s="79"/>
    </row>
    <row r="150" spans="1:14" s="77" customFormat="1" x14ac:dyDescent="0.2">
      <c r="A150" s="369" t="str">
        <f>'0664'!A150</f>
        <v>"All Adjusted ESE Riders" should include only ESE Riders.</v>
      </c>
      <c r="B150" s="365"/>
      <c r="C150" s="365"/>
      <c r="D150" s="365"/>
      <c r="E150" s="365"/>
      <c r="F150" s="365"/>
      <c r="G150" s="365"/>
      <c r="H150" s="365"/>
      <c r="I150" s="365"/>
      <c r="N150" s="79"/>
    </row>
    <row r="151" spans="1:14" s="77" customFormat="1" x14ac:dyDescent="0.2">
      <c r="A151" s="363" t="s">
        <v>437</v>
      </c>
      <c r="B151" s="365"/>
      <c r="C151" s="365"/>
      <c r="D151" s="365"/>
      <c r="E151" s="365"/>
      <c r="F151" s="365"/>
      <c r="G151" s="365"/>
      <c r="H151" s="365"/>
      <c r="I151" s="365"/>
      <c r="N151" s="79"/>
    </row>
    <row r="152" spans="1:14" s="77" customFormat="1" ht="15.75" customHeight="1" x14ac:dyDescent="0.2">
      <c r="A152" s="363" t="str">
        <f>'0664'!A152</f>
        <v xml:space="preserve">(j) Funding based on student eligibility and meals provided, if participating in the National School Lunch Program. </v>
      </c>
      <c r="B152" s="365"/>
      <c r="C152" s="365"/>
      <c r="D152" s="365"/>
      <c r="E152" s="365"/>
      <c r="F152" s="365"/>
      <c r="G152" s="365"/>
      <c r="H152" s="365"/>
      <c r="I152" s="365"/>
      <c r="N152" s="79"/>
    </row>
    <row r="153" spans="1:14" s="77" customFormat="1" ht="15.75" customHeight="1" x14ac:dyDescent="0.2">
      <c r="A153" s="363" t="s">
        <v>439</v>
      </c>
      <c r="B153" s="365"/>
      <c r="C153" s="365"/>
      <c r="D153" s="365"/>
      <c r="E153" s="365"/>
      <c r="F153" s="365"/>
      <c r="G153" s="365"/>
      <c r="H153" s="365"/>
      <c r="I153" s="365"/>
      <c r="N153" s="79"/>
    </row>
    <row r="154" spans="1:14" s="77" customFormat="1" ht="15.75" customHeight="1" x14ac:dyDescent="0.2">
      <c r="A154" s="369" t="s">
        <v>438</v>
      </c>
      <c r="B154" s="365"/>
      <c r="C154" s="365"/>
      <c r="D154" s="365"/>
      <c r="E154" s="365"/>
      <c r="F154" s="365"/>
      <c r="G154" s="365"/>
      <c r="H154" s="365"/>
      <c r="I154" s="365"/>
      <c r="N154" s="79"/>
    </row>
    <row r="155" spans="1:14" s="77" customFormat="1" ht="15.75" customHeight="1" x14ac:dyDescent="0.2">
      <c r="A155" s="363" t="s">
        <v>440</v>
      </c>
      <c r="B155" s="365"/>
      <c r="C155" s="365"/>
      <c r="D155" s="365"/>
      <c r="E155" s="365"/>
      <c r="F155" s="365"/>
      <c r="G155" s="365"/>
      <c r="H155" s="365"/>
      <c r="I155" s="365"/>
      <c r="N155" s="79"/>
    </row>
    <row r="156" spans="1:14" s="77" customFormat="1" ht="15.75" customHeight="1" x14ac:dyDescent="0.2">
      <c r="A156" s="369" t="str">
        <f>'0664'!A156</f>
        <v xml:space="preserve">unweighted full-time equivalent students. </v>
      </c>
      <c r="B156" s="365"/>
      <c r="C156" s="365"/>
      <c r="D156" s="365"/>
      <c r="E156" s="365"/>
      <c r="F156" s="365"/>
      <c r="G156" s="365"/>
      <c r="H156" s="365"/>
      <c r="I156" s="365"/>
      <c r="N156" s="79"/>
    </row>
    <row r="157" spans="1:14" s="77" customFormat="1" ht="15.75" customHeight="1" x14ac:dyDescent="0.2">
      <c r="A157" s="363" t="s">
        <v>442</v>
      </c>
      <c r="B157" s="365"/>
      <c r="C157" s="365"/>
      <c r="D157" s="365"/>
      <c r="E157" s="365"/>
      <c r="F157" s="365"/>
      <c r="G157" s="365"/>
      <c r="H157" s="365"/>
      <c r="I157" s="365"/>
      <c r="N157" s="79"/>
    </row>
    <row r="158" spans="1:14" s="77" customFormat="1" ht="15.75" customHeight="1" x14ac:dyDescent="0.2">
      <c r="A158" s="369" t="s">
        <v>441</v>
      </c>
      <c r="B158" s="365"/>
      <c r="C158" s="365"/>
      <c r="D158" s="365"/>
      <c r="E158" s="365"/>
      <c r="F158" s="365"/>
      <c r="G158" s="365"/>
      <c r="H158" s="365"/>
      <c r="I158" s="365"/>
      <c r="N158" s="79"/>
    </row>
    <row r="159" spans="1:14" s="77" customFormat="1" ht="15.75" customHeight="1" x14ac:dyDescent="0.2">
      <c r="A159" s="363"/>
      <c r="B159" s="365"/>
      <c r="C159" s="365"/>
      <c r="D159" s="365"/>
      <c r="E159" s="365"/>
      <c r="F159" s="365"/>
      <c r="G159" s="365"/>
      <c r="H159" s="365"/>
      <c r="I159" s="365"/>
      <c r="N159" s="79"/>
    </row>
    <row r="160" spans="1:14" s="77" customFormat="1" ht="15.75" customHeight="1" x14ac:dyDescent="0.25">
      <c r="A160" s="376" t="str">
        <f>'0664'!A160</f>
        <v>Administrative fees:</v>
      </c>
      <c r="B160" s="365"/>
      <c r="C160" s="365"/>
      <c r="D160" s="365"/>
      <c r="E160" s="365"/>
      <c r="F160" s="365"/>
      <c r="G160" s="365"/>
      <c r="H160" s="365"/>
      <c r="I160" s="365"/>
      <c r="J160" s="3"/>
      <c r="K160" s="3"/>
      <c r="L160" s="3"/>
      <c r="M160" s="3"/>
      <c r="N160" s="79"/>
    </row>
    <row r="161" spans="1:21" s="77" customFormat="1" ht="15.75" customHeight="1" x14ac:dyDescent="0.25">
      <c r="A161" s="380" t="str">
        <f>'0664'!A161</f>
        <v xml:space="preserve">Administrative fees charged by the school district pursuant to s. 1002.33(20)(a), F.S., shall be calculated based upon 5% of available funds from the FEFP and categorical </v>
      </c>
      <c r="B161" s="368"/>
      <c r="C161" s="368"/>
      <c r="D161" s="368"/>
      <c r="E161" s="368"/>
      <c r="F161" s="368"/>
      <c r="G161" s="368"/>
      <c r="H161" s="368"/>
      <c r="I161" s="368"/>
      <c r="J161" s="3"/>
      <c r="K161" s="3"/>
      <c r="L161" s="3"/>
      <c r="M161" s="3"/>
      <c r="N161" s="79"/>
    </row>
    <row r="162" spans="1:21" s="77" customFormat="1" ht="15.75" customHeight="1" x14ac:dyDescent="0.25">
      <c r="A162" s="381" t="str">
        <f>'0664'!A162</f>
        <v>funding for which charter students may be eligible.  To calculate the administrative fee to be withheld for schools with more than 250 students, divide the school</v>
      </c>
      <c r="B162" s="375"/>
      <c r="C162" s="375"/>
      <c r="D162" s="375"/>
      <c r="E162" s="375"/>
      <c r="F162" s="375"/>
      <c r="G162" s="375"/>
      <c r="H162" s="375"/>
      <c r="I162" s="375"/>
      <c r="J162" s="3"/>
      <c r="K162" s="3"/>
      <c r="L162" s="3"/>
      <c r="M162" s="3"/>
      <c r="N162" s="79"/>
    </row>
    <row r="163" spans="1:21" s="77" customFormat="1" ht="15.75" customHeight="1" x14ac:dyDescent="0.25">
      <c r="A163" s="381" t="s">
        <v>443</v>
      </c>
      <c r="B163" s="375"/>
      <c r="C163" s="375"/>
      <c r="D163" s="375"/>
      <c r="E163" s="375"/>
      <c r="F163" s="375"/>
      <c r="G163" s="375"/>
      <c r="H163" s="375"/>
      <c r="I163" s="375"/>
      <c r="J163" s="3"/>
      <c r="K163" s="3"/>
      <c r="L163" s="3"/>
      <c r="M163" s="3"/>
      <c r="N163" s="79"/>
    </row>
    <row r="164" spans="1:21" s="77" customFormat="1" ht="15.75" customHeight="1" x14ac:dyDescent="0.25">
      <c r="A164" s="381" t="s">
        <v>444</v>
      </c>
      <c r="B164" s="375"/>
      <c r="C164" s="375"/>
      <c r="D164" s="375"/>
      <c r="E164" s="375"/>
      <c r="F164" s="375"/>
      <c r="G164" s="375"/>
      <c r="H164" s="375"/>
      <c r="I164" s="375"/>
      <c r="N164" s="75"/>
      <c r="O164" s="3"/>
      <c r="P164" s="3"/>
      <c r="Q164" s="3"/>
      <c r="R164" s="3"/>
      <c r="S164" s="3"/>
      <c r="T164" s="3"/>
      <c r="U164" s="3"/>
    </row>
    <row r="165" spans="1:21" s="77" customFormat="1" ht="15.75" customHeight="1" x14ac:dyDescent="0.25">
      <c r="A165" s="380"/>
      <c r="B165" s="375"/>
      <c r="C165" s="375"/>
      <c r="D165" s="375"/>
      <c r="E165" s="375"/>
      <c r="F165" s="375"/>
      <c r="G165" s="375"/>
      <c r="H165" s="375"/>
      <c r="I165" s="375"/>
      <c r="N165" s="75"/>
      <c r="O165" s="3"/>
      <c r="P165" s="3"/>
      <c r="Q165" s="3"/>
      <c r="R165" s="3"/>
      <c r="S165" s="3"/>
      <c r="T165" s="3"/>
      <c r="U165" s="3"/>
    </row>
    <row r="166" spans="1:21" ht="15.75" customHeight="1" x14ac:dyDescent="0.25">
      <c r="A166" s="380" t="str">
        <f>'0664'!A166</f>
        <v xml:space="preserve">For high performing charter schools, administrative fees charged by the school district shall be calculated based upon 2% of available funds from the FEFP and categorical </v>
      </c>
      <c r="B166" s="368"/>
      <c r="C166" s="368"/>
      <c r="D166" s="368"/>
      <c r="E166" s="368"/>
      <c r="F166" s="368"/>
      <c r="G166" s="368"/>
      <c r="H166" s="368"/>
      <c r="I166" s="368"/>
      <c r="J166" s="77"/>
      <c r="K166" s="77"/>
      <c r="L166" s="77"/>
      <c r="M166" s="77"/>
      <c r="N166" s="79"/>
      <c r="O166" s="77"/>
      <c r="P166" s="77"/>
      <c r="Q166" s="77"/>
      <c r="R166" s="77"/>
      <c r="S166" s="77"/>
      <c r="T166" s="77"/>
      <c r="U166" s="77"/>
    </row>
    <row r="167" spans="1:21" ht="15.75" customHeight="1" x14ac:dyDescent="0.25">
      <c r="A167" s="381" t="str">
        <f>'0664'!A167</f>
        <v>funding for which charter students may be eligible.  To calculate the administrative fee to be withheld for schools with more than 250 students, divide the school</v>
      </c>
      <c r="B167" s="368"/>
      <c r="C167" s="368"/>
      <c r="D167" s="368"/>
      <c r="E167" s="368"/>
      <c r="F167" s="368"/>
      <c r="G167" s="368"/>
      <c r="H167" s="368"/>
      <c r="I167" s="368"/>
      <c r="J167" s="77"/>
      <c r="K167" s="77"/>
      <c r="L167" s="77"/>
      <c r="M167" s="77"/>
      <c r="N167" s="79"/>
      <c r="O167" s="77"/>
      <c r="P167" s="77"/>
      <c r="Q167" s="77"/>
      <c r="R167" s="77"/>
      <c r="S167" s="77"/>
      <c r="T167" s="77"/>
      <c r="U167" s="77"/>
    </row>
    <row r="168" spans="1:21" s="77" customFormat="1" ht="15.75" customHeight="1" x14ac:dyDescent="0.2">
      <c r="A168" s="381" t="str">
        <f>'0664'!A168</f>
        <v xml:space="preserve">population into 250. Multiply that fraction times the funds available, then times 2%.  </v>
      </c>
      <c r="B168" s="368"/>
      <c r="C168" s="368"/>
      <c r="D168" s="368"/>
      <c r="E168" s="368"/>
      <c r="F168" s="368"/>
      <c r="G168" s="368"/>
      <c r="H168" s="368"/>
      <c r="I168" s="368"/>
      <c r="N168" s="79"/>
    </row>
    <row r="169" spans="1:21" x14ac:dyDescent="0.25">
      <c r="A169" s="363"/>
      <c r="B169" s="368"/>
      <c r="C169" s="368"/>
      <c r="D169" s="368"/>
      <c r="E169" s="368"/>
      <c r="F169" s="368"/>
      <c r="G169" s="368"/>
      <c r="H169" s="368"/>
      <c r="I169" s="368"/>
      <c r="N169" s="75"/>
    </row>
    <row r="170" spans="1:21" x14ac:dyDescent="0.25">
      <c r="A170" s="376" t="str">
        <f>'0664'!A170</f>
        <v>Other:</v>
      </c>
      <c r="B170" s="374"/>
      <c r="C170" s="374"/>
      <c r="D170" s="374"/>
      <c r="E170" s="374"/>
      <c r="F170" s="374"/>
      <c r="G170" s="374"/>
      <c r="H170" s="374"/>
      <c r="I170" s="374"/>
      <c r="N170" s="75"/>
    </row>
    <row r="171" spans="1:21" x14ac:dyDescent="0.25">
      <c r="A171" s="380" t="str">
        <f>'0664'!A171</f>
        <v>FEFP and categorical funding are recalculated during the year to reflect the revised number of full-time equivalent students reported during the survey periods designated</v>
      </c>
      <c r="B171" s="368"/>
      <c r="C171" s="368"/>
      <c r="D171" s="368"/>
      <c r="E171" s="368"/>
      <c r="F171" s="368"/>
      <c r="G171" s="368"/>
      <c r="H171" s="368"/>
      <c r="I171" s="368"/>
      <c r="N171" s="75"/>
    </row>
    <row r="172" spans="1:21" x14ac:dyDescent="0.25">
      <c r="A172" s="381" t="str">
        <f>'0664'!A172</f>
        <v>by the Commissioner of Education.</v>
      </c>
      <c r="B172" s="375"/>
      <c r="C172" s="375"/>
      <c r="D172" s="375"/>
      <c r="E172" s="375"/>
      <c r="F172" s="375"/>
      <c r="G172" s="375"/>
      <c r="H172" s="375"/>
      <c r="I172" s="375"/>
      <c r="N172" s="75"/>
    </row>
    <row r="173" spans="1:21" x14ac:dyDescent="0.25">
      <c r="A173" s="380" t="str">
        <f>'0664'!A173</f>
        <v>Revenues flow to districts from state sources and from county tax collectors on various distribution schedules.</v>
      </c>
      <c r="B173" s="368"/>
      <c r="C173" s="368"/>
      <c r="D173" s="368"/>
      <c r="E173" s="368"/>
      <c r="F173" s="368"/>
      <c r="G173" s="368"/>
      <c r="H173" s="368"/>
      <c r="I173" s="368"/>
      <c r="N173" s="75"/>
    </row>
    <row r="174" spans="1:21" x14ac:dyDescent="0.25">
      <c r="A174" s="310"/>
      <c r="B174" s="310"/>
      <c r="C174" s="310"/>
      <c r="D174" s="310"/>
      <c r="E174" s="310"/>
      <c r="F174" s="310"/>
      <c r="G174" s="310"/>
      <c r="H174" s="310"/>
      <c r="I174" s="310"/>
      <c r="N174" s="75"/>
    </row>
    <row r="175" spans="1:21" x14ac:dyDescent="0.25">
      <c r="A175" s="75"/>
      <c r="N175" s="75"/>
    </row>
    <row r="176" spans="1:21" x14ac:dyDescent="0.25">
      <c r="A176" s="75"/>
      <c r="N176" s="75"/>
    </row>
    <row r="177" spans="1:14" x14ac:dyDescent="0.25">
      <c r="A177" s="75"/>
      <c r="N177" s="75"/>
    </row>
    <row r="178" spans="1:14" x14ac:dyDescent="0.25">
      <c r="A178" s="75"/>
      <c r="B178" s="143"/>
      <c r="C178" s="143"/>
      <c r="D178" s="143"/>
      <c r="E178" s="143"/>
      <c r="F178" s="143"/>
      <c r="G178" s="143"/>
      <c r="H178" s="143"/>
      <c r="I178" s="143"/>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2">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A101:B101"/>
    <mergeCell ref="N101:O101"/>
    <mergeCell ref="P101:R101"/>
    <mergeCell ref="A102:B102"/>
    <mergeCell ref="N102:O102"/>
    <mergeCell ref="P102:R102"/>
    <mergeCell ref="C93:D93"/>
    <mergeCell ref="P93:Q93"/>
    <mergeCell ref="C94:D94"/>
    <mergeCell ref="P94:Q94"/>
    <mergeCell ref="C95:D95"/>
    <mergeCell ref="P95:T95"/>
    <mergeCell ref="A96:I96"/>
    <mergeCell ref="N96:U96"/>
    <mergeCell ref="F98:I98"/>
    <mergeCell ref="N98:P98"/>
    <mergeCell ref="Q98:T98"/>
    <mergeCell ref="A105:C105"/>
    <mergeCell ref="F105:I105"/>
    <mergeCell ref="N105:U105"/>
    <mergeCell ref="C106:E106"/>
    <mergeCell ref="F107:G107"/>
    <mergeCell ref="A108:B108"/>
    <mergeCell ref="F108:G108"/>
    <mergeCell ref="N108:O108"/>
    <mergeCell ref="P108:Q108"/>
    <mergeCell ref="R108:S108"/>
    <mergeCell ref="A109:B109"/>
    <mergeCell ref="F109:G109"/>
    <mergeCell ref="N109:O109"/>
    <mergeCell ref="P109:Q109"/>
    <mergeCell ref="R109:S109"/>
    <mergeCell ref="A110:B110"/>
    <mergeCell ref="F110:G110"/>
    <mergeCell ref="N110:O110"/>
    <mergeCell ref="P110:Q110"/>
    <mergeCell ref="R110:S110"/>
    <mergeCell ref="A111:B111"/>
    <mergeCell ref="F111:G111"/>
    <mergeCell ref="N111:O111"/>
    <mergeCell ref="P111:Q111"/>
    <mergeCell ref="N140:U140"/>
    <mergeCell ref="N120:U120"/>
    <mergeCell ref="N114:P114"/>
    <mergeCell ref="A114:C114"/>
    <mergeCell ref="F114:H114"/>
    <mergeCell ref="N115:T115"/>
    <mergeCell ref="A116:H116"/>
    <mergeCell ref="A120:G120"/>
    <mergeCell ref="N121:U121"/>
    <mergeCell ref="A121:G121"/>
    <mergeCell ref="R111:S111"/>
    <mergeCell ref="A112:B112"/>
    <mergeCell ref="N112:O112"/>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CCCC"/>
  </sheetPr>
  <dimension ref="A1:V209"/>
  <sheetViews>
    <sheetView showGridLines="0" zoomScaleNormal="100" workbookViewId="0">
      <pane ySplit="1" topLeftCell="A114"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124</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9" t="s">
        <v>333</v>
      </c>
      <c r="D10" s="89"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0</v>
      </c>
      <c r="D16" s="151">
        <v>0</v>
      </c>
      <c r="E16" s="117">
        <f t="shared" si="1"/>
        <v>0</v>
      </c>
      <c r="F16" s="622">
        <f>'0664'!F16:G16</f>
        <v>1</v>
      </c>
      <c r="G16" s="622"/>
      <c r="H16" s="81">
        <f t="shared" si="2"/>
        <v>0</v>
      </c>
      <c r="I16" s="102">
        <f t="shared" si="3"/>
        <v>0</v>
      </c>
      <c r="N16" s="635" t="s">
        <v>22</v>
      </c>
      <c r="O16" s="635"/>
      <c r="P16" s="636">
        <f t="shared" si="0"/>
        <v>0</v>
      </c>
      <c r="Q16" s="636"/>
      <c r="R16" s="637">
        <v>1</v>
      </c>
      <c r="S16" s="637"/>
      <c r="T16" s="96">
        <f t="shared" si="4"/>
        <v>0</v>
      </c>
      <c r="U16" s="97">
        <f t="shared" si="5"/>
        <v>0</v>
      </c>
    </row>
    <row r="17" spans="1:21" x14ac:dyDescent="0.25">
      <c r="A17" s="586" t="s">
        <v>23</v>
      </c>
      <c r="B17" s="586"/>
      <c r="C17" s="151">
        <v>0</v>
      </c>
      <c r="D17" s="151">
        <v>0</v>
      </c>
      <c r="E17" s="117">
        <f t="shared" si="1"/>
        <v>0</v>
      </c>
      <c r="F17" s="622">
        <f>'0664'!F17:G17</f>
        <v>1</v>
      </c>
      <c r="G17" s="622"/>
      <c r="H17" s="81">
        <f t="shared" si="2"/>
        <v>0</v>
      </c>
      <c r="I17" s="102">
        <f t="shared" si="3"/>
        <v>0</v>
      </c>
      <c r="J17" s="66"/>
      <c r="N17" s="635" t="s">
        <v>23</v>
      </c>
      <c r="O17" s="635"/>
      <c r="P17" s="636">
        <f t="shared" si="0"/>
        <v>0</v>
      </c>
      <c r="Q17" s="636"/>
      <c r="R17" s="637">
        <v>1</v>
      </c>
      <c r="S17" s="637"/>
      <c r="T17" s="96">
        <f t="shared" si="4"/>
        <v>0</v>
      </c>
      <c r="U17" s="97">
        <f t="shared" si="5"/>
        <v>0</v>
      </c>
    </row>
    <row r="18" spans="1:21" x14ac:dyDescent="0.25">
      <c r="A18" s="586" t="s">
        <v>24</v>
      </c>
      <c r="B18" s="586"/>
      <c r="C18" s="151">
        <v>326.99</v>
      </c>
      <c r="D18" s="151">
        <v>314.5</v>
      </c>
      <c r="E18" s="117">
        <f t="shared" si="1"/>
        <v>641.49</v>
      </c>
      <c r="F18" s="622">
        <f>'0664'!F18:G18</f>
        <v>0.98799999999999999</v>
      </c>
      <c r="G18" s="622"/>
      <c r="H18" s="81">
        <f t="shared" si="2"/>
        <v>633.7921</v>
      </c>
      <c r="I18" s="102">
        <f t="shared" si="3"/>
        <v>3401502.67</v>
      </c>
      <c r="N18" s="635" t="s">
        <v>24</v>
      </c>
      <c r="O18" s="635"/>
      <c r="P18" s="636">
        <f t="shared" si="0"/>
        <v>0</v>
      </c>
      <c r="Q18" s="636"/>
      <c r="R18" s="637">
        <v>1</v>
      </c>
      <c r="S18" s="637"/>
      <c r="T18" s="96">
        <f t="shared" si="4"/>
        <v>0</v>
      </c>
      <c r="U18" s="97">
        <f t="shared" si="5"/>
        <v>0</v>
      </c>
    </row>
    <row r="19" spans="1:21" x14ac:dyDescent="0.25">
      <c r="A19" s="586" t="s">
        <v>25</v>
      </c>
      <c r="B19" s="586"/>
      <c r="C19" s="151">
        <v>113.58</v>
      </c>
      <c r="D19" s="151">
        <v>107.86</v>
      </c>
      <c r="E19" s="117">
        <f t="shared" si="1"/>
        <v>221.44</v>
      </c>
      <c r="F19" s="622">
        <f>'0664'!F19:G19</f>
        <v>0.98799999999999999</v>
      </c>
      <c r="G19" s="622"/>
      <c r="H19" s="81">
        <f t="shared" si="2"/>
        <v>218.78270000000001</v>
      </c>
      <c r="I19" s="102">
        <f t="shared" si="3"/>
        <v>1174186.2</v>
      </c>
      <c r="J19" s="66"/>
      <c r="N19" s="635" t="s">
        <v>25</v>
      </c>
      <c r="O19" s="635"/>
      <c r="P19" s="636">
        <f t="shared" si="0"/>
        <v>0</v>
      </c>
      <c r="Q19" s="636"/>
      <c r="R19" s="637">
        <v>1</v>
      </c>
      <c r="S19" s="637"/>
      <c r="T19" s="96">
        <f t="shared" si="4"/>
        <v>0</v>
      </c>
      <c r="U19" s="99">
        <f t="shared" si="5"/>
        <v>0</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0</v>
      </c>
      <c r="D22" s="151">
        <v>0</v>
      </c>
      <c r="E22" s="117">
        <f t="shared" si="1"/>
        <v>0</v>
      </c>
      <c r="F22" s="622">
        <f>'0664'!F22:G22</f>
        <v>3.706</v>
      </c>
      <c r="G22" s="622"/>
      <c r="H22" s="81">
        <f t="shared" si="2"/>
        <v>0</v>
      </c>
      <c r="I22" s="102">
        <f t="shared" si="3"/>
        <v>0</v>
      </c>
      <c r="N22" s="635" t="s">
        <v>87</v>
      </c>
      <c r="O22" s="635"/>
      <c r="P22" s="636">
        <f t="shared" si="0"/>
        <v>0</v>
      </c>
      <c r="Q22" s="636"/>
      <c r="R22" s="637">
        <v>1</v>
      </c>
      <c r="S22" s="637"/>
      <c r="T22" s="96">
        <f t="shared" si="4"/>
        <v>0</v>
      </c>
      <c r="U22" s="97">
        <f t="shared" si="5"/>
        <v>0</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0</v>
      </c>
      <c r="D27" s="151">
        <v>0</v>
      </c>
      <c r="E27" s="117">
        <f t="shared" si="1"/>
        <v>0</v>
      </c>
      <c r="F27" s="622">
        <f>'0664'!F27:G27</f>
        <v>1.208</v>
      </c>
      <c r="G27" s="622"/>
      <c r="H27" s="81">
        <f t="shared" si="2"/>
        <v>0</v>
      </c>
      <c r="I27" s="102">
        <f t="shared" si="3"/>
        <v>0</v>
      </c>
      <c r="N27" s="635" t="s">
        <v>92</v>
      </c>
      <c r="O27" s="635"/>
      <c r="P27" s="636">
        <f t="shared" si="0"/>
        <v>0</v>
      </c>
      <c r="Q27" s="636"/>
      <c r="R27" s="637">
        <v>1</v>
      </c>
      <c r="S27" s="637"/>
      <c r="T27" s="96">
        <f t="shared" si="4"/>
        <v>0</v>
      </c>
      <c r="U27" s="97">
        <f t="shared" si="5"/>
        <v>0</v>
      </c>
    </row>
    <row r="28" spans="1:21" x14ac:dyDescent="0.25">
      <c r="A28" s="586" t="s">
        <v>93</v>
      </c>
      <c r="B28" s="586"/>
      <c r="C28" s="151">
        <v>4.04</v>
      </c>
      <c r="D28" s="151">
        <v>3.35</v>
      </c>
      <c r="E28" s="117">
        <f t="shared" si="1"/>
        <v>7.3900000000000006</v>
      </c>
      <c r="F28" s="622">
        <f>'0664'!F28:G28</f>
        <v>1.208</v>
      </c>
      <c r="G28" s="622"/>
      <c r="H28" s="81">
        <f t="shared" si="2"/>
        <v>8.9270999999999994</v>
      </c>
      <c r="I28" s="102">
        <f t="shared" si="3"/>
        <v>47910.91</v>
      </c>
      <c r="N28" s="635" t="s">
        <v>93</v>
      </c>
      <c r="O28" s="635"/>
      <c r="P28" s="636">
        <f t="shared" si="0"/>
        <v>0</v>
      </c>
      <c r="Q28" s="636"/>
      <c r="R28" s="637">
        <v>1</v>
      </c>
      <c r="S28" s="637"/>
      <c r="T28" s="96">
        <f t="shared" si="4"/>
        <v>0</v>
      </c>
      <c r="U28" s="97">
        <f t="shared" si="5"/>
        <v>0</v>
      </c>
    </row>
    <row r="29" spans="1:21" x14ac:dyDescent="0.25">
      <c r="A29" s="586" t="s">
        <v>94</v>
      </c>
      <c r="B29" s="586"/>
      <c r="C29" s="111">
        <v>125.3</v>
      </c>
      <c r="D29" s="111">
        <v>127.2</v>
      </c>
      <c r="E29" s="163">
        <f t="shared" si="1"/>
        <v>252.5</v>
      </c>
      <c r="F29" s="622">
        <f>'0664'!F29:G29</f>
        <v>1.0720000000000001</v>
      </c>
      <c r="G29" s="622"/>
      <c r="H29" s="94">
        <f t="shared" si="2"/>
        <v>270.68</v>
      </c>
      <c r="I29" s="95">
        <f t="shared" si="3"/>
        <v>1452714.13</v>
      </c>
      <c r="N29" s="652" t="s">
        <v>94</v>
      </c>
      <c r="O29" s="652"/>
      <c r="P29" s="636">
        <f t="shared" si="0"/>
        <v>0</v>
      </c>
      <c r="Q29" s="636"/>
      <c r="R29" s="653">
        <v>1</v>
      </c>
      <c r="S29" s="653"/>
      <c r="T29" s="96">
        <f t="shared" si="4"/>
        <v>0</v>
      </c>
      <c r="U29" s="97">
        <f t="shared" si="5"/>
        <v>0</v>
      </c>
    </row>
    <row r="30" spans="1:21" x14ac:dyDescent="0.25">
      <c r="A30" s="584" t="s">
        <v>5</v>
      </c>
      <c r="B30" s="584"/>
      <c r="C30" s="95">
        <f>SUM(C14:C29)</f>
        <v>569.91</v>
      </c>
      <c r="D30" s="95">
        <f>SUM(D14:D29)</f>
        <v>552.91000000000008</v>
      </c>
      <c r="E30" s="95">
        <f>SUM(E14:E29)</f>
        <v>1122.8200000000002</v>
      </c>
      <c r="F30" s="609"/>
      <c r="G30" s="609"/>
      <c r="H30" s="100">
        <f>SUM(H14:H29)</f>
        <v>1132.1819</v>
      </c>
      <c r="I30" s="95">
        <f>SUM(I14:I29)</f>
        <v>6076313.9100000001</v>
      </c>
      <c r="N30" s="654" t="s">
        <v>5</v>
      </c>
      <c r="O30" s="654"/>
      <c r="P30" s="655">
        <f>SUM(P14:P29)</f>
        <v>0</v>
      </c>
      <c r="Q30" s="655"/>
      <c r="R30" s="656"/>
      <c r="S30" s="656"/>
      <c r="T30" s="101">
        <f>SUM(T14:T29)</f>
        <v>0</v>
      </c>
      <c r="U30" s="97">
        <f>SUM(U14:U29)</f>
        <v>0</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v>0</v>
      </c>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1132.1819</v>
      </c>
      <c r="F46" s="34"/>
      <c r="G46" s="107"/>
      <c r="H46" s="108" t="s">
        <v>104</v>
      </c>
      <c r="I46" s="95">
        <f>SUM(I44,I30)</f>
        <v>6076313.9100000001</v>
      </c>
      <c r="N46" s="680" t="s">
        <v>44</v>
      </c>
      <c r="O46" s="680"/>
      <c r="P46" s="680"/>
      <c r="Q46" s="680"/>
      <c r="R46" s="35">
        <f>R44+T30</f>
        <v>0</v>
      </c>
      <c r="S46" s="656" t="s">
        <v>42</v>
      </c>
      <c r="T46" s="656"/>
      <c r="U46" s="109">
        <f>SUM(U44,U30)</f>
        <v>0</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6076313.9100000001</v>
      </c>
      <c r="G51" s="110" t="s">
        <v>6</v>
      </c>
      <c r="H51" s="425">
        <v>4.5199999999999997E-2</v>
      </c>
      <c r="I51" s="102">
        <f>ROUND(F51*H51,2)</f>
        <v>274649.39</v>
      </c>
      <c r="N51" s="430"/>
      <c r="O51" s="431" t="s">
        <v>456</v>
      </c>
      <c r="P51" s="28"/>
      <c r="Q51" s="45" t="s">
        <v>457</v>
      </c>
      <c r="R51" s="432">
        <f>U30</f>
        <v>0</v>
      </c>
      <c r="S51" s="433" t="s">
        <v>6</v>
      </c>
      <c r="T51" s="434">
        <v>4.5199999999999997E-2</v>
      </c>
      <c r="U51" s="426">
        <f>ROUND(R51*T51,2)</f>
        <v>0</v>
      </c>
    </row>
    <row r="52" spans="1:22" x14ac:dyDescent="0.25">
      <c r="A52" s="26"/>
      <c r="B52" s="82" t="s">
        <v>458</v>
      </c>
      <c r="C52" s="26"/>
      <c r="D52" s="26"/>
      <c r="E52" s="44" t="s">
        <v>457</v>
      </c>
      <c r="F52" s="424">
        <f>I46</f>
        <v>6076313.9100000001</v>
      </c>
      <c r="G52" s="110" t="s">
        <v>6</v>
      </c>
      <c r="H52" s="425">
        <v>1.41E-2</v>
      </c>
      <c r="I52" s="102">
        <f>ROUND(F52*H52,2)</f>
        <v>85676.03</v>
      </c>
      <c r="N52" s="28"/>
      <c r="O52" s="406" t="s">
        <v>458</v>
      </c>
      <c r="P52" s="28"/>
      <c r="Q52" s="45" t="s">
        <v>457</v>
      </c>
      <c r="R52" s="432">
        <f>U30</f>
        <v>0</v>
      </c>
      <c r="S52" s="433" t="s">
        <v>6</v>
      </c>
      <c r="T52" s="434">
        <v>1.41E-2</v>
      </c>
      <c r="U52" s="435">
        <f>ROUND(R52*T52,2)</f>
        <v>0</v>
      </c>
    </row>
    <row r="53" spans="1:22" x14ac:dyDescent="0.25">
      <c r="A53" s="26"/>
      <c r="B53" s="82" t="s">
        <v>459</v>
      </c>
      <c r="C53" s="26"/>
      <c r="D53" s="26"/>
      <c r="E53" s="44"/>
      <c r="F53" s="424"/>
      <c r="G53" s="110"/>
      <c r="H53" s="425"/>
      <c r="I53" s="98">
        <f>SUM(I51:I52)</f>
        <v>360325.42000000004</v>
      </c>
      <c r="N53" s="28"/>
      <c r="O53" s="406" t="s">
        <v>459</v>
      </c>
      <c r="P53" s="28"/>
      <c r="Q53" s="45"/>
      <c r="R53" s="432"/>
      <c r="S53" s="433"/>
      <c r="T53" s="434"/>
      <c r="U53" s="426">
        <f>SUM(U51:U52)</f>
        <v>0</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1122.8200000000002</v>
      </c>
      <c r="D56" s="593" t="s">
        <v>476</v>
      </c>
      <c r="E56" s="593"/>
      <c r="F56" s="593"/>
      <c r="G56" s="593"/>
      <c r="H56" s="317">
        <f>'0664'!H56</f>
        <v>203305.63</v>
      </c>
      <c r="I56" s="114"/>
      <c r="N56" s="658" t="s">
        <v>466</v>
      </c>
      <c r="O56" s="635"/>
      <c r="P56" s="41">
        <f>P30</f>
        <v>0</v>
      </c>
      <c r="Q56" s="663" t="s">
        <v>468</v>
      </c>
      <c r="R56" s="664"/>
      <c r="S56" s="664"/>
      <c r="T56" s="662">
        <f>H56</f>
        <v>203305.63</v>
      </c>
      <c r="U56" s="662"/>
    </row>
    <row r="57" spans="1:22" x14ac:dyDescent="0.25">
      <c r="B57" s="70"/>
      <c r="G57" s="42" t="s">
        <v>12</v>
      </c>
      <c r="H57" s="115">
        <f>ROUND(C56/H56,6)</f>
        <v>5.5230000000000001E-3</v>
      </c>
      <c r="I57" s="116"/>
      <c r="N57" s="635"/>
      <c r="O57" s="635"/>
      <c r="P57" s="635"/>
      <c r="Q57" s="635"/>
      <c r="R57" s="635"/>
      <c r="S57" s="635"/>
      <c r="T57" s="665">
        <f>ROUND(P56/T56,6)</f>
        <v>0</v>
      </c>
      <c r="U57" s="665"/>
    </row>
    <row r="58" spans="1:22" x14ac:dyDescent="0.25">
      <c r="A58" s="423" t="s">
        <v>461</v>
      </c>
      <c r="N58" s="406" t="s">
        <v>483</v>
      </c>
      <c r="O58" s="52"/>
      <c r="P58" s="52"/>
      <c r="Q58" s="52"/>
      <c r="R58" s="52"/>
      <c r="S58" s="52"/>
      <c r="T58" s="52"/>
      <c r="U58" s="52"/>
    </row>
    <row r="59" spans="1:22" x14ac:dyDescent="0.25">
      <c r="A59" s="585" t="s">
        <v>463</v>
      </c>
      <c r="B59" s="586"/>
      <c r="C59" s="437">
        <f>H30</f>
        <v>1132.1819</v>
      </c>
      <c r="D59" s="593" t="s">
        <v>477</v>
      </c>
      <c r="E59" s="593"/>
      <c r="F59" s="593"/>
      <c r="G59" s="593"/>
      <c r="H59" s="318">
        <f>'0664'!H59</f>
        <v>227540.36</v>
      </c>
      <c r="I59" s="117"/>
      <c r="N59" s="658" t="s">
        <v>467</v>
      </c>
      <c r="O59" s="635"/>
      <c r="P59" s="41">
        <f>T30</f>
        <v>0</v>
      </c>
      <c r="Q59" s="663" t="s">
        <v>469</v>
      </c>
      <c r="R59" s="664"/>
      <c r="S59" s="664"/>
      <c r="T59" s="662">
        <f>H59</f>
        <v>227540.36</v>
      </c>
      <c r="U59" s="662"/>
    </row>
    <row r="60" spans="1:22" x14ac:dyDescent="0.25">
      <c r="G60" s="42" t="s">
        <v>12</v>
      </c>
      <c r="H60" s="115">
        <f>ROUND(C59/H59,6)</f>
        <v>4.9760000000000004E-3</v>
      </c>
      <c r="I60" s="115"/>
      <c r="N60" s="635"/>
      <c r="O60" s="635"/>
      <c r="P60" s="635"/>
      <c r="Q60" s="635"/>
      <c r="R60" s="635"/>
      <c r="S60" s="635"/>
      <c r="T60" s="665">
        <f>ROUND(P59/T59,6)</f>
        <v>0</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1122.8200000000002</v>
      </c>
      <c r="D62" s="590" t="s">
        <v>478</v>
      </c>
      <c r="E62" s="590"/>
      <c r="F62" s="590"/>
      <c r="G62" s="590"/>
      <c r="H62" s="317">
        <f>'0664'!H62</f>
        <v>186907.73</v>
      </c>
      <c r="I62" s="114"/>
      <c r="N62" s="658" t="s">
        <v>465</v>
      </c>
      <c r="O62" s="635"/>
      <c r="P62" s="41">
        <f>P30</f>
        <v>0</v>
      </c>
      <c r="Q62" s="668" t="s">
        <v>470</v>
      </c>
      <c r="R62" s="669"/>
      <c r="S62" s="669"/>
      <c r="T62" s="662">
        <f>H62</f>
        <v>186907.73</v>
      </c>
      <c r="U62" s="662"/>
    </row>
    <row r="63" spans="1:22" x14ac:dyDescent="0.25">
      <c r="B63" s="70"/>
      <c r="G63" s="42" t="s">
        <v>12</v>
      </c>
      <c r="H63" s="115">
        <f>ROUND(C62/H62,6)</f>
        <v>6.0070000000000002E-3</v>
      </c>
      <c r="I63" s="116"/>
      <c r="N63" s="635"/>
      <c r="O63" s="635"/>
      <c r="P63" s="635"/>
      <c r="Q63" s="635"/>
      <c r="R63" s="635"/>
      <c r="S63" s="635"/>
      <c r="T63" s="665">
        <f>ROUND(P62/T62,6)</f>
        <v>0</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1122.8200000000002</v>
      </c>
      <c r="D65" s="606" t="s">
        <v>479</v>
      </c>
      <c r="E65" s="606"/>
      <c r="F65" s="606"/>
      <c r="G65" s="606"/>
      <c r="H65" s="317">
        <f>'0664'!H65</f>
        <v>203080.55</v>
      </c>
      <c r="I65" s="114"/>
      <c r="N65" s="658" t="s">
        <v>465</v>
      </c>
      <c r="O65" s="635"/>
      <c r="P65" s="41">
        <f>P30</f>
        <v>0</v>
      </c>
      <c r="Q65" s="666" t="s">
        <v>471</v>
      </c>
      <c r="R65" s="667"/>
      <c r="S65" s="667"/>
      <c r="T65" s="662">
        <f>H65</f>
        <v>203080.55</v>
      </c>
      <c r="U65" s="662"/>
    </row>
    <row r="66" spans="1:22" x14ac:dyDescent="0.25">
      <c r="B66" s="70"/>
      <c r="G66" s="42" t="s">
        <v>12</v>
      </c>
      <c r="H66" s="115">
        <f>ROUND(C65/H65,6)</f>
        <v>5.5290000000000001E-3</v>
      </c>
      <c r="I66" s="116"/>
      <c r="N66" s="635"/>
      <c r="O66" s="635"/>
      <c r="P66" s="635"/>
      <c r="Q66" s="635"/>
      <c r="R66" s="635"/>
      <c r="S66" s="635"/>
      <c r="T66" s="665">
        <f>ROUND(P65/T65,6)</f>
        <v>0</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1122.8200000000002</v>
      </c>
      <c r="D68" s="590" t="s">
        <v>480</v>
      </c>
      <c r="E68" s="590"/>
      <c r="F68" s="590"/>
      <c r="G68" s="590"/>
      <c r="H68" s="317">
        <f>'0664'!H68</f>
        <v>186682.65</v>
      </c>
      <c r="I68" s="114"/>
      <c r="N68" s="658" t="s">
        <v>481</v>
      </c>
      <c r="O68" s="635"/>
      <c r="P68" s="41">
        <f>P30</f>
        <v>0</v>
      </c>
      <c r="Q68" s="668" t="s">
        <v>487</v>
      </c>
      <c r="R68" s="669"/>
      <c r="S68" s="669"/>
      <c r="T68" s="662">
        <f>H68</f>
        <v>186682.65</v>
      </c>
      <c r="U68" s="662"/>
    </row>
    <row r="69" spans="1:22" x14ac:dyDescent="0.25">
      <c r="B69" s="70"/>
      <c r="G69" s="42" t="s">
        <v>12</v>
      </c>
      <c r="H69" s="115">
        <f>ROUND(C68/H68,6)</f>
        <v>6.0150000000000004E-3</v>
      </c>
      <c r="I69" s="116"/>
      <c r="N69" s="635"/>
      <c r="O69" s="635"/>
      <c r="P69" s="635"/>
      <c r="Q69" s="635"/>
      <c r="R69" s="635"/>
      <c r="S69" s="635"/>
      <c r="T69" s="665">
        <f>ROUND(P68/T68,6)</f>
        <v>0</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5.5290000000000001E-3</v>
      </c>
      <c r="I71" s="102">
        <f>ROUND(F71*H71,2)</f>
        <v>246955.75</v>
      </c>
      <c r="N71" s="52" t="s">
        <v>488</v>
      </c>
      <c r="O71" s="52"/>
      <c r="P71" s="52"/>
      <c r="Q71" s="45"/>
      <c r="R71" s="453">
        <f>F71</f>
        <v>44665536</v>
      </c>
      <c r="S71" s="38" t="s">
        <v>6</v>
      </c>
      <c r="T71" s="455">
        <f>T66</f>
        <v>0</v>
      </c>
      <c r="U71" s="97">
        <f>ROUND(R71*T71,0)</f>
        <v>0</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5.5230000000000001E-3</v>
      </c>
      <c r="I74" s="102">
        <f>ROUND(F74*H74,2)</f>
        <v>0</v>
      </c>
      <c r="N74" s="670" t="s">
        <v>110</v>
      </c>
      <c r="O74" s="635"/>
      <c r="P74" s="635"/>
      <c r="Q74" s="45"/>
      <c r="R74" s="453">
        <f>F74</f>
        <v>0</v>
      </c>
      <c r="S74" s="38" t="s">
        <v>6</v>
      </c>
      <c r="T74" s="455">
        <f>T57</f>
        <v>0</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6.0150000000000004E-3</v>
      </c>
      <c r="I76" s="102">
        <f>ROUND(F76*H76,2)</f>
        <v>97244.82</v>
      </c>
      <c r="N76" s="431" t="s">
        <v>491</v>
      </c>
      <c r="O76" s="52"/>
      <c r="P76" s="52"/>
      <c r="Q76" s="45"/>
      <c r="R76" s="453">
        <f>F76</f>
        <v>16167052</v>
      </c>
      <c r="S76" s="38" t="s">
        <v>6</v>
      </c>
      <c r="T76" s="455">
        <f>T69</f>
        <v>0</v>
      </c>
      <c r="U76" s="97">
        <f>ROUND(R76*T76,0)</f>
        <v>0</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6.0070000000000002E-3</v>
      </c>
      <c r="I78" s="102">
        <f t="shared" ref="I78:I87" si="10">ROUND(F78*H78,2)</f>
        <v>60310.87</v>
      </c>
      <c r="N78" s="406" t="s">
        <v>493</v>
      </c>
      <c r="O78" s="52"/>
      <c r="P78" s="52"/>
      <c r="Q78" s="45"/>
      <c r="R78" s="453">
        <f t="shared" ref="R78:R87" si="11">F78</f>
        <v>10040099</v>
      </c>
      <c r="S78" s="38" t="s">
        <v>6</v>
      </c>
      <c r="T78" s="455">
        <f>T63</f>
        <v>0</v>
      </c>
      <c r="U78" s="97">
        <f t="shared" ref="U78:U87" si="12">ROUND(R78*T78,0)</f>
        <v>0</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221.44</v>
      </c>
      <c r="G81" s="37"/>
      <c r="H81" s="121"/>
      <c r="I81" s="102"/>
      <c r="N81" s="406"/>
      <c r="O81" s="406" t="s">
        <v>496</v>
      </c>
      <c r="P81" s="52"/>
      <c r="Q81" s="46"/>
      <c r="R81" s="426">
        <f>IF($H$121=1,F81,0)</f>
        <v>0</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221.44</v>
      </c>
      <c r="G83" s="37" t="s">
        <v>6</v>
      </c>
      <c r="H83" s="448">
        <f>'0664'!H83</f>
        <v>1951.26</v>
      </c>
      <c r="I83" s="102">
        <f>ROUND(F83*H83,2)</f>
        <v>432087.01</v>
      </c>
      <c r="N83" s="406"/>
      <c r="O83" s="406" t="s">
        <v>497</v>
      </c>
      <c r="P83" s="52"/>
      <c r="Q83" s="46"/>
      <c r="R83" s="426">
        <f>R81-R82</f>
        <v>0</v>
      </c>
      <c r="S83" s="38" t="s">
        <v>6</v>
      </c>
      <c r="T83" s="456">
        <f>'0664'!T83</f>
        <v>1951.26</v>
      </c>
      <c r="U83" s="426">
        <f>ROUND(R83*T83,0)</f>
        <v>0</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4.9760000000000004E-3</v>
      </c>
      <c r="I85" s="102">
        <f t="shared" si="10"/>
        <v>1166316.83</v>
      </c>
      <c r="N85" s="635" t="s">
        <v>500</v>
      </c>
      <c r="O85" s="635"/>
      <c r="P85" s="635"/>
      <c r="Q85" s="45"/>
      <c r="R85" s="453">
        <f t="shared" si="11"/>
        <v>234388431</v>
      </c>
      <c r="S85" s="38" t="s">
        <v>6</v>
      </c>
      <c r="T85" s="455">
        <f>T60</f>
        <v>0</v>
      </c>
      <c r="U85" s="97">
        <f t="shared" si="12"/>
        <v>0</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4.9760000000000004E-3</v>
      </c>
      <c r="I87" s="102">
        <f t="shared" si="10"/>
        <v>0</v>
      </c>
      <c r="N87" s="658" t="s">
        <v>501</v>
      </c>
      <c r="O87" s="635"/>
      <c r="P87" s="635"/>
      <c r="Q87" s="45"/>
      <c r="R87" s="453">
        <f t="shared" si="11"/>
        <v>0</v>
      </c>
      <c r="S87" s="38" t="s">
        <v>6</v>
      </c>
      <c r="T87" s="455">
        <f>T60</f>
        <v>0</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0</v>
      </c>
      <c r="D92" s="597"/>
      <c r="E92" s="47">
        <f>H8</f>
        <v>1.0442</v>
      </c>
      <c r="F92" s="320">
        <f>'0664'!F92</f>
        <v>947.59</v>
      </c>
      <c r="G92" s="39" t="s">
        <v>12</v>
      </c>
      <c r="H92" s="102">
        <f>ROUND(C92*E92*F92,2)</f>
        <v>0</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0</v>
      </c>
      <c r="D93" s="597"/>
      <c r="E93" s="47">
        <f>H8</f>
        <v>1.0442</v>
      </c>
      <c r="F93" s="320">
        <f>'0664'!F93</f>
        <v>904.74</v>
      </c>
      <c r="G93" s="39" t="s">
        <v>12</v>
      </c>
      <c r="H93" s="102">
        <f>ROUND(C93*E93*F93,2)</f>
        <v>0</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1132.1819</v>
      </c>
      <c r="D94" s="597"/>
      <c r="E94" s="47">
        <f>H8</f>
        <v>1.0442</v>
      </c>
      <c r="F94" s="320">
        <f>'0664'!F94</f>
        <v>906.93</v>
      </c>
      <c r="G94" s="39" t="s">
        <v>12</v>
      </c>
      <c r="H94" s="95">
        <f>ROUND(C94*E94*F94,2)</f>
        <v>1072194.72</v>
      </c>
      <c r="N94" s="54" t="s">
        <v>14</v>
      </c>
      <c r="O94" s="55">
        <f>T18+T19+T22+T25+T28+T29</f>
        <v>0</v>
      </c>
      <c r="P94" s="673">
        <f>T8</f>
        <v>1.0442</v>
      </c>
      <c r="Q94" s="673"/>
      <c r="R94" s="49">
        <f>F94</f>
        <v>906.93</v>
      </c>
      <c r="S94" s="40" t="s">
        <v>12</v>
      </c>
      <c r="T94" s="123">
        <f>ROUND(O94*P94*R94,0)</f>
        <v>0</v>
      </c>
      <c r="U94" s="52"/>
    </row>
    <row r="95" spans="1:21" ht="16.5" thickBot="1" x14ac:dyDescent="0.3">
      <c r="A95" s="56"/>
      <c r="B95" s="129" t="s">
        <v>114</v>
      </c>
      <c r="C95" s="601">
        <f>SUM(C92:C94)</f>
        <v>1132.1819</v>
      </c>
      <c r="D95" s="601"/>
      <c r="E95" s="130"/>
      <c r="F95" s="130"/>
      <c r="G95" s="130"/>
      <c r="H95" s="131" t="s">
        <v>112</v>
      </c>
      <c r="I95" s="102">
        <f>IF(A1=75,0,H94+H93+H92)</f>
        <v>1072194.72</v>
      </c>
      <c r="N95" s="57" t="s">
        <v>95</v>
      </c>
      <c r="O95" s="58">
        <f>SUM(O92:O94)</f>
        <v>0</v>
      </c>
      <c r="P95" s="674" t="s">
        <v>16</v>
      </c>
      <c r="Q95" s="675"/>
      <c r="R95" s="675"/>
      <c r="S95" s="675"/>
      <c r="T95" s="675"/>
      <c r="U95" s="97">
        <f>IF(N1=75,0,T94+T93+T92)</f>
        <v>0</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8"/>
      <c r="D98" s="8"/>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656</v>
      </c>
      <c r="D101" s="151">
        <v>644</v>
      </c>
      <c r="E101" s="117">
        <f>(C101+D101)/2</f>
        <v>650</v>
      </c>
      <c r="F101" s="134" t="s">
        <v>30</v>
      </c>
      <c r="G101" s="321">
        <f>'0664'!G101</f>
        <v>565</v>
      </c>
      <c r="I101" s="102">
        <f>ROUND(G101*E101,2)</f>
        <v>367250</v>
      </c>
      <c r="N101" s="684" t="s">
        <v>54</v>
      </c>
      <c r="O101" s="684"/>
      <c r="P101" s="672">
        <f>IF(H121=1,E101,0)</f>
        <v>0</v>
      </c>
      <c r="Q101" s="672"/>
      <c r="R101" s="672"/>
      <c r="S101" s="84" t="s">
        <v>30</v>
      </c>
      <c r="T101" s="59">
        <f>G101</f>
        <v>565</v>
      </c>
      <c r="U101" s="97">
        <f>ROUND(T101*P101,0)</f>
        <v>0</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0</v>
      </c>
    </row>
    <row r="116" spans="1:21" ht="16.5" thickTop="1" x14ac:dyDescent="0.25">
      <c r="A116" s="584" t="s">
        <v>8</v>
      </c>
      <c r="B116" s="584"/>
      <c r="C116" s="584"/>
      <c r="D116" s="584"/>
      <c r="E116" s="584"/>
      <c r="F116" s="584"/>
      <c r="G116" s="584"/>
      <c r="H116" s="584"/>
      <c r="I116" s="95">
        <f>SUM(I30,I44,I53,I71,I74,I76,I78,I83,I85,I87,I95,I101,I102,I112,I114)</f>
        <v>9878999.3300000001</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9518673.9100000001</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t="str">
        <f>IF(E30=0,"",IF((E15+E17+SUM(E19:E25))/E30&gt;0.75,1,""))</f>
        <v/>
      </c>
      <c r="I121" s="117">
        <f>U115</f>
        <v>0</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1" t="s">
        <v>258</v>
      </c>
      <c r="H123" s="147">
        <f>IF(H121=1,I121,I118)</f>
        <v>9518673.9100000001</v>
      </c>
      <c r="I123" s="95">
        <f>ROUND(IF(E30=0,0,IF(E30&gt;250,-(((250/E30)*H123)*IF(G123="H",0.02,0.05)),IF(G123="H",-0.02*H123,-0.05*H123))),2)</f>
        <v>-42387.35</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9836611.9800000004</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9836611.9800000004</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819717.67</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IF(G123="H",(H123*0.02)+I123,(H123*0.05)+I123)</f>
        <v>147986.12820000001</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63" t="str">
        <f>'0664'!A140</f>
        <v>(a) Additional FTE includes FTE earned through Advanced Placement, International Baccalaureate, Advanced International Certificate of Education, Industry Certified Career</v>
      </c>
      <c r="B140" s="364"/>
      <c r="C140" s="364"/>
      <c r="D140" s="364"/>
      <c r="E140" s="364"/>
      <c r="F140" s="364"/>
      <c r="G140" s="364"/>
      <c r="H140" s="364"/>
      <c r="I140" s="364"/>
      <c r="J140" s="78"/>
      <c r="K140" s="77"/>
      <c r="L140" s="77"/>
      <c r="M140" s="77"/>
      <c r="N140" s="679"/>
      <c r="O140" s="679"/>
      <c r="P140" s="679"/>
      <c r="Q140" s="679"/>
      <c r="R140" s="679"/>
      <c r="S140" s="679"/>
      <c r="T140" s="679"/>
      <c r="U140" s="679"/>
    </row>
    <row r="141" spans="1:21" ht="15.75" customHeight="1" x14ac:dyDescent="0.25">
      <c r="A141" s="369" t="s">
        <v>426</v>
      </c>
      <c r="B141" s="364"/>
      <c r="C141" s="364"/>
      <c r="D141" s="364"/>
      <c r="E141" s="364"/>
      <c r="F141" s="364"/>
      <c r="G141" s="364"/>
      <c r="H141" s="364"/>
      <c r="I141" s="364"/>
      <c r="J141" s="78"/>
      <c r="K141" s="77"/>
      <c r="L141" s="77"/>
      <c r="M141" s="77"/>
      <c r="N141" s="74"/>
      <c r="O141" s="74"/>
      <c r="P141" s="74"/>
      <c r="Q141" s="74"/>
      <c r="R141" s="74"/>
      <c r="S141" s="74"/>
      <c r="T141" s="74"/>
      <c r="U141" s="74"/>
    </row>
    <row r="142" spans="1:21" x14ac:dyDescent="0.25">
      <c r="A142" s="363" t="s">
        <v>427</v>
      </c>
      <c r="B142" s="365"/>
      <c r="C142" s="365"/>
      <c r="D142" s="365"/>
      <c r="E142" s="365"/>
      <c r="F142" s="365"/>
      <c r="G142" s="365"/>
      <c r="H142" s="365"/>
      <c r="I142" s="365"/>
      <c r="J142" s="77"/>
      <c r="K142" s="77"/>
      <c r="L142" s="77"/>
      <c r="M142" s="77"/>
      <c r="N142" s="79"/>
      <c r="O142" s="80"/>
      <c r="P142" s="80"/>
      <c r="Q142" s="80"/>
      <c r="R142" s="80"/>
      <c r="S142" s="80"/>
      <c r="T142" s="80"/>
      <c r="U142" s="80"/>
    </row>
    <row r="143" spans="1:21" s="77" customFormat="1" x14ac:dyDescent="0.2">
      <c r="A143" s="363" t="s">
        <v>428</v>
      </c>
      <c r="B143" s="365"/>
      <c r="C143" s="365"/>
      <c r="D143" s="365"/>
      <c r="E143" s="365"/>
      <c r="F143" s="365"/>
      <c r="G143" s="365"/>
      <c r="H143" s="365"/>
      <c r="I143" s="365"/>
      <c r="N143" s="79"/>
    </row>
    <row r="144" spans="1:21" s="77" customFormat="1" x14ac:dyDescent="0.2">
      <c r="A144" s="363" t="s">
        <v>429</v>
      </c>
      <c r="B144" s="365"/>
      <c r="C144" s="365"/>
      <c r="D144" s="365"/>
      <c r="E144" s="365"/>
      <c r="F144" s="365"/>
      <c r="G144" s="365"/>
      <c r="H144" s="365"/>
      <c r="I144" s="365"/>
      <c r="N144" s="79"/>
    </row>
    <row r="145" spans="1:14" s="77" customFormat="1" x14ac:dyDescent="0.2">
      <c r="A145" s="363" t="s">
        <v>430</v>
      </c>
      <c r="B145" s="365"/>
      <c r="C145" s="365"/>
      <c r="D145" s="365"/>
      <c r="E145" s="365"/>
      <c r="F145" s="365"/>
      <c r="G145" s="365"/>
      <c r="H145" s="365"/>
      <c r="I145" s="365"/>
      <c r="N145" s="79"/>
    </row>
    <row r="146" spans="1:14" s="77" customFormat="1" x14ac:dyDescent="0.2">
      <c r="A146" s="363" t="s">
        <v>431</v>
      </c>
      <c r="B146" s="365"/>
      <c r="C146" s="365"/>
      <c r="D146" s="365"/>
      <c r="E146" s="365"/>
      <c r="F146" s="365"/>
      <c r="G146" s="365"/>
      <c r="H146" s="365"/>
      <c r="I146" s="365"/>
      <c r="N146" s="79"/>
    </row>
    <row r="147" spans="1:14" s="77" customFormat="1" x14ac:dyDescent="0.2">
      <c r="A147" s="363" t="s">
        <v>433</v>
      </c>
      <c r="B147" s="365"/>
      <c r="C147" s="365"/>
      <c r="D147" s="365"/>
      <c r="E147" s="365"/>
      <c r="F147" s="365"/>
      <c r="G147" s="365"/>
      <c r="H147" s="365"/>
      <c r="I147" s="365"/>
      <c r="N147" s="79"/>
    </row>
    <row r="148" spans="1:14" s="77" customFormat="1" x14ac:dyDescent="0.2">
      <c r="A148" s="369" t="s">
        <v>432</v>
      </c>
      <c r="B148" s="365"/>
      <c r="C148" s="365"/>
      <c r="D148" s="365"/>
      <c r="E148" s="365"/>
      <c r="F148" s="365"/>
      <c r="G148" s="365"/>
      <c r="H148" s="365"/>
      <c r="I148" s="365"/>
      <c r="N148" s="79"/>
    </row>
    <row r="149" spans="1:14" s="77" customFormat="1" x14ac:dyDescent="0.2">
      <c r="A149" s="363" t="s">
        <v>434</v>
      </c>
      <c r="B149" s="365"/>
      <c r="C149" s="365"/>
      <c r="D149" s="365"/>
      <c r="E149" s="365"/>
      <c r="F149" s="365"/>
      <c r="G149" s="365"/>
      <c r="H149" s="365"/>
      <c r="I149" s="365"/>
      <c r="N149" s="79"/>
    </row>
    <row r="150" spans="1:14" s="77" customFormat="1" x14ac:dyDescent="0.2">
      <c r="A150" s="369" t="str">
        <f>'0664'!A150</f>
        <v>"All Adjusted ESE Riders" should include only ESE Riders.</v>
      </c>
      <c r="B150" s="365"/>
      <c r="C150" s="365"/>
      <c r="D150" s="365"/>
      <c r="E150" s="365"/>
      <c r="F150" s="365"/>
      <c r="G150" s="365"/>
      <c r="H150" s="365"/>
      <c r="I150" s="365"/>
      <c r="N150" s="79"/>
    </row>
    <row r="151" spans="1:14" s="77" customFormat="1" x14ac:dyDescent="0.2">
      <c r="A151" s="363" t="s">
        <v>437</v>
      </c>
      <c r="B151" s="365"/>
      <c r="C151" s="365"/>
      <c r="D151" s="365"/>
      <c r="E151" s="365"/>
      <c r="F151" s="365"/>
      <c r="G151" s="365"/>
      <c r="H151" s="365"/>
      <c r="I151" s="365"/>
      <c r="N151" s="79"/>
    </row>
    <row r="152" spans="1:14" s="77" customFormat="1" ht="15.75" customHeight="1" x14ac:dyDescent="0.2">
      <c r="A152" s="363" t="str">
        <f>'0664'!A152</f>
        <v xml:space="preserve">(j) Funding based on student eligibility and meals provided, if participating in the National School Lunch Program. </v>
      </c>
      <c r="B152" s="365"/>
      <c r="C152" s="365"/>
      <c r="D152" s="365"/>
      <c r="E152" s="365"/>
      <c r="F152" s="365"/>
      <c r="G152" s="365"/>
      <c r="H152" s="365"/>
      <c r="I152" s="365"/>
      <c r="N152" s="79"/>
    </row>
    <row r="153" spans="1:14" s="77" customFormat="1" ht="15.75" customHeight="1" x14ac:dyDescent="0.2">
      <c r="A153" s="363" t="s">
        <v>439</v>
      </c>
      <c r="B153" s="365"/>
      <c r="C153" s="365"/>
      <c r="D153" s="365"/>
      <c r="E153" s="365"/>
      <c r="F153" s="365"/>
      <c r="G153" s="365"/>
      <c r="H153" s="365"/>
      <c r="I153" s="365"/>
      <c r="N153" s="79"/>
    </row>
    <row r="154" spans="1:14" s="77" customFormat="1" ht="15.75" customHeight="1" x14ac:dyDescent="0.2">
      <c r="A154" s="369" t="s">
        <v>438</v>
      </c>
      <c r="B154" s="365"/>
      <c r="C154" s="365"/>
      <c r="D154" s="365"/>
      <c r="E154" s="365"/>
      <c r="F154" s="365"/>
      <c r="G154" s="365"/>
      <c r="H154" s="365"/>
      <c r="I154" s="365"/>
      <c r="N154" s="79"/>
    </row>
    <row r="155" spans="1:14" s="77" customFormat="1" ht="15.75" customHeight="1" x14ac:dyDescent="0.2">
      <c r="A155" s="363" t="s">
        <v>440</v>
      </c>
      <c r="B155" s="365"/>
      <c r="C155" s="365"/>
      <c r="D155" s="365"/>
      <c r="E155" s="365"/>
      <c r="F155" s="365"/>
      <c r="G155" s="365"/>
      <c r="H155" s="365"/>
      <c r="I155" s="365"/>
      <c r="N155" s="79"/>
    </row>
    <row r="156" spans="1:14" s="77" customFormat="1" ht="15.75" customHeight="1" x14ac:dyDescent="0.2">
      <c r="A156" s="369" t="str">
        <f>'0664'!A156</f>
        <v xml:space="preserve">unweighted full-time equivalent students. </v>
      </c>
      <c r="B156" s="365"/>
      <c r="C156" s="365"/>
      <c r="D156" s="365"/>
      <c r="E156" s="365"/>
      <c r="F156" s="365"/>
      <c r="G156" s="365"/>
      <c r="H156" s="365"/>
      <c r="I156" s="365"/>
      <c r="N156" s="79"/>
    </row>
    <row r="157" spans="1:14" s="77" customFormat="1" ht="15.75" customHeight="1" x14ac:dyDescent="0.2">
      <c r="A157" s="363" t="s">
        <v>442</v>
      </c>
      <c r="B157" s="365"/>
      <c r="C157" s="365"/>
      <c r="D157" s="365"/>
      <c r="E157" s="365"/>
      <c r="F157" s="365"/>
      <c r="G157" s="365"/>
      <c r="H157" s="365"/>
      <c r="I157" s="365"/>
      <c r="N157" s="79"/>
    </row>
    <row r="158" spans="1:14" s="77" customFormat="1" ht="15.75" customHeight="1" x14ac:dyDescent="0.2">
      <c r="A158" s="369" t="s">
        <v>441</v>
      </c>
      <c r="B158" s="365"/>
      <c r="C158" s="365"/>
      <c r="D158" s="365"/>
      <c r="E158" s="365"/>
      <c r="F158" s="365"/>
      <c r="G158" s="365"/>
      <c r="H158" s="365"/>
      <c r="I158" s="365"/>
      <c r="N158" s="79"/>
    </row>
    <row r="159" spans="1:14" s="77" customFormat="1" ht="15.75" customHeight="1" x14ac:dyDescent="0.2">
      <c r="A159" s="363"/>
      <c r="B159" s="365"/>
      <c r="C159" s="365"/>
      <c r="D159" s="365"/>
      <c r="E159" s="365"/>
      <c r="F159" s="365"/>
      <c r="G159" s="365"/>
      <c r="H159" s="365"/>
      <c r="I159" s="365"/>
      <c r="N159" s="79"/>
    </row>
    <row r="160" spans="1:14" s="77" customFormat="1" ht="15.75" customHeight="1" x14ac:dyDescent="0.25">
      <c r="A160" s="376" t="str">
        <f>'0664'!A160</f>
        <v>Administrative fees:</v>
      </c>
      <c r="B160" s="365"/>
      <c r="C160" s="365"/>
      <c r="D160" s="365"/>
      <c r="E160" s="365"/>
      <c r="F160" s="365"/>
      <c r="G160" s="365"/>
      <c r="H160" s="365"/>
      <c r="I160" s="365"/>
      <c r="J160" s="3"/>
      <c r="K160" s="3"/>
      <c r="L160" s="3"/>
      <c r="M160" s="3"/>
      <c r="N160" s="79"/>
    </row>
    <row r="161" spans="1:21" s="77" customFormat="1" ht="15.75" customHeight="1" x14ac:dyDescent="0.25">
      <c r="A161" s="380" t="str">
        <f>'0664'!A161</f>
        <v xml:space="preserve">Administrative fees charged by the school district pursuant to s. 1002.33(20)(a), F.S., shall be calculated based upon 5% of available funds from the FEFP and categorical </v>
      </c>
      <c r="B161" s="368"/>
      <c r="C161" s="368"/>
      <c r="D161" s="368"/>
      <c r="E161" s="368"/>
      <c r="F161" s="368"/>
      <c r="G161" s="368"/>
      <c r="H161" s="368"/>
      <c r="I161" s="368"/>
      <c r="J161" s="3"/>
      <c r="K161" s="3"/>
      <c r="L161" s="3"/>
      <c r="M161" s="3"/>
      <c r="N161" s="79"/>
    </row>
    <row r="162" spans="1:21" s="77" customFormat="1" ht="15.75" customHeight="1" x14ac:dyDescent="0.25">
      <c r="A162" s="381" t="str">
        <f>'0664'!A162</f>
        <v>funding for which charter students may be eligible.  To calculate the administrative fee to be withheld for schools with more than 250 students, divide the school</v>
      </c>
      <c r="B162" s="375"/>
      <c r="C162" s="375"/>
      <c r="D162" s="375"/>
      <c r="E162" s="375"/>
      <c r="F162" s="375"/>
      <c r="G162" s="375"/>
      <c r="H162" s="375"/>
      <c r="I162" s="375"/>
      <c r="J162" s="3"/>
      <c r="K162" s="3"/>
      <c r="L162" s="3"/>
      <c r="M162" s="3"/>
      <c r="N162" s="79"/>
    </row>
    <row r="163" spans="1:21" s="77" customFormat="1" ht="15.75" customHeight="1" x14ac:dyDescent="0.25">
      <c r="A163" s="381" t="s">
        <v>443</v>
      </c>
      <c r="B163" s="375"/>
      <c r="C163" s="375"/>
      <c r="D163" s="375"/>
      <c r="E163" s="375"/>
      <c r="F163" s="375"/>
      <c r="G163" s="375"/>
      <c r="H163" s="375"/>
      <c r="I163" s="375"/>
      <c r="J163" s="3"/>
      <c r="K163" s="3"/>
      <c r="L163" s="3"/>
      <c r="M163" s="3"/>
      <c r="N163" s="79"/>
    </row>
    <row r="164" spans="1:21" s="77" customFormat="1" ht="15.75" customHeight="1" x14ac:dyDescent="0.25">
      <c r="A164" s="381" t="s">
        <v>444</v>
      </c>
      <c r="B164" s="375"/>
      <c r="C164" s="375"/>
      <c r="D164" s="375"/>
      <c r="E164" s="375"/>
      <c r="F164" s="375"/>
      <c r="G164" s="375"/>
      <c r="H164" s="375"/>
      <c r="I164" s="375"/>
      <c r="N164" s="75"/>
      <c r="O164" s="3"/>
      <c r="P164" s="3"/>
      <c r="Q164" s="3"/>
      <c r="R164" s="3"/>
      <c r="S164" s="3"/>
      <c r="T164" s="3"/>
      <c r="U164" s="3"/>
    </row>
    <row r="165" spans="1:21" s="77" customFormat="1" ht="15.75" customHeight="1" x14ac:dyDescent="0.25">
      <c r="A165" s="380"/>
      <c r="B165" s="375"/>
      <c r="C165" s="375"/>
      <c r="D165" s="375"/>
      <c r="E165" s="375"/>
      <c r="F165" s="375"/>
      <c r="G165" s="375"/>
      <c r="H165" s="375"/>
      <c r="I165" s="375"/>
      <c r="N165" s="75"/>
      <c r="O165" s="3"/>
      <c r="P165" s="3"/>
      <c r="Q165" s="3"/>
      <c r="R165" s="3"/>
      <c r="S165" s="3"/>
      <c r="T165" s="3"/>
      <c r="U165" s="3"/>
    </row>
    <row r="166" spans="1:21" ht="15.75" customHeight="1" x14ac:dyDescent="0.25">
      <c r="A166" s="380" t="str">
        <f>'0664'!A166</f>
        <v xml:space="preserve">For high performing charter schools, administrative fees charged by the school district shall be calculated based upon 2% of available funds from the FEFP and categorical </v>
      </c>
      <c r="B166" s="368"/>
      <c r="C166" s="368"/>
      <c r="D166" s="368"/>
      <c r="E166" s="368"/>
      <c r="F166" s="368"/>
      <c r="G166" s="368"/>
      <c r="H166" s="368"/>
      <c r="I166" s="368"/>
      <c r="J166" s="77"/>
      <c r="K166" s="77"/>
      <c r="L166" s="77"/>
      <c r="M166" s="77"/>
      <c r="N166" s="79"/>
      <c r="O166" s="77"/>
      <c r="P166" s="77"/>
      <c r="Q166" s="77"/>
      <c r="R166" s="77"/>
      <c r="S166" s="77"/>
      <c r="T166" s="77"/>
      <c r="U166" s="77"/>
    </row>
    <row r="167" spans="1:21" ht="15.75" customHeight="1" x14ac:dyDescent="0.25">
      <c r="A167" s="381" t="str">
        <f>'0664'!A167</f>
        <v>funding for which charter students may be eligible.  To calculate the administrative fee to be withheld for schools with more than 250 students, divide the school</v>
      </c>
      <c r="B167" s="368"/>
      <c r="C167" s="368"/>
      <c r="D167" s="368"/>
      <c r="E167" s="368"/>
      <c r="F167" s="368"/>
      <c r="G167" s="368"/>
      <c r="H167" s="368"/>
      <c r="I167" s="368"/>
      <c r="J167" s="77"/>
      <c r="K167" s="77"/>
      <c r="L167" s="77"/>
      <c r="M167" s="77"/>
      <c r="N167" s="79"/>
      <c r="O167" s="77"/>
      <c r="P167" s="77"/>
      <c r="Q167" s="77"/>
      <c r="R167" s="77"/>
      <c r="S167" s="77"/>
      <c r="T167" s="77"/>
      <c r="U167" s="77"/>
    </row>
    <row r="168" spans="1:21" s="77" customFormat="1" ht="15.75" customHeight="1" x14ac:dyDescent="0.2">
      <c r="A168" s="381" t="str">
        <f>'0664'!A168</f>
        <v xml:space="preserve">population into 250. Multiply that fraction times the funds available, then times 2%.  </v>
      </c>
      <c r="B168" s="368"/>
      <c r="C168" s="368"/>
      <c r="D168" s="368"/>
      <c r="E168" s="368"/>
      <c r="F168" s="368"/>
      <c r="G168" s="368"/>
      <c r="H168" s="368"/>
      <c r="I168" s="368"/>
      <c r="N168" s="79"/>
    </row>
    <row r="169" spans="1:21" x14ac:dyDescent="0.25">
      <c r="A169" s="363"/>
      <c r="B169" s="368"/>
      <c r="C169" s="368"/>
      <c r="D169" s="368"/>
      <c r="E169" s="368"/>
      <c r="F169" s="368"/>
      <c r="G169" s="368"/>
      <c r="H169" s="368"/>
      <c r="I169" s="368"/>
      <c r="N169" s="75"/>
    </row>
    <row r="170" spans="1:21" x14ac:dyDescent="0.25">
      <c r="A170" s="376" t="str">
        <f>'0664'!A170</f>
        <v>Other:</v>
      </c>
      <c r="B170" s="374"/>
      <c r="C170" s="374"/>
      <c r="D170" s="374"/>
      <c r="E170" s="374"/>
      <c r="F170" s="374"/>
      <c r="G170" s="374"/>
      <c r="H170" s="374"/>
      <c r="I170" s="374"/>
      <c r="N170" s="75"/>
    </row>
    <row r="171" spans="1:21" x14ac:dyDescent="0.25">
      <c r="A171" s="380" t="str">
        <f>'0664'!A171</f>
        <v>FEFP and categorical funding are recalculated during the year to reflect the revised number of full-time equivalent students reported during the survey periods designated</v>
      </c>
      <c r="B171" s="368"/>
      <c r="C171" s="368"/>
      <c r="D171" s="368"/>
      <c r="E171" s="368"/>
      <c r="F171" s="368"/>
      <c r="G171" s="368"/>
      <c r="H171" s="368"/>
      <c r="I171" s="368"/>
      <c r="N171" s="75"/>
    </row>
    <row r="172" spans="1:21" x14ac:dyDescent="0.25">
      <c r="A172" s="381" t="str">
        <f>'0664'!A172</f>
        <v>by the Commissioner of Education.</v>
      </c>
      <c r="B172" s="375"/>
      <c r="C172" s="375"/>
      <c r="D172" s="375"/>
      <c r="E172" s="375"/>
      <c r="F172" s="375"/>
      <c r="G172" s="375"/>
      <c r="H172" s="375"/>
      <c r="I172" s="375"/>
      <c r="N172" s="75"/>
    </row>
    <row r="173" spans="1:21" x14ac:dyDescent="0.25">
      <c r="A173" s="380" t="str">
        <f>'0664'!A173</f>
        <v>Revenues flow to districts from state sources and from county tax collectors on various distribution schedules.</v>
      </c>
      <c r="B173" s="368"/>
      <c r="C173" s="368"/>
      <c r="D173" s="368"/>
      <c r="E173" s="368"/>
      <c r="F173" s="368"/>
      <c r="G173" s="368"/>
      <c r="H173" s="368"/>
      <c r="I173" s="368"/>
      <c r="N173" s="75"/>
    </row>
    <row r="174" spans="1:21" x14ac:dyDescent="0.25">
      <c r="A174" s="310"/>
      <c r="B174" s="310"/>
      <c r="C174" s="310"/>
      <c r="D174" s="310"/>
      <c r="E174" s="310"/>
      <c r="F174" s="310"/>
      <c r="G174" s="310"/>
      <c r="H174" s="310"/>
      <c r="I174" s="310"/>
      <c r="N174" s="75"/>
    </row>
    <row r="175" spans="1:21" x14ac:dyDescent="0.25">
      <c r="A175" s="75"/>
      <c r="N175" s="75"/>
    </row>
    <row r="176" spans="1:21" x14ac:dyDescent="0.25">
      <c r="A176" s="75"/>
      <c r="N176" s="75"/>
    </row>
    <row r="177" spans="1:14" x14ac:dyDescent="0.25">
      <c r="A177" s="75"/>
      <c r="N177" s="75"/>
    </row>
    <row r="178" spans="1:14" x14ac:dyDescent="0.25">
      <c r="A178" s="75"/>
      <c r="B178" s="143"/>
      <c r="C178" s="143"/>
      <c r="D178" s="143"/>
      <c r="E178" s="143"/>
      <c r="F178" s="143"/>
      <c r="G178" s="143"/>
      <c r="H178" s="143"/>
      <c r="I178" s="143"/>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C93:D93"/>
    <mergeCell ref="P93:Q93"/>
    <mergeCell ref="C94:D94"/>
    <mergeCell ref="P94:Q94"/>
    <mergeCell ref="C95:D95"/>
    <mergeCell ref="P95:T95"/>
    <mergeCell ref="A96:I96"/>
    <mergeCell ref="N96:U96"/>
    <mergeCell ref="F98:I98"/>
    <mergeCell ref="N98:P98"/>
    <mergeCell ref="Q98:T98"/>
    <mergeCell ref="R108:S108"/>
    <mergeCell ref="A101:B101"/>
    <mergeCell ref="N101:O101"/>
    <mergeCell ref="P101:R101"/>
    <mergeCell ref="A102:B102"/>
    <mergeCell ref="N102:O102"/>
    <mergeCell ref="P102:R102"/>
    <mergeCell ref="R110:S110"/>
    <mergeCell ref="A105:C105"/>
    <mergeCell ref="F105:I105"/>
    <mergeCell ref="N105:U105"/>
    <mergeCell ref="C106:E106"/>
    <mergeCell ref="F107:G107"/>
    <mergeCell ref="A108:B108"/>
    <mergeCell ref="F108:G108"/>
    <mergeCell ref="N108:O108"/>
    <mergeCell ref="P108:Q108"/>
    <mergeCell ref="A109:B109"/>
    <mergeCell ref="F109:G109"/>
    <mergeCell ref="N109:O109"/>
    <mergeCell ref="P109:Q109"/>
    <mergeCell ref="R109:S109"/>
    <mergeCell ref="A110:B110"/>
    <mergeCell ref="F110:G110"/>
    <mergeCell ref="N110:O110"/>
    <mergeCell ref="P110:Q110"/>
    <mergeCell ref="A111:B111"/>
    <mergeCell ref="F111:G111"/>
    <mergeCell ref="N111:O111"/>
    <mergeCell ref="P111:Q111"/>
    <mergeCell ref="R111:S111"/>
    <mergeCell ref="A112:B112"/>
    <mergeCell ref="N112:O112"/>
    <mergeCell ref="N140:U140"/>
    <mergeCell ref="N120:U120"/>
    <mergeCell ref="N114:P114"/>
    <mergeCell ref="A114:C114"/>
    <mergeCell ref="F114:H114"/>
    <mergeCell ref="N115:T115"/>
    <mergeCell ref="A116:H116"/>
    <mergeCell ref="A120:G120"/>
    <mergeCell ref="N121:U121"/>
    <mergeCell ref="A121:G121"/>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CCCC"/>
  </sheetPr>
  <dimension ref="A1:V209"/>
  <sheetViews>
    <sheetView showGridLines="0" zoomScaleNormal="100" workbookViewId="0">
      <pane ySplit="1" topLeftCell="A120" activePane="bottomLeft" state="frozen"/>
      <selection activeCell="A58" sqref="A58"/>
      <selection pane="bottomLeft" activeCell="A58" sqref="A58"/>
    </sheetView>
  </sheetViews>
  <sheetFormatPr defaultRowHeight="15.75" x14ac:dyDescent="0.25"/>
  <cols>
    <col min="1" max="1" width="10.28515625" style="70"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3"/>
      <c r="B1" s="613" t="s">
        <v>15</v>
      </c>
      <c r="C1" s="614"/>
      <c r="D1" s="614"/>
      <c r="E1" s="614"/>
      <c r="F1" s="614"/>
      <c r="G1" s="614"/>
      <c r="H1" s="614"/>
      <c r="I1" s="614"/>
      <c r="J1" s="143"/>
      <c r="K1" s="143"/>
      <c r="L1" s="143"/>
      <c r="N1" s="83">
        <f>A1</f>
        <v>0</v>
      </c>
      <c r="O1" s="626" t="s">
        <v>15</v>
      </c>
      <c r="P1" s="627"/>
      <c r="Q1" s="627"/>
      <c r="R1" s="627"/>
      <c r="S1" s="627"/>
      <c r="T1" s="627"/>
      <c r="U1" s="627"/>
    </row>
    <row r="2" spans="1:21" ht="21" x14ac:dyDescent="0.35">
      <c r="A2" s="1" t="s">
        <v>125</v>
      </c>
      <c r="B2" s="2"/>
      <c r="C2" s="2"/>
      <c r="D2" s="2"/>
      <c r="E2" s="2"/>
      <c r="F2" s="2"/>
      <c r="G2" s="2"/>
      <c r="H2" s="2"/>
      <c r="I2" s="2"/>
      <c r="N2" s="628" t="s">
        <v>18</v>
      </c>
      <c r="O2" s="628"/>
      <c r="P2" s="628"/>
      <c r="Q2" s="628"/>
      <c r="R2" s="628"/>
      <c r="S2" s="628"/>
      <c r="T2" s="628"/>
      <c r="U2" s="628"/>
    </row>
    <row r="3" spans="1:21" x14ac:dyDescent="0.25">
      <c r="A3" s="82" t="str">
        <f>'0664'!A3</f>
        <v>Based on the FLDOE 2023-24 FEFP Conference Calculation</v>
      </c>
      <c r="N3" s="629" t="str">
        <f>A3</f>
        <v>Based on the FLDOE 2023-24 FEFP Conference Calculation</v>
      </c>
      <c r="O3" s="629"/>
      <c r="P3" s="629"/>
      <c r="Q3" s="629"/>
      <c r="R3" s="629"/>
      <c r="S3" s="629"/>
      <c r="T3" s="629"/>
      <c r="U3" s="629"/>
    </row>
    <row r="4" spans="1:21" x14ac:dyDescent="0.25">
      <c r="A4" s="615" t="s">
        <v>0</v>
      </c>
      <c r="B4" s="615"/>
      <c r="C4" s="616" t="s">
        <v>9</v>
      </c>
      <c r="D4" s="616"/>
      <c r="E4" s="616"/>
      <c r="F4" s="4" t="str">
        <f>'0664'!F4</f>
        <v>July 2023</v>
      </c>
      <c r="G4" s="4"/>
      <c r="H4" s="4"/>
      <c r="I4" s="4"/>
      <c r="N4" s="630" t="s">
        <v>0</v>
      </c>
      <c r="O4" s="630"/>
      <c r="P4" s="631" t="str">
        <f>C4</f>
        <v>Palm Beach</v>
      </c>
      <c r="Q4" s="631"/>
      <c r="R4" s="5"/>
      <c r="S4" s="5"/>
      <c r="T4" s="5"/>
      <c r="U4" s="5"/>
    </row>
    <row r="5" spans="1:21" ht="12" customHeight="1" thickBot="1" x14ac:dyDescent="0.3">
      <c r="A5" s="246"/>
      <c r="B5" s="246"/>
      <c r="C5" s="237"/>
      <c r="D5" s="237"/>
      <c r="E5" s="237"/>
      <c r="F5" s="238"/>
      <c r="G5" s="238"/>
      <c r="H5" s="238"/>
      <c r="I5" s="238"/>
      <c r="N5" s="84"/>
      <c r="O5" s="84"/>
      <c r="P5" s="6"/>
      <c r="Q5" s="6"/>
      <c r="R5" s="5"/>
      <c r="S5" s="5"/>
      <c r="T5" s="5"/>
      <c r="U5" s="5"/>
    </row>
    <row r="6" spans="1:21" ht="12" customHeight="1" x14ac:dyDescent="0.25">
      <c r="A6" s="136"/>
      <c r="B6" s="136"/>
      <c r="C6" s="245"/>
      <c r="D6" s="245"/>
      <c r="E6" s="245"/>
      <c r="F6" s="4"/>
      <c r="G6" s="4"/>
      <c r="H6" s="4"/>
      <c r="I6" s="4"/>
      <c r="N6" s="84"/>
      <c r="O6" s="84"/>
      <c r="P6" s="6"/>
      <c r="Q6" s="6"/>
      <c r="R6" s="5"/>
      <c r="S6" s="5"/>
      <c r="T6" s="5"/>
      <c r="U6" s="5"/>
    </row>
    <row r="7" spans="1:21" x14ac:dyDescent="0.25">
      <c r="A7" s="617" t="s">
        <v>512</v>
      </c>
      <c r="B7" s="632"/>
      <c r="C7" s="632"/>
      <c r="D7" s="632"/>
      <c r="E7" s="632"/>
      <c r="F7" s="632"/>
      <c r="G7" s="632"/>
      <c r="H7" s="632"/>
      <c r="I7" s="632"/>
      <c r="N7" s="630" t="str">
        <f>A7</f>
        <v>1A.   2023-24 FEFP State and Local Funding</v>
      </c>
      <c r="O7" s="630"/>
      <c r="P7" s="630"/>
      <c r="Q7" s="630"/>
      <c r="R7" s="630"/>
      <c r="S7" s="630"/>
      <c r="T7" s="630"/>
      <c r="U7" s="630"/>
    </row>
    <row r="8" spans="1:21" x14ac:dyDescent="0.25">
      <c r="A8" s="85"/>
      <c r="B8" s="86" t="s">
        <v>98</v>
      </c>
      <c r="C8" s="316">
        <f>'0664'!C8</f>
        <v>5139.7299999999996</v>
      </c>
      <c r="D8" s="87"/>
      <c r="E8" s="88"/>
      <c r="F8" s="85"/>
      <c r="G8" s="86" t="s">
        <v>450</v>
      </c>
      <c r="H8" s="304">
        <f>'0664'!H8</f>
        <v>1.0442</v>
      </c>
      <c r="I8" s="76"/>
      <c r="N8" s="633" t="s">
        <v>10</v>
      </c>
      <c r="O8" s="633"/>
      <c r="P8" s="634">
        <f>C8</f>
        <v>5139.7299999999996</v>
      </c>
      <c r="Q8" s="634"/>
      <c r="R8" s="643" t="s">
        <v>451</v>
      </c>
      <c r="S8" s="644"/>
      <c r="T8" s="645">
        <f>H8</f>
        <v>1.0442</v>
      </c>
      <c r="U8" s="645"/>
    </row>
    <row r="9" spans="1:21" x14ac:dyDescent="0.25">
      <c r="A9" s="85"/>
      <c r="B9" s="86"/>
      <c r="C9" s="231"/>
      <c r="D9" s="87"/>
      <c r="E9" s="88"/>
      <c r="F9" s="85"/>
      <c r="G9" s="86" t="s">
        <v>448</v>
      </c>
      <c r="H9" s="304">
        <f>'0664'!H9</f>
        <v>0</v>
      </c>
      <c r="I9" s="76"/>
      <c r="N9" s="12"/>
      <c r="O9" s="12"/>
      <c r="P9" s="13"/>
      <c r="Q9" s="13"/>
      <c r="R9" s="410" t="s">
        <v>449</v>
      </c>
      <c r="S9" s="407"/>
      <c r="T9" s="645">
        <f>H9</f>
        <v>0</v>
      </c>
      <c r="U9" s="645"/>
    </row>
    <row r="10" spans="1:21" x14ac:dyDescent="0.25">
      <c r="A10" s="7"/>
      <c r="B10" s="42" t="s">
        <v>333</v>
      </c>
      <c r="C10" s="39" t="s">
        <v>333</v>
      </c>
      <c r="D10" s="89" t="s">
        <v>333</v>
      </c>
      <c r="E10" s="8"/>
      <c r="F10" s="9"/>
      <c r="G10" s="9"/>
      <c r="H10" s="10"/>
      <c r="I10" s="322" t="str">
        <f>'0664'!I10</f>
        <v>2023-24</v>
      </c>
      <c r="N10" s="12"/>
      <c r="O10" s="12"/>
      <c r="P10" s="13"/>
      <c r="Q10" s="13"/>
      <c r="R10" s="14"/>
      <c r="S10" s="14"/>
      <c r="T10" s="15"/>
      <c r="U10" s="384" t="str">
        <f>I10</f>
        <v>2023-24</v>
      </c>
    </row>
    <row r="11" spans="1:21" x14ac:dyDescent="0.25">
      <c r="A11" s="7"/>
      <c r="B11" s="7"/>
      <c r="C11" s="89" t="s">
        <v>412</v>
      </c>
      <c r="D11" s="351" t="s">
        <v>413</v>
      </c>
      <c r="E11" s="90" t="s">
        <v>8</v>
      </c>
      <c r="F11" s="618" t="s">
        <v>1</v>
      </c>
      <c r="G11" s="618"/>
      <c r="H11" s="10" t="s">
        <v>62</v>
      </c>
      <c r="I11" s="11" t="s">
        <v>27</v>
      </c>
      <c r="N11" s="12"/>
      <c r="O11" s="12"/>
      <c r="P11" s="13"/>
      <c r="Q11" s="13"/>
      <c r="R11" s="646" t="s">
        <v>1</v>
      </c>
      <c r="S11" s="646"/>
      <c r="T11" s="15" t="s">
        <v>62</v>
      </c>
      <c r="U11" s="16" t="s">
        <v>27</v>
      </c>
    </row>
    <row r="12" spans="1:21" ht="15.75" customHeight="1" x14ac:dyDescent="0.25">
      <c r="A12" s="610" t="s">
        <v>1</v>
      </c>
      <c r="B12" s="610"/>
      <c r="C12" s="342" t="s">
        <v>2</v>
      </c>
      <c r="D12" s="342" t="s">
        <v>2</v>
      </c>
      <c r="E12" s="342" t="s">
        <v>2</v>
      </c>
      <c r="F12" s="619" t="s">
        <v>65</v>
      </c>
      <c r="G12" s="619"/>
      <c r="H12" s="17" t="s">
        <v>61</v>
      </c>
      <c r="I12" s="411" t="s">
        <v>452</v>
      </c>
      <c r="N12" s="647" t="s">
        <v>1</v>
      </c>
      <c r="O12" s="647"/>
      <c r="P12" s="648" t="s">
        <v>19</v>
      </c>
      <c r="Q12" s="648"/>
      <c r="R12" s="649" t="s">
        <v>65</v>
      </c>
      <c r="S12" s="649"/>
      <c r="T12" s="18" t="s">
        <v>61</v>
      </c>
      <c r="U12" s="19" t="str">
        <f>I12</f>
        <v>(WFTE x BSA x CWF x SDF)</v>
      </c>
    </row>
    <row r="13" spans="1:21" x14ac:dyDescent="0.25">
      <c r="A13" s="620" t="s">
        <v>36</v>
      </c>
      <c r="B13" s="620"/>
      <c r="C13" s="92"/>
      <c r="D13" s="92"/>
      <c r="E13" s="93" t="s">
        <v>37</v>
      </c>
      <c r="F13" s="621" t="s">
        <v>38</v>
      </c>
      <c r="G13" s="621"/>
      <c r="H13" s="20" t="s">
        <v>39</v>
      </c>
      <c r="I13" s="21" t="s">
        <v>40</v>
      </c>
      <c r="N13" s="638" t="s">
        <v>36</v>
      </c>
      <c r="O13" s="638"/>
      <c r="P13" s="639" t="s">
        <v>37</v>
      </c>
      <c r="Q13" s="639"/>
      <c r="R13" s="640" t="s">
        <v>38</v>
      </c>
      <c r="S13" s="640"/>
      <c r="T13" s="22" t="s">
        <v>39</v>
      </c>
      <c r="U13" s="23" t="s">
        <v>40</v>
      </c>
    </row>
    <row r="14" spans="1:21" x14ac:dyDescent="0.25">
      <c r="A14" s="611" t="s">
        <v>20</v>
      </c>
      <c r="B14" s="611"/>
      <c r="C14" s="151">
        <v>0</v>
      </c>
      <c r="D14" s="149">
        <v>0</v>
      </c>
      <c r="E14" s="196">
        <f>IF(D$30=0,C14*2,C14+D14)</f>
        <v>0</v>
      </c>
      <c r="F14" s="625">
        <f>'0664'!F14:G14</f>
        <v>1.1220000000000001</v>
      </c>
      <c r="G14" s="625"/>
      <c r="H14" s="153">
        <f>ROUND(E14*F14,4)</f>
        <v>0</v>
      </c>
      <c r="I14" s="112">
        <f>ROUND(ROUND(ROUND(H14*$C$8,4)*($H$8),2)*(MAX($H$9,1)),2)</f>
        <v>0</v>
      </c>
      <c r="N14" s="641" t="s">
        <v>20</v>
      </c>
      <c r="O14" s="641"/>
      <c r="P14" s="636">
        <f t="shared" ref="P14:P29" si="0">IF($H$121=1,E14,0)</f>
        <v>0</v>
      </c>
      <c r="Q14" s="636"/>
      <c r="R14" s="642">
        <v>1</v>
      </c>
      <c r="S14" s="642"/>
      <c r="T14" s="96">
        <f>ROUND(P14*R14,4)</f>
        <v>0</v>
      </c>
      <c r="U14" s="97">
        <f>ROUND(ROUND(ROUND(T14*$C$8,4)*($H$8),2)*(MAX($H$9,1)),2)</f>
        <v>0</v>
      </c>
    </row>
    <row r="15" spans="1:21" x14ac:dyDescent="0.25">
      <c r="A15" s="586" t="s">
        <v>21</v>
      </c>
      <c r="B15" s="586"/>
      <c r="C15" s="151">
        <v>0</v>
      </c>
      <c r="D15" s="151">
        <v>0</v>
      </c>
      <c r="E15" s="117">
        <f t="shared" ref="E15:E29" si="1">IF(D$30=0,C15*2,C15+D15)</f>
        <v>0</v>
      </c>
      <c r="F15" s="622">
        <f>'0664'!F15:G15</f>
        <v>1.1220000000000001</v>
      </c>
      <c r="G15" s="622"/>
      <c r="H15" s="81">
        <f t="shared" ref="H15:H29" si="2">ROUND(E15*F15,4)</f>
        <v>0</v>
      </c>
      <c r="I15" s="102">
        <f t="shared" ref="I15:I29" si="3">ROUND(ROUND(ROUND(H15*$C$8,4)*($H$8),2)*(MAX($H$9,1)),2)</f>
        <v>0</v>
      </c>
      <c r="J15" s="66"/>
      <c r="N15" s="635" t="s">
        <v>21</v>
      </c>
      <c r="O15" s="635"/>
      <c r="P15" s="636">
        <f t="shared" si="0"/>
        <v>0</v>
      </c>
      <c r="Q15" s="636"/>
      <c r="R15" s="637">
        <v>1</v>
      </c>
      <c r="S15" s="637"/>
      <c r="T15" s="96">
        <f t="shared" ref="T15:T29" si="4">ROUND(P15*R15,4)</f>
        <v>0</v>
      </c>
      <c r="U15" s="97">
        <f t="shared" ref="U15:U29" si="5">ROUND(ROUND(ROUND(T15*$C$8,4)*($H$8),2)*(MAX($H$9,1)),2)</f>
        <v>0</v>
      </c>
    </row>
    <row r="16" spans="1:21" x14ac:dyDescent="0.25">
      <c r="A16" s="586" t="s">
        <v>22</v>
      </c>
      <c r="B16" s="586"/>
      <c r="C16" s="151">
        <v>0</v>
      </c>
      <c r="D16" s="151">
        <v>0</v>
      </c>
      <c r="E16" s="117">
        <f t="shared" si="1"/>
        <v>0</v>
      </c>
      <c r="F16" s="622">
        <f>'0664'!F16:G16</f>
        <v>1</v>
      </c>
      <c r="G16" s="622"/>
      <c r="H16" s="81">
        <f t="shared" si="2"/>
        <v>0</v>
      </c>
      <c r="I16" s="102">
        <f t="shared" si="3"/>
        <v>0</v>
      </c>
      <c r="N16" s="635" t="s">
        <v>22</v>
      </c>
      <c r="O16" s="635"/>
      <c r="P16" s="636">
        <f t="shared" si="0"/>
        <v>0</v>
      </c>
      <c r="Q16" s="636"/>
      <c r="R16" s="637">
        <v>1</v>
      </c>
      <c r="S16" s="637"/>
      <c r="T16" s="96">
        <f t="shared" si="4"/>
        <v>0</v>
      </c>
      <c r="U16" s="97">
        <f t="shared" si="5"/>
        <v>0</v>
      </c>
    </row>
    <row r="17" spans="1:21" x14ac:dyDescent="0.25">
      <c r="A17" s="586" t="s">
        <v>23</v>
      </c>
      <c r="B17" s="586"/>
      <c r="C17" s="151">
        <v>0</v>
      </c>
      <c r="D17" s="151">
        <v>0</v>
      </c>
      <c r="E17" s="117">
        <f t="shared" si="1"/>
        <v>0</v>
      </c>
      <c r="F17" s="622">
        <f>'0664'!F17:G17</f>
        <v>1</v>
      </c>
      <c r="G17" s="622"/>
      <c r="H17" s="81">
        <f t="shared" si="2"/>
        <v>0</v>
      </c>
      <c r="I17" s="102">
        <f t="shared" si="3"/>
        <v>0</v>
      </c>
      <c r="J17" s="66"/>
      <c r="N17" s="635" t="s">
        <v>23</v>
      </c>
      <c r="O17" s="635"/>
      <c r="P17" s="636">
        <f t="shared" si="0"/>
        <v>0</v>
      </c>
      <c r="Q17" s="636"/>
      <c r="R17" s="637">
        <v>1</v>
      </c>
      <c r="S17" s="637"/>
      <c r="T17" s="96">
        <f t="shared" si="4"/>
        <v>0</v>
      </c>
      <c r="U17" s="97">
        <f t="shared" si="5"/>
        <v>0</v>
      </c>
    </row>
    <row r="18" spans="1:21" x14ac:dyDescent="0.25">
      <c r="A18" s="586" t="s">
        <v>24</v>
      </c>
      <c r="B18" s="586"/>
      <c r="C18" s="151">
        <v>0</v>
      </c>
      <c r="D18" s="151">
        <v>0</v>
      </c>
      <c r="E18" s="117">
        <f t="shared" si="1"/>
        <v>0</v>
      </c>
      <c r="F18" s="622">
        <f>'0664'!F18:G18</f>
        <v>0.98799999999999999</v>
      </c>
      <c r="G18" s="622"/>
      <c r="H18" s="81">
        <f t="shared" si="2"/>
        <v>0</v>
      </c>
      <c r="I18" s="102">
        <f t="shared" si="3"/>
        <v>0</v>
      </c>
      <c r="N18" s="635" t="s">
        <v>24</v>
      </c>
      <c r="O18" s="635"/>
      <c r="P18" s="636">
        <f t="shared" si="0"/>
        <v>0</v>
      </c>
      <c r="Q18" s="636"/>
      <c r="R18" s="637">
        <v>1</v>
      </c>
      <c r="S18" s="637"/>
      <c r="T18" s="96">
        <f t="shared" si="4"/>
        <v>0</v>
      </c>
      <c r="U18" s="97">
        <f t="shared" si="5"/>
        <v>0</v>
      </c>
    </row>
    <row r="19" spans="1:21" x14ac:dyDescent="0.25">
      <c r="A19" s="586" t="s">
        <v>25</v>
      </c>
      <c r="B19" s="586"/>
      <c r="C19" s="151">
        <v>20.440000000000001</v>
      </c>
      <c r="D19" s="151">
        <v>25</v>
      </c>
      <c r="E19" s="117">
        <f t="shared" si="1"/>
        <v>45.44</v>
      </c>
      <c r="F19" s="622">
        <f>'0664'!F19:G19</f>
        <v>0.98799999999999999</v>
      </c>
      <c r="G19" s="622"/>
      <c r="H19" s="81">
        <f t="shared" si="2"/>
        <v>44.8947</v>
      </c>
      <c r="I19" s="102">
        <f t="shared" si="3"/>
        <v>240945.64</v>
      </c>
      <c r="J19" s="66"/>
      <c r="N19" s="635" t="s">
        <v>25</v>
      </c>
      <c r="O19" s="635"/>
      <c r="P19" s="636">
        <f t="shared" si="0"/>
        <v>45.44</v>
      </c>
      <c r="Q19" s="636"/>
      <c r="R19" s="637">
        <v>1</v>
      </c>
      <c r="S19" s="637"/>
      <c r="T19" s="96">
        <f t="shared" si="4"/>
        <v>45.44</v>
      </c>
      <c r="U19" s="99">
        <f t="shared" si="5"/>
        <v>243872.21</v>
      </c>
    </row>
    <row r="20" spans="1:21" x14ac:dyDescent="0.25">
      <c r="A20" s="586" t="s">
        <v>85</v>
      </c>
      <c r="B20" s="586"/>
      <c r="C20" s="151">
        <v>0</v>
      </c>
      <c r="D20" s="151">
        <v>0</v>
      </c>
      <c r="E20" s="117">
        <f t="shared" si="1"/>
        <v>0</v>
      </c>
      <c r="F20" s="622">
        <f>'0664'!F20:G20</f>
        <v>3.706</v>
      </c>
      <c r="G20" s="622"/>
      <c r="H20" s="81">
        <f t="shared" si="2"/>
        <v>0</v>
      </c>
      <c r="I20" s="102">
        <f t="shared" si="3"/>
        <v>0</v>
      </c>
      <c r="N20" s="635" t="s">
        <v>85</v>
      </c>
      <c r="O20" s="635"/>
      <c r="P20" s="636">
        <f t="shared" si="0"/>
        <v>0</v>
      </c>
      <c r="Q20" s="636"/>
      <c r="R20" s="637">
        <v>1</v>
      </c>
      <c r="S20" s="637"/>
      <c r="T20" s="96">
        <f t="shared" si="4"/>
        <v>0</v>
      </c>
      <c r="U20" s="97">
        <f t="shared" si="5"/>
        <v>0</v>
      </c>
    </row>
    <row r="21" spans="1:21" x14ac:dyDescent="0.25">
      <c r="A21" s="586" t="s">
        <v>86</v>
      </c>
      <c r="B21" s="586"/>
      <c r="C21" s="151">
        <v>0</v>
      </c>
      <c r="D21" s="151">
        <v>0</v>
      </c>
      <c r="E21" s="117">
        <f t="shared" si="1"/>
        <v>0</v>
      </c>
      <c r="F21" s="622">
        <f>'0664'!F21:G21</f>
        <v>3.706</v>
      </c>
      <c r="G21" s="622"/>
      <c r="H21" s="81">
        <f t="shared" si="2"/>
        <v>0</v>
      </c>
      <c r="I21" s="102">
        <f t="shared" si="3"/>
        <v>0</v>
      </c>
      <c r="N21" s="635" t="s">
        <v>86</v>
      </c>
      <c r="O21" s="635"/>
      <c r="P21" s="636">
        <f t="shared" si="0"/>
        <v>0</v>
      </c>
      <c r="Q21" s="636"/>
      <c r="R21" s="637">
        <v>1</v>
      </c>
      <c r="S21" s="637"/>
      <c r="T21" s="96">
        <f t="shared" si="4"/>
        <v>0</v>
      </c>
      <c r="U21" s="97">
        <f t="shared" si="5"/>
        <v>0</v>
      </c>
    </row>
    <row r="22" spans="1:21" x14ac:dyDescent="0.25">
      <c r="A22" s="586" t="s">
        <v>87</v>
      </c>
      <c r="B22" s="586"/>
      <c r="C22" s="151">
        <v>13.44</v>
      </c>
      <c r="D22" s="151">
        <v>10.29</v>
      </c>
      <c r="E22" s="117">
        <f t="shared" si="1"/>
        <v>23.729999999999997</v>
      </c>
      <c r="F22" s="622">
        <f>'0664'!F22:G22</f>
        <v>3.706</v>
      </c>
      <c r="G22" s="622"/>
      <c r="H22" s="81">
        <f t="shared" si="2"/>
        <v>87.943399999999997</v>
      </c>
      <c r="I22" s="102">
        <f t="shared" si="3"/>
        <v>471983.97</v>
      </c>
      <c r="N22" s="635" t="s">
        <v>87</v>
      </c>
      <c r="O22" s="635"/>
      <c r="P22" s="636">
        <f t="shared" si="0"/>
        <v>23.729999999999997</v>
      </c>
      <c r="Q22" s="636"/>
      <c r="R22" s="637">
        <v>1</v>
      </c>
      <c r="S22" s="637"/>
      <c r="T22" s="96">
        <f t="shared" si="4"/>
        <v>23.73</v>
      </c>
      <c r="U22" s="97">
        <f t="shared" si="5"/>
        <v>127356.68</v>
      </c>
    </row>
    <row r="23" spans="1:21" x14ac:dyDescent="0.25">
      <c r="A23" s="586" t="s">
        <v>88</v>
      </c>
      <c r="B23" s="586"/>
      <c r="C23" s="151">
        <v>0</v>
      </c>
      <c r="D23" s="151">
        <v>0</v>
      </c>
      <c r="E23" s="117">
        <f t="shared" si="1"/>
        <v>0</v>
      </c>
      <c r="F23" s="622">
        <f>'0664'!F23:G23</f>
        <v>5.7069999999999999</v>
      </c>
      <c r="G23" s="622"/>
      <c r="H23" s="81">
        <f t="shared" si="2"/>
        <v>0</v>
      </c>
      <c r="I23" s="102">
        <f t="shared" si="3"/>
        <v>0</v>
      </c>
      <c r="N23" s="635" t="s">
        <v>88</v>
      </c>
      <c r="O23" s="635"/>
      <c r="P23" s="636">
        <f t="shared" si="0"/>
        <v>0</v>
      </c>
      <c r="Q23" s="636"/>
      <c r="R23" s="637">
        <v>1</v>
      </c>
      <c r="S23" s="637"/>
      <c r="T23" s="96">
        <f t="shared" si="4"/>
        <v>0</v>
      </c>
      <c r="U23" s="97">
        <f t="shared" si="5"/>
        <v>0</v>
      </c>
    </row>
    <row r="24" spans="1:21" x14ac:dyDescent="0.25">
      <c r="A24" s="586" t="s">
        <v>89</v>
      </c>
      <c r="B24" s="586"/>
      <c r="C24" s="151">
        <v>0</v>
      </c>
      <c r="D24" s="151">
        <v>0</v>
      </c>
      <c r="E24" s="117">
        <f t="shared" si="1"/>
        <v>0</v>
      </c>
      <c r="F24" s="622">
        <f>'0664'!F24:G24</f>
        <v>5.7069999999999999</v>
      </c>
      <c r="G24" s="622"/>
      <c r="H24" s="81">
        <f t="shared" si="2"/>
        <v>0</v>
      </c>
      <c r="I24" s="102">
        <f t="shared" si="3"/>
        <v>0</v>
      </c>
      <c r="N24" s="635" t="s">
        <v>89</v>
      </c>
      <c r="O24" s="635"/>
      <c r="P24" s="636">
        <f t="shared" si="0"/>
        <v>0</v>
      </c>
      <c r="Q24" s="636"/>
      <c r="R24" s="637">
        <v>1</v>
      </c>
      <c r="S24" s="637"/>
      <c r="T24" s="96">
        <f t="shared" si="4"/>
        <v>0</v>
      </c>
      <c r="U24" s="97">
        <f t="shared" si="5"/>
        <v>0</v>
      </c>
    </row>
    <row r="25" spans="1:21" x14ac:dyDescent="0.25">
      <c r="A25" s="586" t="s">
        <v>90</v>
      </c>
      <c r="B25" s="586"/>
      <c r="C25" s="151">
        <v>0</v>
      </c>
      <c r="D25" s="151">
        <v>0</v>
      </c>
      <c r="E25" s="117">
        <f t="shared" si="1"/>
        <v>0</v>
      </c>
      <c r="F25" s="622">
        <f>'0664'!F25:G25</f>
        <v>5.7069999999999999</v>
      </c>
      <c r="G25" s="622"/>
      <c r="H25" s="81">
        <f t="shared" si="2"/>
        <v>0</v>
      </c>
      <c r="I25" s="102">
        <f t="shared" si="3"/>
        <v>0</v>
      </c>
      <c r="N25" s="635" t="s">
        <v>90</v>
      </c>
      <c r="O25" s="635"/>
      <c r="P25" s="636">
        <f t="shared" si="0"/>
        <v>0</v>
      </c>
      <c r="Q25" s="636"/>
      <c r="R25" s="637">
        <v>1</v>
      </c>
      <c r="S25" s="637"/>
      <c r="T25" s="96">
        <f t="shared" si="4"/>
        <v>0</v>
      </c>
      <c r="U25" s="97">
        <f t="shared" si="5"/>
        <v>0</v>
      </c>
    </row>
    <row r="26" spans="1:21" x14ac:dyDescent="0.25">
      <c r="A26" s="586" t="s">
        <v>91</v>
      </c>
      <c r="B26" s="586"/>
      <c r="C26" s="151">
        <v>0</v>
      </c>
      <c r="D26" s="151">
        <v>0</v>
      </c>
      <c r="E26" s="117">
        <f t="shared" si="1"/>
        <v>0</v>
      </c>
      <c r="F26" s="622">
        <f>'0664'!F26:G26</f>
        <v>1.208</v>
      </c>
      <c r="G26" s="622"/>
      <c r="H26" s="81">
        <f t="shared" si="2"/>
        <v>0</v>
      </c>
      <c r="I26" s="102">
        <f t="shared" si="3"/>
        <v>0</v>
      </c>
      <c r="N26" s="635" t="s">
        <v>91</v>
      </c>
      <c r="O26" s="635"/>
      <c r="P26" s="636">
        <f t="shared" si="0"/>
        <v>0</v>
      </c>
      <c r="Q26" s="636"/>
      <c r="R26" s="637">
        <v>1</v>
      </c>
      <c r="S26" s="637"/>
      <c r="T26" s="96">
        <f t="shared" si="4"/>
        <v>0</v>
      </c>
      <c r="U26" s="97">
        <f t="shared" si="5"/>
        <v>0</v>
      </c>
    </row>
    <row r="27" spans="1:21" x14ac:dyDescent="0.25">
      <c r="A27" s="586" t="s">
        <v>92</v>
      </c>
      <c r="B27" s="586"/>
      <c r="C27" s="151">
        <v>0</v>
      </c>
      <c r="D27" s="151">
        <v>0</v>
      </c>
      <c r="E27" s="117">
        <f t="shared" si="1"/>
        <v>0</v>
      </c>
      <c r="F27" s="622">
        <f>'0664'!F27:G27</f>
        <v>1.208</v>
      </c>
      <c r="G27" s="622"/>
      <c r="H27" s="81">
        <f t="shared" si="2"/>
        <v>0</v>
      </c>
      <c r="I27" s="102">
        <f t="shared" si="3"/>
        <v>0</v>
      </c>
      <c r="N27" s="635" t="s">
        <v>92</v>
      </c>
      <c r="O27" s="635"/>
      <c r="P27" s="636">
        <f t="shared" si="0"/>
        <v>0</v>
      </c>
      <c r="Q27" s="636"/>
      <c r="R27" s="637">
        <v>1</v>
      </c>
      <c r="S27" s="637"/>
      <c r="T27" s="96">
        <f t="shared" si="4"/>
        <v>0</v>
      </c>
      <c r="U27" s="97">
        <f t="shared" si="5"/>
        <v>0</v>
      </c>
    </row>
    <row r="28" spans="1:21" x14ac:dyDescent="0.25">
      <c r="A28" s="586" t="s">
        <v>93</v>
      </c>
      <c r="B28" s="586"/>
      <c r="C28" s="151">
        <v>0</v>
      </c>
      <c r="D28" s="151">
        <v>0</v>
      </c>
      <c r="E28" s="117">
        <f t="shared" si="1"/>
        <v>0</v>
      </c>
      <c r="F28" s="622">
        <f>'0664'!F28:G28</f>
        <v>1.208</v>
      </c>
      <c r="G28" s="622"/>
      <c r="H28" s="81">
        <f t="shared" si="2"/>
        <v>0</v>
      </c>
      <c r="I28" s="102">
        <f t="shared" si="3"/>
        <v>0</v>
      </c>
      <c r="N28" s="635" t="s">
        <v>93</v>
      </c>
      <c r="O28" s="635"/>
      <c r="P28" s="636">
        <f t="shared" si="0"/>
        <v>0</v>
      </c>
      <c r="Q28" s="636"/>
      <c r="R28" s="637">
        <v>1</v>
      </c>
      <c r="S28" s="637"/>
      <c r="T28" s="96">
        <f t="shared" si="4"/>
        <v>0</v>
      </c>
      <c r="U28" s="97">
        <f t="shared" si="5"/>
        <v>0</v>
      </c>
    </row>
    <row r="29" spans="1:21" x14ac:dyDescent="0.25">
      <c r="A29" s="586" t="s">
        <v>94</v>
      </c>
      <c r="B29" s="586"/>
      <c r="C29" s="111">
        <v>0</v>
      </c>
      <c r="D29" s="111">
        <v>0</v>
      </c>
      <c r="E29" s="163">
        <f t="shared" si="1"/>
        <v>0</v>
      </c>
      <c r="F29" s="622">
        <f>'0664'!F29:G29</f>
        <v>1.0720000000000001</v>
      </c>
      <c r="G29" s="622"/>
      <c r="H29" s="94">
        <f t="shared" si="2"/>
        <v>0</v>
      </c>
      <c r="I29" s="95">
        <f t="shared" si="3"/>
        <v>0</v>
      </c>
      <c r="N29" s="652" t="s">
        <v>94</v>
      </c>
      <c r="O29" s="652"/>
      <c r="P29" s="636">
        <f t="shared" si="0"/>
        <v>0</v>
      </c>
      <c r="Q29" s="636"/>
      <c r="R29" s="653">
        <v>1</v>
      </c>
      <c r="S29" s="653"/>
      <c r="T29" s="96">
        <f t="shared" si="4"/>
        <v>0</v>
      </c>
      <c r="U29" s="97">
        <f t="shared" si="5"/>
        <v>0</v>
      </c>
    </row>
    <row r="30" spans="1:21" x14ac:dyDescent="0.25">
      <c r="A30" s="584" t="s">
        <v>5</v>
      </c>
      <c r="B30" s="584"/>
      <c r="C30" s="95">
        <f>SUM(C14:C29)</f>
        <v>33.880000000000003</v>
      </c>
      <c r="D30" s="95">
        <f>SUM(D14:D29)</f>
        <v>35.29</v>
      </c>
      <c r="E30" s="95">
        <f>SUM(E14:E29)</f>
        <v>69.169999999999987</v>
      </c>
      <c r="F30" s="609"/>
      <c r="G30" s="609"/>
      <c r="H30" s="100">
        <f>SUM(H14:H29)</f>
        <v>132.8381</v>
      </c>
      <c r="I30" s="95">
        <f>SUM(I14:I29)</f>
        <v>712929.61</v>
      </c>
      <c r="N30" s="654" t="s">
        <v>5</v>
      </c>
      <c r="O30" s="654"/>
      <c r="P30" s="655">
        <f>SUM(P14:P29)</f>
        <v>69.169999999999987</v>
      </c>
      <c r="Q30" s="655"/>
      <c r="R30" s="656"/>
      <c r="S30" s="656"/>
      <c r="T30" s="101">
        <f>SUM(T14:T29)</f>
        <v>69.17</v>
      </c>
      <c r="U30" s="97">
        <f>SUM(U14:U29)</f>
        <v>371228.89</v>
      </c>
    </row>
    <row r="31" spans="1:21" x14ac:dyDescent="0.25">
      <c r="A31" s="26"/>
      <c r="B31" s="26"/>
      <c r="C31" s="102"/>
      <c r="D31" s="102"/>
      <c r="E31" s="102"/>
      <c r="F31" s="27"/>
      <c r="G31" s="27"/>
      <c r="H31" s="81"/>
      <c r="I31" s="102"/>
      <c r="N31" s="28"/>
      <c r="O31" s="28"/>
      <c r="P31" s="29"/>
      <c r="Q31" s="29"/>
      <c r="R31" s="30"/>
      <c r="S31" s="30"/>
      <c r="T31" s="103"/>
      <c r="U31" s="104"/>
    </row>
    <row r="32" spans="1:21" x14ac:dyDescent="0.25">
      <c r="A32" s="154" t="s">
        <v>75</v>
      </c>
      <c r="B32" s="26"/>
      <c r="C32" s="102"/>
      <c r="D32" s="102"/>
      <c r="E32" s="102"/>
      <c r="F32" s="27"/>
      <c r="G32" s="27"/>
      <c r="H32" s="81"/>
      <c r="I32" s="102"/>
      <c r="N32" s="28"/>
      <c r="O32" s="28"/>
      <c r="P32" s="29"/>
      <c r="Q32" s="29"/>
      <c r="R32" s="30"/>
      <c r="S32" s="30"/>
      <c r="T32" s="103"/>
      <c r="U32" s="104"/>
    </row>
    <row r="33" spans="1:21" x14ac:dyDescent="0.25">
      <c r="A33" s="154"/>
      <c r="B33" s="26"/>
      <c r="C33" s="102"/>
      <c r="D33" s="102"/>
      <c r="E33" s="102"/>
      <c r="F33" s="27"/>
      <c r="G33" s="27"/>
      <c r="H33" s="81"/>
      <c r="I33" s="102"/>
      <c r="N33" s="28"/>
      <c r="O33" s="28"/>
      <c r="P33" s="29"/>
      <c r="Q33" s="29"/>
      <c r="R33" s="30"/>
      <c r="S33" s="30"/>
      <c r="T33" s="103"/>
      <c r="U33" s="104"/>
    </row>
    <row r="34" spans="1:21" hidden="1" x14ac:dyDescent="0.25">
      <c r="A34" s="154"/>
      <c r="B34" s="26"/>
      <c r="C34" s="102"/>
      <c r="D34" s="102"/>
      <c r="E34" s="102"/>
      <c r="F34" s="686" t="s">
        <v>250</v>
      </c>
      <c r="G34" s="686"/>
      <c r="H34" s="686"/>
      <c r="I34" s="102"/>
      <c r="N34" s="28"/>
      <c r="O34" s="28"/>
      <c r="P34" s="29"/>
      <c r="Q34" s="29"/>
      <c r="R34" s="30"/>
      <c r="S34" s="30"/>
      <c r="T34" s="103"/>
      <c r="U34" s="104"/>
    </row>
    <row r="35" spans="1:21" hidden="1" x14ac:dyDescent="0.25">
      <c r="A35" s="3"/>
      <c r="B35" s="70"/>
      <c r="C35" s="70"/>
      <c r="D35" s="70"/>
      <c r="E35" s="70"/>
      <c r="F35" s="686"/>
      <c r="G35" s="686"/>
      <c r="H35" s="686"/>
      <c r="I35" s="24" t="s">
        <v>63</v>
      </c>
      <c r="N35" s="629" t="s">
        <v>26</v>
      </c>
      <c r="O35" s="629"/>
      <c r="P35" s="629"/>
      <c r="Q35" s="629"/>
      <c r="R35" s="629"/>
      <c r="S35" s="629"/>
      <c r="T35" s="629"/>
      <c r="U35" s="25" t="str">
        <f>I35</f>
        <v>2015-16</v>
      </c>
    </row>
    <row r="36" spans="1:21" hidden="1" x14ac:dyDescent="0.25">
      <c r="A36" s="26"/>
      <c r="B36" s="26"/>
      <c r="C36" s="89" t="s">
        <v>99</v>
      </c>
      <c r="D36" s="89" t="s">
        <v>100</v>
      </c>
      <c r="E36" s="90" t="s">
        <v>8</v>
      </c>
      <c r="F36" s="686"/>
      <c r="G36" s="686"/>
      <c r="H36" s="686"/>
      <c r="I36" s="24" t="s">
        <v>27</v>
      </c>
      <c r="N36" s="28"/>
      <c r="O36" s="28"/>
      <c r="P36" s="29"/>
      <c r="Q36" s="29"/>
      <c r="R36" s="30"/>
      <c r="S36" s="30"/>
      <c r="T36" s="103"/>
      <c r="U36" s="25" t="s">
        <v>27</v>
      </c>
    </row>
    <row r="37" spans="1:21" ht="26.25" hidden="1" x14ac:dyDescent="0.25">
      <c r="A37" s="610" t="s">
        <v>52</v>
      </c>
      <c r="B37" s="610"/>
      <c r="C37" s="91" t="s">
        <v>2</v>
      </c>
      <c r="D37" s="91" t="s">
        <v>2</v>
      </c>
      <c r="E37" s="91" t="s">
        <v>2</v>
      </c>
      <c r="F37" s="687"/>
      <c r="G37" s="687"/>
      <c r="H37" s="687"/>
      <c r="I37" s="31" t="s">
        <v>452</v>
      </c>
      <c r="N37" s="647" t="s">
        <v>52</v>
      </c>
      <c r="O37" s="647"/>
      <c r="P37" s="651" t="s">
        <v>19</v>
      </c>
      <c r="Q37" s="651"/>
      <c r="R37" s="651"/>
      <c r="S37" s="651"/>
      <c r="T37" s="651"/>
      <c r="U37" s="19" t="str">
        <f>I37</f>
        <v>(WFTE x BSA x CWF x SDF)</v>
      </c>
    </row>
    <row r="38" spans="1:21" hidden="1" x14ac:dyDescent="0.25">
      <c r="A38" s="611" t="s">
        <v>45</v>
      </c>
      <c r="B38" s="611"/>
      <c r="C38" s="155">
        <v>0</v>
      </c>
      <c r="D38" s="155">
        <v>0</v>
      </c>
      <c r="E38" s="196">
        <f t="shared" ref="E38:E43" si="6">IF(D$44=0,C38*2,C38+D38)</f>
        <v>0</v>
      </c>
      <c r="F38" s="156"/>
      <c r="G38" s="156"/>
      <c r="H38" s="156"/>
      <c r="I38" s="112">
        <f>ROUND(ROUND(ROUND(E38*$C$8,4)*($H$8),2)*(MAX($H$9,1)),2)</f>
        <v>0</v>
      </c>
      <c r="N38" s="641" t="s">
        <v>45</v>
      </c>
      <c r="O38" s="641"/>
      <c r="P38" s="650">
        <f t="shared" ref="P38:P43" si="7">IF($H$121=1,E38,0)</f>
        <v>0</v>
      </c>
      <c r="Q38" s="650"/>
      <c r="R38" s="650"/>
      <c r="S38" s="650"/>
      <c r="T38" s="650"/>
      <c r="U38" s="99">
        <f>ROUND(ROUND(ROUND(P38*$C$8,4)*($H$8),2)*(MAX($H$9,1)),2)</f>
        <v>0</v>
      </c>
    </row>
    <row r="39" spans="1:21" hidden="1" x14ac:dyDescent="0.25">
      <c r="A39" s="586" t="s">
        <v>46</v>
      </c>
      <c r="B39" s="586"/>
      <c r="C39" s="158">
        <v>0</v>
      </c>
      <c r="D39" s="158">
        <v>0</v>
      </c>
      <c r="E39" s="117">
        <f t="shared" si="6"/>
        <v>0</v>
      </c>
      <c r="F39" s="159"/>
      <c r="G39" s="159"/>
      <c r="H39" s="159"/>
      <c r="I39" s="102">
        <f t="shared" ref="I39:I43" si="8">ROUND(ROUND(ROUND(E39*$C$8,4)*($H$8),2)*(MAX($H$9,1)),2)</f>
        <v>0</v>
      </c>
      <c r="N39" s="635" t="s">
        <v>46</v>
      </c>
      <c r="O39" s="635"/>
      <c r="P39" s="650">
        <f t="shared" si="7"/>
        <v>0</v>
      </c>
      <c r="Q39" s="650"/>
      <c r="R39" s="650"/>
      <c r="S39" s="650"/>
      <c r="T39" s="650"/>
      <c r="U39" s="99">
        <f t="shared" ref="U39:U43" si="9">ROUND(ROUND(ROUND(P39*$C$8,4)*($H$8),2)*(MAX($H$9,1)),2)</f>
        <v>0</v>
      </c>
    </row>
    <row r="40" spans="1:21" hidden="1" x14ac:dyDescent="0.25">
      <c r="A40" s="603" t="s">
        <v>47</v>
      </c>
      <c r="B40" s="603"/>
      <c r="C40" s="158">
        <v>0</v>
      </c>
      <c r="D40" s="158">
        <v>0</v>
      </c>
      <c r="E40" s="117">
        <f t="shared" si="6"/>
        <v>0</v>
      </c>
      <c r="F40" s="159"/>
      <c r="G40" s="159"/>
      <c r="H40" s="159"/>
      <c r="I40" s="102">
        <f t="shared" si="8"/>
        <v>0</v>
      </c>
      <c r="N40" s="657" t="s">
        <v>47</v>
      </c>
      <c r="O40" s="657"/>
      <c r="P40" s="650">
        <f t="shared" si="7"/>
        <v>0</v>
      </c>
      <c r="Q40" s="650"/>
      <c r="R40" s="650"/>
      <c r="S40" s="650"/>
      <c r="T40" s="650"/>
      <c r="U40" s="99">
        <f t="shared" si="9"/>
        <v>0</v>
      </c>
    </row>
    <row r="41" spans="1:21" hidden="1" x14ac:dyDescent="0.25">
      <c r="A41" s="586" t="s">
        <v>48</v>
      </c>
      <c r="B41" s="586"/>
      <c r="C41" s="158">
        <v>0</v>
      </c>
      <c r="D41" s="158">
        <v>0</v>
      </c>
      <c r="E41" s="117">
        <f t="shared" si="6"/>
        <v>0</v>
      </c>
      <c r="F41" s="159"/>
      <c r="G41" s="159"/>
      <c r="H41" s="159"/>
      <c r="I41" s="102">
        <f t="shared" si="8"/>
        <v>0</v>
      </c>
      <c r="N41" s="635" t="s">
        <v>48</v>
      </c>
      <c r="O41" s="635"/>
      <c r="P41" s="650">
        <f t="shared" si="7"/>
        <v>0</v>
      </c>
      <c r="Q41" s="650"/>
      <c r="R41" s="650"/>
      <c r="S41" s="650"/>
      <c r="T41" s="650"/>
      <c r="U41" s="99">
        <f t="shared" si="9"/>
        <v>0</v>
      </c>
    </row>
    <row r="42" spans="1:21" hidden="1" x14ac:dyDescent="0.25">
      <c r="A42" s="586" t="s">
        <v>49</v>
      </c>
      <c r="B42" s="586"/>
      <c r="C42" s="158"/>
      <c r="D42" s="158">
        <v>0</v>
      </c>
      <c r="E42" s="117">
        <f t="shared" si="6"/>
        <v>0</v>
      </c>
      <c r="F42" s="159"/>
      <c r="G42" s="159"/>
      <c r="H42" s="159"/>
      <c r="I42" s="102">
        <f t="shared" si="8"/>
        <v>0</v>
      </c>
      <c r="N42" s="635" t="s">
        <v>49</v>
      </c>
      <c r="O42" s="635"/>
      <c r="P42" s="650">
        <f t="shared" si="7"/>
        <v>0</v>
      </c>
      <c r="Q42" s="650"/>
      <c r="R42" s="650"/>
      <c r="S42" s="650"/>
      <c r="T42" s="650"/>
      <c r="U42" s="99">
        <f t="shared" si="9"/>
        <v>0</v>
      </c>
    </row>
    <row r="43" spans="1:21" hidden="1" x14ac:dyDescent="0.25">
      <c r="A43" s="586" t="s">
        <v>41</v>
      </c>
      <c r="B43" s="586"/>
      <c r="C43" s="157">
        <v>0</v>
      </c>
      <c r="D43" s="157">
        <v>0</v>
      </c>
      <c r="E43" s="163">
        <f t="shared" si="6"/>
        <v>0</v>
      </c>
      <c r="F43" s="159"/>
      <c r="G43" s="159"/>
      <c r="H43" s="159"/>
      <c r="I43" s="95">
        <f t="shared" si="8"/>
        <v>0</v>
      </c>
      <c r="N43" s="652" t="s">
        <v>41</v>
      </c>
      <c r="O43" s="652"/>
      <c r="P43" s="650">
        <f t="shared" si="7"/>
        <v>0</v>
      </c>
      <c r="Q43" s="650"/>
      <c r="R43" s="650"/>
      <c r="S43" s="650"/>
      <c r="T43" s="650"/>
      <c r="U43" s="99">
        <f t="shared" si="9"/>
        <v>0</v>
      </c>
    </row>
    <row r="44" spans="1:21" hidden="1" x14ac:dyDescent="0.25">
      <c r="A44" s="3"/>
      <c r="B44" s="53" t="s">
        <v>101</v>
      </c>
      <c r="C44" s="98">
        <f>SUM(C38:C43)</f>
        <v>0</v>
      </c>
      <c r="D44" s="98">
        <f>SUM(D38:D43)</f>
        <v>0</v>
      </c>
      <c r="E44" s="98">
        <f>SUM(E38:E43)</f>
        <v>0</v>
      </c>
      <c r="F44" s="32"/>
      <c r="G44" s="107"/>
      <c r="H44" s="108" t="s">
        <v>103</v>
      </c>
      <c r="I44" s="98">
        <f>SUM(I38:I43)</f>
        <v>0</v>
      </c>
      <c r="N44" s="680" t="s">
        <v>43</v>
      </c>
      <c r="O44" s="680"/>
      <c r="P44" s="680"/>
      <c r="Q44" s="680"/>
      <c r="R44" s="33">
        <f>SUM(P38:R43)</f>
        <v>0</v>
      </c>
      <c r="S44" s="656" t="s">
        <v>53</v>
      </c>
      <c r="T44" s="656"/>
      <c r="U44" s="104">
        <f>SUM(U38:U43)</f>
        <v>0</v>
      </c>
    </row>
    <row r="45" spans="1:21" ht="16.5" hidden="1" thickBot="1" x14ac:dyDescent="0.3">
      <c r="A45" s="3"/>
      <c r="B45" s="53"/>
      <c r="C45" s="102"/>
      <c r="D45" s="102"/>
      <c r="E45" s="112"/>
      <c r="F45" s="32"/>
      <c r="G45" s="107"/>
      <c r="H45" s="108"/>
      <c r="I45" s="102"/>
      <c r="N45" s="28"/>
      <c r="O45" s="28"/>
      <c r="P45" s="28"/>
      <c r="Q45" s="28"/>
      <c r="R45" s="33"/>
      <c r="S45" s="30"/>
      <c r="T45" s="30"/>
      <c r="U45" s="104"/>
    </row>
    <row r="46" spans="1:21" ht="16.5" hidden="1" thickBot="1" x14ac:dyDescent="0.3">
      <c r="A46" s="3"/>
      <c r="B46" s="53" t="s">
        <v>102</v>
      </c>
      <c r="E46" s="160">
        <f>H30+E44</f>
        <v>132.8381</v>
      </c>
      <c r="F46" s="34"/>
      <c r="G46" s="107"/>
      <c r="H46" s="108" t="s">
        <v>104</v>
      </c>
      <c r="I46" s="95">
        <f>SUM(I44,I30)</f>
        <v>712929.61</v>
      </c>
      <c r="N46" s="680" t="s">
        <v>44</v>
      </c>
      <c r="O46" s="680"/>
      <c r="P46" s="680"/>
      <c r="Q46" s="680"/>
      <c r="R46" s="35">
        <f>R44+T30</f>
        <v>69.17</v>
      </c>
      <c r="S46" s="656" t="s">
        <v>42</v>
      </c>
      <c r="T46" s="656"/>
      <c r="U46" s="109">
        <f>SUM(U44,U30)</f>
        <v>371228.89</v>
      </c>
    </row>
    <row r="47" spans="1:21" ht="16.5" hidden="1" thickTop="1" x14ac:dyDescent="0.25">
      <c r="A47" s="26"/>
      <c r="B47" s="26"/>
      <c r="C47" s="26"/>
      <c r="D47" s="26"/>
      <c r="E47" s="26"/>
      <c r="F47" s="34"/>
      <c r="G47" s="27"/>
      <c r="H47" s="27"/>
      <c r="I47" s="102"/>
      <c r="N47" s="28"/>
      <c r="O47" s="28"/>
      <c r="P47" s="28"/>
      <c r="Q47" s="28"/>
      <c r="R47" s="35"/>
      <c r="S47" s="30"/>
      <c r="T47" s="30"/>
      <c r="U47" s="104"/>
    </row>
    <row r="48" spans="1:21" x14ac:dyDescent="0.25">
      <c r="A48" s="82" t="s">
        <v>453</v>
      </c>
      <c r="B48" s="26"/>
      <c r="C48" s="26"/>
      <c r="D48" s="26"/>
      <c r="E48" s="26"/>
      <c r="F48" s="34"/>
      <c r="G48" s="27"/>
      <c r="H48" s="27"/>
      <c r="I48" s="102"/>
      <c r="N48" s="406" t="s">
        <v>453</v>
      </c>
      <c r="O48" s="28"/>
      <c r="P48" s="28"/>
      <c r="Q48" s="28"/>
      <c r="R48" s="35"/>
      <c r="S48" s="30"/>
      <c r="T48" s="30"/>
      <c r="U48" s="426"/>
    </row>
    <row r="49" spans="1:22" s="414" customFormat="1" ht="9" customHeight="1" x14ac:dyDescent="0.2">
      <c r="A49" s="413" t="s">
        <v>454</v>
      </c>
      <c r="F49" s="415"/>
      <c r="G49" s="416"/>
      <c r="H49" s="416"/>
      <c r="I49" s="417"/>
      <c r="N49" s="427" t="s">
        <v>454</v>
      </c>
      <c r="O49" s="418"/>
      <c r="P49" s="418"/>
      <c r="Q49" s="418"/>
      <c r="R49" s="419"/>
      <c r="S49" s="420"/>
      <c r="T49" s="420"/>
      <c r="U49" s="428"/>
    </row>
    <row r="50" spans="1:22" s="414" customFormat="1" ht="11.25" customHeight="1" x14ac:dyDescent="0.2">
      <c r="A50" s="422" t="s">
        <v>455</v>
      </c>
      <c r="F50" s="415"/>
      <c r="G50" s="416"/>
      <c r="H50" s="416"/>
      <c r="I50" s="417"/>
      <c r="N50" s="429" t="s">
        <v>455</v>
      </c>
      <c r="O50" s="418"/>
      <c r="P50" s="418"/>
      <c r="Q50" s="418"/>
      <c r="R50" s="419"/>
      <c r="S50" s="420"/>
      <c r="T50" s="420"/>
      <c r="U50" s="428"/>
    </row>
    <row r="51" spans="1:22" x14ac:dyDescent="0.25">
      <c r="A51" s="412"/>
      <c r="B51" s="423" t="s">
        <v>456</v>
      </c>
      <c r="C51" s="26"/>
      <c r="D51" s="26"/>
      <c r="E51" s="44" t="s">
        <v>457</v>
      </c>
      <c r="F51" s="424">
        <f>I46</f>
        <v>712929.61</v>
      </c>
      <c r="G51" s="110" t="s">
        <v>6</v>
      </c>
      <c r="H51" s="425">
        <v>4.5199999999999997E-2</v>
      </c>
      <c r="I51" s="102">
        <f>ROUND(F51*H51,2)</f>
        <v>32224.42</v>
      </c>
      <c r="N51" s="430"/>
      <c r="O51" s="431" t="s">
        <v>456</v>
      </c>
      <c r="P51" s="28"/>
      <c r="Q51" s="45" t="s">
        <v>457</v>
      </c>
      <c r="R51" s="432">
        <f>U30</f>
        <v>371228.89</v>
      </c>
      <c r="S51" s="433" t="s">
        <v>6</v>
      </c>
      <c r="T51" s="434">
        <v>4.5199999999999997E-2</v>
      </c>
      <c r="U51" s="426">
        <f>ROUND(R51*T51,2)</f>
        <v>16779.55</v>
      </c>
    </row>
    <row r="52" spans="1:22" x14ac:dyDescent="0.25">
      <c r="A52" s="26"/>
      <c r="B52" s="82" t="s">
        <v>458</v>
      </c>
      <c r="C52" s="26"/>
      <c r="D52" s="26"/>
      <c r="E52" s="44" t="s">
        <v>457</v>
      </c>
      <c r="F52" s="424">
        <f>I46</f>
        <v>712929.61</v>
      </c>
      <c r="G52" s="110" t="s">
        <v>6</v>
      </c>
      <c r="H52" s="425">
        <v>1.41E-2</v>
      </c>
      <c r="I52" s="102">
        <f>ROUND(F52*H52,2)</f>
        <v>10052.31</v>
      </c>
      <c r="N52" s="28"/>
      <c r="O52" s="406" t="s">
        <v>458</v>
      </c>
      <c r="P52" s="28"/>
      <c r="Q52" s="45" t="s">
        <v>457</v>
      </c>
      <c r="R52" s="432">
        <f>U30</f>
        <v>371228.89</v>
      </c>
      <c r="S52" s="433" t="s">
        <v>6</v>
      </c>
      <c r="T52" s="434">
        <v>1.41E-2</v>
      </c>
      <c r="U52" s="435">
        <f>ROUND(R52*T52,2)</f>
        <v>5234.33</v>
      </c>
    </row>
    <row r="53" spans="1:22" x14ac:dyDescent="0.25">
      <c r="A53" s="26"/>
      <c r="B53" s="82" t="s">
        <v>459</v>
      </c>
      <c r="C53" s="26"/>
      <c r="D53" s="26"/>
      <c r="E53" s="44"/>
      <c r="F53" s="424"/>
      <c r="G53" s="110"/>
      <c r="H53" s="425"/>
      <c r="I53" s="98">
        <f>SUM(I51:I52)</f>
        <v>42276.729999999996</v>
      </c>
      <c r="N53" s="28"/>
      <c r="O53" s="406" t="s">
        <v>459</v>
      </c>
      <c r="P53" s="28"/>
      <c r="Q53" s="45"/>
      <c r="R53" s="432"/>
      <c r="S53" s="433"/>
      <c r="T53" s="434"/>
      <c r="U53" s="426">
        <f>SUM(U51:U52)</f>
        <v>22013.879999999997</v>
      </c>
    </row>
    <row r="54" spans="1:22" x14ac:dyDescent="0.25">
      <c r="A54" s="26"/>
      <c r="B54" s="26"/>
      <c r="C54" s="26"/>
      <c r="D54" s="26"/>
      <c r="E54" s="26"/>
      <c r="F54" s="34"/>
      <c r="G54" s="27"/>
      <c r="H54" s="27"/>
      <c r="I54" s="102"/>
      <c r="N54" s="28"/>
      <c r="O54" s="28"/>
      <c r="P54" s="28"/>
      <c r="Q54" s="28"/>
      <c r="R54" s="35"/>
      <c r="S54" s="30"/>
      <c r="T54" s="30"/>
      <c r="U54" s="104"/>
    </row>
    <row r="55" spans="1:22" x14ac:dyDescent="0.25">
      <c r="A55" s="423" t="s">
        <v>460</v>
      </c>
      <c r="N55" s="406" t="s">
        <v>482</v>
      </c>
      <c r="O55" s="52"/>
      <c r="P55" s="52"/>
      <c r="Q55" s="52"/>
      <c r="R55" s="52"/>
      <c r="S55" s="52"/>
      <c r="T55" s="52"/>
      <c r="U55" s="52"/>
    </row>
    <row r="56" spans="1:22" x14ac:dyDescent="0.25">
      <c r="A56" s="585" t="s">
        <v>462</v>
      </c>
      <c r="B56" s="586"/>
      <c r="C56" s="113">
        <f>E30</f>
        <v>69.169999999999987</v>
      </c>
      <c r="D56" s="593" t="s">
        <v>476</v>
      </c>
      <c r="E56" s="593"/>
      <c r="F56" s="593"/>
      <c r="G56" s="593"/>
      <c r="H56" s="317">
        <f>'0664'!H56</f>
        <v>203305.63</v>
      </c>
      <c r="I56" s="114"/>
      <c r="N56" s="658" t="s">
        <v>466</v>
      </c>
      <c r="O56" s="635"/>
      <c r="P56" s="41">
        <f>P30</f>
        <v>69.169999999999987</v>
      </c>
      <c r="Q56" s="663" t="s">
        <v>468</v>
      </c>
      <c r="R56" s="664"/>
      <c r="S56" s="664"/>
      <c r="T56" s="662">
        <f>H56</f>
        <v>203305.63</v>
      </c>
      <c r="U56" s="662"/>
    </row>
    <row r="57" spans="1:22" x14ac:dyDescent="0.25">
      <c r="B57" s="70"/>
      <c r="G57" s="42" t="s">
        <v>12</v>
      </c>
      <c r="H57" s="115">
        <f>ROUND(C56/H56,6)</f>
        <v>3.4000000000000002E-4</v>
      </c>
      <c r="I57" s="116"/>
      <c r="N57" s="635"/>
      <c r="O57" s="635"/>
      <c r="P57" s="635"/>
      <c r="Q57" s="635"/>
      <c r="R57" s="635"/>
      <c r="S57" s="635"/>
      <c r="T57" s="665">
        <f>ROUND(P56/T56,6)</f>
        <v>3.4000000000000002E-4</v>
      </c>
      <c r="U57" s="665"/>
    </row>
    <row r="58" spans="1:22" x14ac:dyDescent="0.25">
      <c r="A58" s="423" t="s">
        <v>461</v>
      </c>
      <c r="N58" s="406" t="s">
        <v>483</v>
      </c>
      <c r="O58" s="52"/>
      <c r="P58" s="52"/>
      <c r="Q58" s="52"/>
      <c r="R58" s="52"/>
      <c r="S58" s="52"/>
      <c r="T58" s="52"/>
      <c r="U58" s="52"/>
    </row>
    <row r="59" spans="1:22" x14ac:dyDescent="0.25">
      <c r="A59" s="585" t="s">
        <v>463</v>
      </c>
      <c r="B59" s="586"/>
      <c r="C59" s="437">
        <f>H30</f>
        <v>132.8381</v>
      </c>
      <c r="D59" s="593" t="s">
        <v>477</v>
      </c>
      <c r="E59" s="593"/>
      <c r="F59" s="593"/>
      <c r="G59" s="593"/>
      <c r="H59" s="318">
        <f>'0664'!H59</f>
        <v>227540.36</v>
      </c>
      <c r="I59" s="117"/>
      <c r="N59" s="658" t="s">
        <v>467</v>
      </c>
      <c r="O59" s="635"/>
      <c r="P59" s="41">
        <f>T30</f>
        <v>69.17</v>
      </c>
      <c r="Q59" s="663" t="s">
        <v>469</v>
      </c>
      <c r="R59" s="664"/>
      <c r="S59" s="664"/>
      <c r="T59" s="662">
        <f>H59</f>
        <v>227540.36</v>
      </c>
      <c r="U59" s="662"/>
    </row>
    <row r="60" spans="1:22" x14ac:dyDescent="0.25">
      <c r="G60" s="42" t="s">
        <v>12</v>
      </c>
      <c r="H60" s="115">
        <f>ROUND(C59/H59,6)</f>
        <v>5.8399999999999999E-4</v>
      </c>
      <c r="I60" s="115"/>
      <c r="N60" s="635"/>
      <c r="O60" s="635"/>
      <c r="P60" s="635"/>
      <c r="Q60" s="635"/>
      <c r="R60" s="635"/>
      <c r="S60" s="635"/>
      <c r="T60" s="665">
        <f>ROUND(P59/T59,6)</f>
        <v>3.0400000000000002E-4</v>
      </c>
      <c r="U60" s="665"/>
    </row>
    <row r="61" spans="1:22" x14ac:dyDescent="0.25">
      <c r="A61" s="441" t="s">
        <v>474</v>
      </c>
      <c r="B61" s="438"/>
      <c r="C61" s="438"/>
      <c r="D61" s="438"/>
      <c r="E61" s="438"/>
      <c r="F61" s="438"/>
      <c r="G61" s="438"/>
      <c r="H61" s="438"/>
      <c r="I61" s="438"/>
      <c r="N61" s="440" t="s">
        <v>484</v>
      </c>
      <c r="O61" s="439"/>
      <c r="P61" s="439"/>
      <c r="Q61" s="439"/>
      <c r="R61" s="439"/>
      <c r="S61" s="439"/>
      <c r="T61" s="439"/>
      <c r="U61" s="439"/>
      <c r="V61" s="438"/>
    </row>
    <row r="62" spans="1:22" x14ac:dyDescent="0.25">
      <c r="A62" s="585" t="s">
        <v>464</v>
      </c>
      <c r="B62" s="586"/>
      <c r="C62" s="113">
        <f>E30</f>
        <v>69.169999999999987</v>
      </c>
      <c r="D62" s="590" t="s">
        <v>478</v>
      </c>
      <c r="E62" s="590"/>
      <c r="F62" s="590"/>
      <c r="G62" s="590"/>
      <c r="H62" s="317">
        <f>'0664'!H62</f>
        <v>186907.73</v>
      </c>
      <c r="I62" s="114"/>
      <c r="N62" s="658" t="s">
        <v>465</v>
      </c>
      <c r="O62" s="635"/>
      <c r="P62" s="41">
        <f>P30</f>
        <v>69.169999999999987</v>
      </c>
      <c r="Q62" s="668" t="s">
        <v>470</v>
      </c>
      <c r="R62" s="669"/>
      <c r="S62" s="669"/>
      <c r="T62" s="662">
        <f>H62</f>
        <v>186907.73</v>
      </c>
      <c r="U62" s="662"/>
    </row>
    <row r="63" spans="1:22" x14ac:dyDescent="0.25">
      <c r="B63" s="70"/>
      <c r="G63" s="42" t="s">
        <v>12</v>
      </c>
      <c r="H63" s="115">
        <f>ROUND(C62/H62,6)</f>
        <v>3.6999999999999999E-4</v>
      </c>
      <c r="I63" s="116"/>
      <c r="N63" s="635"/>
      <c r="O63" s="635"/>
      <c r="P63" s="635"/>
      <c r="Q63" s="635"/>
      <c r="R63" s="635"/>
      <c r="S63" s="635"/>
      <c r="T63" s="665">
        <f>ROUND(P62/T62,6)</f>
        <v>3.6999999999999999E-4</v>
      </c>
      <c r="U63" s="665"/>
    </row>
    <row r="64" spans="1:22" x14ac:dyDescent="0.25">
      <c r="A64" s="441" t="s">
        <v>475</v>
      </c>
      <c r="B64" s="438"/>
      <c r="C64" s="438"/>
      <c r="D64" s="438"/>
      <c r="E64" s="438"/>
      <c r="F64" s="438"/>
      <c r="G64" s="438"/>
      <c r="H64" s="438"/>
      <c r="I64" s="438"/>
      <c r="N64" s="440" t="s">
        <v>485</v>
      </c>
      <c r="O64" s="439"/>
      <c r="P64" s="439"/>
      <c r="Q64" s="439"/>
      <c r="R64" s="439"/>
      <c r="S64" s="439"/>
      <c r="T64" s="439"/>
      <c r="U64" s="439"/>
      <c r="V64" s="438"/>
    </row>
    <row r="65" spans="1:22" x14ac:dyDescent="0.25">
      <c r="A65" s="585" t="s">
        <v>464</v>
      </c>
      <c r="B65" s="586"/>
      <c r="C65" s="113">
        <f>E30</f>
        <v>69.169999999999987</v>
      </c>
      <c r="D65" s="606" t="s">
        <v>479</v>
      </c>
      <c r="E65" s="606"/>
      <c r="F65" s="606"/>
      <c r="G65" s="606"/>
      <c r="H65" s="317">
        <f>'0664'!H65</f>
        <v>203080.55</v>
      </c>
      <c r="I65" s="114"/>
      <c r="N65" s="658" t="s">
        <v>465</v>
      </c>
      <c r="O65" s="635"/>
      <c r="P65" s="41">
        <f>P30</f>
        <v>69.169999999999987</v>
      </c>
      <c r="Q65" s="666" t="s">
        <v>471</v>
      </c>
      <c r="R65" s="667"/>
      <c r="S65" s="667"/>
      <c r="T65" s="662">
        <f>H65</f>
        <v>203080.55</v>
      </c>
      <c r="U65" s="662"/>
    </row>
    <row r="66" spans="1:22" x14ac:dyDescent="0.25">
      <c r="B66" s="70"/>
      <c r="G66" s="42" t="s">
        <v>12</v>
      </c>
      <c r="H66" s="115">
        <f>ROUND(C65/H65,6)</f>
        <v>3.4099999999999999E-4</v>
      </c>
      <c r="I66" s="116"/>
      <c r="N66" s="635"/>
      <c r="O66" s="635"/>
      <c r="P66" s="635"/>
      <c r="Q66" s="635"/>
      <c r="R66" s="635"/>
      <c r="S66" s="635"/>
      <c r="T66" s="665">
        <f>ROUND(P65/T65,6)</f>
        <v>3.4099999999999999E-4</v>
      </c>
      <c r="U66" s="665"/>
    </row>
    <row r="67" spans="1:22" x14ac:dyDescent="0.25">
      <c r="A67" s="441" t="s">
        <v>473</v>
      </c>
      <c r="B67" s="438"/>
      <c r="C67" s="438"/>
      <c r="D67" s="438"/>
      <c r="E67" s="438"/>
      <c r="F67" s="438"/>
      <c r="G67" s="438"/>
      <c r="H67" s="438"/>
      <c r="I67" s="438"/>
      <c r="N67" s="440" t="s">
        <v>486</v>
      </c>
      <c r="O67" s="439"/>
      <c r="P67" s="439"/>
      <c r="Q67" s="439"/>
      <c r="R67" s="439"/>
      <c r="S67" s="439"/>
      <c r="T67" s="439"/>
      <c r="U67" s="439"/>
      <c r="V67" s="438"/>
    </row>
    <row r="68" spans="1:22" x14ac:dyDescent="0.25">
      <c r="A68" s="585" t="s">
        <v>472</v>
      </c>
      <c r="B68" s="586"/>
      <c r="C68" s="113">
        <f>E30</f>
        <v>69.169999999999987</v>
      </c>
      <c r="D68" s="590" t="s">
        <v>480</v>
      </c>
      <c r="E68" s="590"/>
      <c r="F68" s="590"/>
      <c r="G68" s="590"/>
      <c r="H68" s="317">
        <f>'0664'!H68</f>
        <v>186682.65</v>
      </c>
      <c r="I68" s="114"/>
      <c r="N68" s="658" t="s">
        <v>481</v>
      </c>
      <c r="O68" s="635"/>
      <c r="P68" s="41">
        <f>P30</f>
        <v>69.169999999999987</v>
      </c>
      <c r="Q68" s="668" t="s">
        <v>487</v>
      </c>
      <c r="R68" s="669"/>
      <c r="S68" s="669"/>
      <c r="T68" s="662">
        <f>H68</f>
        <v>186682.65</v>
      </c>
      <c r="U68" s="662"/>
    </row>
    <row r="69" spans="1:22" x14ac:dyDescent="0.25">
      <c r="B69" s="70"/>
      <c r="G69" s="42" t="s">
        <v>12</v>
      </c>
      <c r="H69" s="115">
        <f>ROUND(C68/H68,6)</f>
        <v>3.7100000000000002E-4</v>
      </c>
      <c r="I69" s="116"/>
      <c r="N69" s="635"/>
      <c r="O69" s="635"/>
      <c r="P69" s="635"/>
      <c r="Q69" s="635"/>
      <c r="R69" s="635"/>
      <c r="S69" s="635"/>
      <c r="T69" s="665">
        <f>ROUND(P68/T68,6)</f>
        <v>3.7100000000000002E-4</v>
      </c>
      <c r="U69" s="665"/>
    </row>
    <row r="70" spans="1:22" x14ac:dyDescent="0.25">
      <c r="G70" s="42"/>
      <c r="H70" s="115"/>
      <c r="I70" s="115"/>
      <c r="N70" s="46"/>
      <c r="O70" s="46"/>
      <c r="P70" s="46"/>
      <c r="Q70" s="46"/>
      <c r="R70" s="46"/>
      <c r="S70" s="46"/>
      <c r="T70" s="120"/>
      <c r="U70" s="120"/>
    </row>
    <row r="71" spans="1:22" x14ac:dyDescent="0.25">
      <c r="A71" s="423" t="s">
        <v>488</v>
      </c>
      <c r="D71" s="70"/>
      <c r="E71" s="44" t="s">
        <v>319</v>
      </c>
      <c r="F71" s="319">
        <f>'0664'!F71</f>
        <v>44665536</v>
      </c>
      <c r="G71" s="37" t="s">
        <v>6</v>
      </c>
      <c r="H71" s="457">
        <f>H66</f>
        <v>3.4099999999999999E-4</v>
      </c>
      <c r="I71" s="102">
        <f>ROUND(F71*H71,2)</f>
        <v>15230.95</v>
      </c>
      <c r="N71" s="52" t="s">
        <v>488</v>
      </c>
      <c r="O71" s="52"/>
      <c r="P71" s="52"/>
      <c r="Q71" s="45"/>
      <c r="R71" s="453">
        <f>F71</f>
        <v>44665536</v>
      </c>
      <c r="S71" s="38" t="s">
        <v>6</v>
      </c>
      <c r="T71" s="455">
        <f>T66</f>
        <v>3.4099999999999999E-4</v>
      </c>
      <c r="U71" s="97">
        <f>ROUND(R71*T71,0)</f>
        <v>15231</v>
      </c>
    </row>
    <row r="72" spans="1:22" x14ac:dyDescent="0.25">
      <c r="A72" s="423"/>
      <c r="D72" s="70"/>
      <c r="E72" s="44"/>
      <c r="F72" s="319"/>
      <c r="G72" s="37"/>
      <c r="H72" s="457"/>
      <c r="I72" s="102"/>
      <c r="N72" s="52"/>
      <c r="O72" s="52"/>
      <c r="P72" s="52"/>
      <c r="Q72" s="45"/>
      <c r="R72" s="454"/>
      <c r="S72" s="38"/>
      <c r="T72" s="455"/>
      <c r="U72" s="104"/>
    </row>
    <row r="73" spans="1:22" x14ac:dyDescent="0.25">
      <c r="A73" s="598" t="s">
        <v>489</v>
      </c>
      <c r="B73" s="586"/>
      <c r="C73" s="586"/>
      <c r="D73" s="70"/>
      <c r="E73" s="44"/>
      <c r="F73" s="124"/>
      <c r="G73" s="37"/>
      <c r="H73" s="457"/>
      <c r="I73" s="102"/>
      <c r="N73" s="658" t="s">
        <v>490</v>
      </c>
      <c r="O73" s="635"/>
      <c r="P73" s="635"/>
      <c r="Q73" s="52"/>
      <c r="R73" s="454"/>
      <c r="S73" s="52"/>
      <c r="T73" s="38"/>
      <c r="U73" s="52"/>
    </row>
    <row r="74" spans="1:22" x14ac:dyDescent="0.25">
      <c r="A74" s="598" t="s">
        <v>110</v>
      </c>
      <c r="B74" s="586"/>
      <c r="C74" s="586"/>
      <c r="D74" s="70"/>
      <c r="E74" s="44" t="s">
        <v>3</v>
      </c>
      <c r="F74" s="319">
        <f>'0664'!F74</f>
        <v>0</v>
      </c>
      <c r="G74" s="37" t="s">
        <v>6</v>
      </c>
      <c r="H74" s="457">
        <f>H57</f>
        <v>3.4000000000000002E-4</v>
      </c>
      <c r="I74" s="102">
        <f>ROUND(F74*H74,2)</f>
        <v>0</v>
      </c>
      <c r="N74" s="670" t="s">
        <v>110</v>
      </c>
      <c r="O74" s="635"/>
      <c r="P74" s="635"/>
      <c r="Q74" s="45"/>
      <c r="R74" s="453">
        <f>F74</f>
        <v>0</v>
      </c>
      <c r="S74" s="38" t="s">
        <v>6</v>
      </c>
      <c r="T74" s="455">
        <f>T57</f>
        <v>3.4000000000000002E-4</v>
      </c>
      <c r="U74" s="97">
        <f>ROUND(R74*T74,0)</f>
        <v>0</v>
      </c>
    </row>
    <row r="75" spans="1:22" x14ac:dyDescent="0.25">
      <c r="A75" s="471"/>
      <c r="B75" s="70"/>
      <c r="C75" s="70"/>
      <c r="D75" s="70"/>
      <c r="E75" s="44"/>
      <c r="F75" s="319"/>
      <c r="G75" s="37"/>
      <c r="H75" s="457"/>
      <c r="I75" s="102"/>
      <c r="N75" s="474"/>
      <c r="O75" s="46"/>
      <c r="P75" s="46"/>
      <c r="Q75" s="45"/>
      <c r="R75" s="453"/>
      <c r="S75" s="38"/>
      <c r="T75" s="455"/>
      <c r="U75" s="97"/>
    </row>
    <row r="76" spans="1:22" x14ac:dyDescent="0.25">
      <c r="A76" s="423" t="s">
        <v>491</v>
      </c>
      <c r="D76" s="70"/>
      <c r="E76" s="44" t="s">
        <v>492</v>
      </c>
      <c r="F76" s="319">
        <f>'0664'!F76</f>
        <v>16167052</v>
      </c>
      <c r="G76" s="37" t="s">
        <v>6</v>
      </c>
      <c r="H76" s="457">
        <f>H69</f>
        <v>3.7100000000000002E-4</v>
      </c>
      <c r="I76" s="102">
        <f>ROUND(F76*H76,2)</f>
        <v>5997.98</v>
      </c>
      <c r="N76" s="431" t="s">
        <v>491</v>
      </c>
      <c r="O76" s="52"/>
      <c r="P76" s="52"/>
      <c r="Q76" s="45"/>
      <c r="R76" s="453">
        <f>F76</f>
        <v>16167052</v>
      </c>
      <c r="S76" s="38" t="s">
        <v>6</v>
      </c>
      <c r="T76" s="455">
        <f>T69</f>
        <v>3.7100000000000002E-4</v>
      </c>
      <c r="U76" s="97">
        <f>ROUND(R76*T76,0)</f>
        <v>5998</v>
      </c>
    </row>
    <row r="77" spans="1:22" x14ac:dyDescent="0.25">
      <c r="A77" s="423"/>
      <c r="D77" s="70"/>
      <c r="E77" s="44"/>
      <c r="F77" s="319"/>
      <c r="G77" s="37"/>
      <c r="H77" s="457"/>
      <c r="I77" s="102"/>
      <c r="N77" s="431"/>
      <c r="O77" s="52"/>
      <c r="P77" s="52"/>
      <c r="Q77" s="45"/>
      <c r="R77" s="453"/>
      <c r="S77" s="38"/>
      <c r="T77" s="455"/>
      <c r="U77" s="97"/>
    </row>
    <row r="78" spans="1:22" x14ac:dyDescent="0.25">
      <c r="A78" s="82" t="s">
        <v>493</v>
      </c>
      <c r="D78" s="70"/>
      <c r="E78" s="44" t="s">
        <v>3</v>
      </c>
      <c r="F78" s="319">
        <f>'0664'!F78</f>
        <v>10040099</v>
      </c>
      <c r="G78" s="37" t="s">
        <v>6</v>
      </c>
      <c r="H78" s="457">
        <f>H63</f>
        <v>3.6999999999999999E-4</v>
      </c>
      <c r="I78" s="102">
        <f t="shared" ref="I78:I87" si="10">ROUND(F78*H78,2)</f>
        <v>3714.84</v>
      </c>
      <c r="N78" s="406" t="s">
        <v>493</v>
      </c>
      <c r="O78" s="52"/>
      <c r="P78" s="52"/>
      <c r="Q78" s="45"/>
      <c r="R78" s="453">
        <f t="shared" ref="R78:R87" si="11">F78</f>
        <v>10040099</v>
      </c>
      <c r="S78" s="38" t="s">
        <v>6</v>
      </c>
      <c r="T78" s="455">
        <f>T63</f>
        <v>3.6999999999999999E-4</v>
      </c>
      <c r="U78" s="97">
        <f t="shared" ref="U78:U87" si="12">ROUND(R78*T78,0)</f>
        <v>3715</v>
      </c>
    </row>
    <row r="79" spans="1:22" x14ac:dyDescent="0.25">
      <c r="A79" s="82"/>
      <c r="D79" s="70"/>
      <c r="E79" s="44"/>
      <c r="F79" s="319"/>
      <c r="G79" s="37"/>
      <c r="H79" s="457"/>
      <c r="I79" s="102"/>
      <c r="N79" s="406"/>
      <c r="O79" s="52"/>
      <c r="P79" s="52"/>
      <c r="Q79" s="45"/>
      <c r="R79" s="454"/>
      <c r="S79" s="38"/>
      <c r="T79" s="455"/>
      <c r="U79" s="104"/>
    </row>
    <row r="80" spans="1:22" x14ac:dyDescent="0.25">
      <c r="A80" s="82" t="s">
        <v>494</v>
      </c>
      <c r="D80" s="70"/>
      <c r="E80" s="44" t="s">
        <v>495</v>
      </c>
      <c r="F80" s="124"/>
      <c r="G80" s="37"/>
      <c r="H80" s="121"/>
      <c r="I80" s="102"/>
      <c r="N80" s="406" t="s">
        <v>494</v>
      </c>
      <c r="O80" s="52"/>
      <c r="P80" s="52"/>
      <c r="Q80" s="46"/>
      <c r="R80" s="443"/>
      <c r="S80" s="38"/>
      <c r="T80" s="122"/>
      <c r="U80" s="426"/>
    </row>
    <row r="81" spans="1:21" x14ac:dyDescent="0.25">
      <c r="A81" s="82"/>
      <c r="B81" s="82" t="s">
        <v>496</v>
      </c>
      <c r="D81" s="70"/>
      <c r="E81" s="44"/>
      <c r="F81" s="117">
        <f>E15+E17+E19</f>
        <v>45.44</v>
      </c>
      <c r="G81" s="37"/>
      <c r="H81" s="121"/>
      <c r="I81" s="102"/>
      <c r="N81" s="406"/>
      <c r="O81" s="406" t="s">
        <v>496</v>
      </c>
      <c r="P81" s="52"/>
      <c r="Q81" s="46"/>
      <c r="R81" s="426">
        <f>IF($H$121=1,F81,0)</f>
        <v>45.44</v>
      </c>
      <c r="S81" s="38"/>
      <c r="T81" s="122"/>
      <c r="U81" s="426"/>
    </row>
    <row r="82" spans="1:21" x14ac:dyDescent="0.25">
      <c r="A82" s="82"/>
      <c r="B82" s="82" t="s">
        <v>498</v>
      </c>
      <c r="D82" s="70"/>
      <c r="E82" s="44"/>
      <c r="F82" s="445">
        <v>0</v>
      </c>
      <c r="G82" s="37"/>
      <c r="H82" s="447" t="s">
        <v>499</v>
      </c>
      <c r="I82" s="102"/>
      <c r="N82" s="406"/>
      <c r="O82" s="406" t="s">
        <v>498</v>
      </c>
      <c r="P82" s="52"/>
      <c r="Q82" s="46"/>
      <c r="R82" s="451">
        <f>IF($H$121=1,F82,0)</f>
        <v>0</v>
      </c>
      <c r="S82" s="38"/>
      <c r="T82" s="452" t="s">
        <v>499</v>
      </c>
      <c r="U82" s="426"/>
    </row>
    <row r="83" spans="1:21" x14ac:dyDescent="0.25">
      <c r="A83" s="82"/>
      <c r="B83" s="82" t="s">
        <v>497</v>
      </c>
      <c r="D83" s="70"/>
      <c r="E83" s="44"/>
      <c r="F83" s="117">
        <f>F81-F82</f>
        <v>45.44</v>
      </c>
      <c r="G83" s="37" t="s">
        <v>6</v>
      </c>
      <c r="H83" s="448">
        <f>'0664'!H83</f>
        <v>1951.26</v>
      </c>
      <c r="I83" s="102">
        <f>ROUND(F83*H83,2)</f>
        <v>88665.25</v>
      </c>
      <c r="N83" s="406"/>
      <c r="O83" s="406" t="s">
        <v>497</v>
      </c>
      <c r="P83" s="52"/>
      <c r="Q83" s="46"/>
      <c r="R83" s="426">
        <f>R81-R82</f>
        <v>45.44</v>
      </c>
      <c r="S83" s="38" t="s">
        <v>6</v>
      </c>
      <c r="T83" s="456">
        <f>'0664'!T83</f>
        <v>1951.26</v>
      </c>
      <c r="U83" s="426">
        <f>ROUND(R83*T83,0)</f>
        <v>88665</v>
      </c>
    </row>
    <row r="84" spans="1:21" x14ac:dyDescent="0.25">
      <c r="A84" s="82"/>
      <c r="B84" s="82"/>
      <c r="D84" s="70"/>
      <c r="E84" s="44"/>
      <c r="F84" s="117"/>
      <c r="G84" s="37"/>
      <c r="H84" s="448"/>
      <c r="I84" s="102"/>
      <c r="N84" s="406"/>
      <c r="O84" s="406"/>
      <c r="P84" s="52"/>
      <c r="Q84" s="46"/>
      <c r="R84" s="426"/>
      <c r="S84" s="38"/>
      <c r="T84" s="456"/>
      <c r="U84" s="426"/>
    </row>
    <row r="85" spans="1:21" x14ac:dyDescent="0.25">
      <c r="A85" s="585" t="s">
        <v>500</v>
      </c>
      <c r="B85" s="586"/>
      <c r="C85" s="586"/>
      <c r="D85" s="70"/>
      <c r="E85" s="44" t="s">
        <v>4</v>
      </c>
      <c r="F85" s="319">
        <f>'0664'!F85</f>
        <v>234388431</v>
      </c>
      <c r="G85" s="37" t="s">
        <v>6</v>
      </c>
      <c r="H85" s="457">
        <f>H60</f>
        <v>5.8399999999999999E-4</v>
      </c>
      <c r="I85" s="102">
        <f t="shared" si="10"/>
        <v>136882.84</v>
      </c>
      <c r="N85" s="635" t="s">
        <v>500</v>
      </c>
      <c r="O85" s="635"/>
      <c r="P85" s="635"/>
      <c r="Q85" s="45"/>
      <c r="R85" s="453">
        <f t="shared" si="11"/>
        <v>234388431</v>
      </c>
      <c r="S85" s="38" t="s">
        <v>6</v>
      </c>
      <c r="T85" s="455">
        <f>T60</f>
        <v>3.0400000000000002E-4</v>
      </c>
      <c r="U85" s="97">
        <f t="shared" si="12"/>
        <v>71254</v>
      </c>
    </row>
    <row r="86" spans="1:21" x14ac:dyDescent="0.25">
      <c r="A86" s="82"/>
      <c r="B86" s="70"/>
      <c r="C86" s="70"/>
      <c r="D86" s="70"/>
      <c r="E86" s="44"/>
      <c r="F86" s="319"/>
      <c r="G86" s="37"/>
      <c r="H86" s="457"/>
      <c r="I86" s="102"/>
      <c r="N86" s="46"/>
      <c r="O86" s="46"/>
      <c r="P86" s="46"/>
      <c r="Q86" s="45"/>
      <c r="R86" s="453"/>
      <c r="S86" s="38"/>
      <c r="T86" s="455"/>
      <c r="U86" s="97"/>
    </row>
    <row r="87" spans="1:21" x14ac:dyDescent="0.25">
      <c r="A87" s="585" t="s">
        <v>501</v>
      </c>
      <c r="B87" s="586"/>
      <c r="C87" s="586"/>
      <c r="D87" s="70"/>
      <c r="E87" s="44" t="s">
        <v>4</v>
      </c>
      <c r="F87" s="319">
        <f>'0664'!F87</f>
        <v>0</v>
      </c>
      <c r="G87" s="37" t="s">
        <v>6</v>
      </c>
      <c r="H87" s="457">
        <f>H60</f>
        <v>5.8399999999999999E-4</v>
      </c>
      <c r="I87" s="102">
        <f t="shared" si="10"/>
        <v>0</v>
      </c>
      <c r="N87" s="658" t="s">
        <v>501</v>
      </c>
      <c r="O87" s="635"/>
      <c r="P87" s="635"/>
      <c r="Q87" s="45"/>
      <c r="R87" s="453">
        <f t="shared" si="11"/>
        <v>0</v>
      </c>
      <c r="S87" s="38" t="s">
        <v>6</v>
      </c>
      <c r="T87" s="455">
        <f>T60</f>
        <v>3.0400000000000002E-4</v>
      </c>
      <c r="U87" s="97">
        <f t="shared" si="12"/>
        <v>0</v>
      </c>
    </row>
    <row r="88" spans="1:21" x14ac:dyDescent="0.25">
      <c r="A88" s="82"/>
      <c r="B88" s="70"/>
      <c r="C88" s="70"/>
      <c r="D88" s="70"/>
      <c r="E88" s="44"/>
      <c r="F88" s="319"/>
      <c r="G88" s="37"/>
      <c r="H88" s="457"/>
      <c r="I88" s="102"/>
      <c r="N88" s="406"/>
      <c r="O88" s="46"/>
      <c r="P88" s="46"/>
      <c r="Q88" s="45"/>
      <c r="R88" s="454"/>
      <c r="S88" s="38"/>
      <c r="T88" s="455"/>
      <c r="U88" s="104"/>
    </row>
    <row r="89" spans="1:21" x14ac:dyDescent="0.25">
      <c r="A89" s="423" t="s">
        <v>502</v>
      </c>
      <c r="N89" s="431" t="s">
        <v>502</v>
      </c>
      <c r="O89" s="52"/>
      <c r="P89" s="52"/>
      <c r="Q89" s="52"/>
      <c r="R89" s="52"/>
      <c r="S89" s="52"/>
      <c r="T89" s="52"/>
      <c r="U89" s="52"/>
    </row>
    <row r="90" spans="1:21" x14ac:dyDescent="0.25">
      <c r="B90" s="70"/>
      <c r="C90" s="591" t="s">
        <v>62</v>
      </c>
      <c r="D90" s="591"/>
      <c r="E90" s="70"/>
      <c r="F90" s="39" t="s">
        <v>28</v>
      </c>
      <c r="G90" s="70"/>
      <c r="H90" s="70"/>
      <c r="I90" s="70"/>
      <c r="N90" s="46"/>
      <c r="O90" s="46"/>
      <c r="P90" s="46"/>
      <c r="Q90" s="46"/>
      <c r="R90" s="46"/>
      <c r="S90" s="46"/>
      <c r="T90" s="46"/>
      <c r="U90" s="46"/>
    </row>
    <row r="91" spans="1:21" x14ac:dyDescent="0.25">
      <c r="A91" s="3"/>
      <c r="B91" s="125"/>
      <c r="C91" s="592" t="s">
        <v>113</v>
      </c>
      <c r="D91" s="592"/>
      <c r="E91" s="458" t="s">
        <v>504</v>
      </c>
      <c r="F91" s="127" t="s">
        <v>118</v>
      </c>
      <c r="G91" s="128"/>
      <c r="H91" s="128"/>
      <c r="I91" s="128"/>
      <c r="N91" s="659" t="s">
        <v>35</v>
      </c>
      <c r="O91" s="659"/>
      <c r="P91" s="685" t="s">
        <v>506</v>
      </c>
      <c r="Q91" s="661"/>
      <c r="R91" s="662" t="s">
        <v>31</v>
      </c>
      <c r="S91" s="662"/>
      <c r="T91" s="662"/>
      <c r="U91" s="662"/>
    </row>
    <row r="92" spans="1:21" x14ac:dyDescent="0.25">
      <c r="A92" s="26"/>
      <c r="B92" s="53" t="s">
        <v>117</v>
      </c>
      <c r="C92" s="597">
        <f>H14+H15+H20+H23+H26</f>
        <v>0</v>
      </c>
      <c r="D92" s="597"/>
      <c r="E92" s="47">
        <f>H8</f>
        <v>1.0442</v>
      </c>
      <c r="F92" s="320">
        <f>'0664'!F92</f>
        <v>947.59</v>
      </c>
      <c r="G92" s="39" t="s">
        <v>12</v>
      </c>
      <c r="H92" s="102">
        <f>ROUND(C92*E92*F92,2)</f>
        <v>0</v>
      </c>
      <c r="I92" s="105"/>
      <c r="N92" s="28" t="s">
        <v>17</v>
      </c>
      <c r="O92" s="48">
        <f>T14+T15+T20+T23+T26</f>
        <v>0</v>
      </c>
      <c r="P92" s="673">
        <f>T8</f>
        <v>1.0442</v>
      </c>
      <c r="Q92" s="673"/>
      <c r="R92" s="49">
        <f>F92</f>
        <v>947.59</v>
      </c>
      <c r="S92" s="40" t="s">
        <v>12</v>
      </c>
      <c r="T92" s="123">
        <f>ROUND(O92*P92*R92,0)</f>
        <v>0</v>
      </c>
      <c r="U92" s="103"/>
    </row>
    <row r="93" spans="1:21" x14ac:dyDescent="0.25">
      <c r="A93" s="50"/>
      <c r="B93" s="50" t="s">
        <v>116</v>
      </c>
      <c r="C93" s="597">
        <f>H16+H17+H21+H24+H27</f>
        <v>0</v>
      </c>
      <c r="D93" s="597"/>
      <c r="E93" s="47">
        <f>H8</f>
        <v>1.0442</v>
      </c>
      <c r="F93" s="320">
        <f>'0664'!F93</f>
        <v>904.74</v>
      </c>
      <c r="G93" s="39" t="s">
        <v>12</v>
      </c>
      <c r="H93" s="102">
        <f>ROUND(C93*E93*F93,2)</f>
        <v>0</v>
      </c>
      <c r="N93" s="51" t="s">
        <v>13</v>
      </c>
      <c r="O93" s="48">
        <f>T16+T17+T21+T24+T27</f>
        <v>0</v>
      </c>
      <c r="P93" s="673">
        <f>T8</f>
        <v>1.0442</v>
      </c>
      <c r="Q93" s="673"/>
      <c r="R93" s="49">
        <f>F93</f>
        <v>904.74</v>
      </c>
      <c r="S93" s="40" t="s">
        <v>12</v>
      </c>
      <c r="T93" s="123">
        <f>ROUND(O93*P93*R93,0)</f>
        <v>0</v>
      </c>
      <c r="U93" s="52"/>
    </row>
    <row r="94" spans="1:21" ht="16.5" thickBot="1" x14ac:dyDescent="0.3">
      <c r="A94" s="53"/>
      <c r="B94" s="53" t="s">
        <v>115</v>
      </c>
      <c r="C94" s="597">
        <f>H18+H19+H22+H25+H28+H29</f>
        <v>132.8381</v>
      </c>
      <c r="D94" s="597"/>
      <c r="E94" s="47">
        <f>H8</f>
        <v>1.0442</v>
      </c>
      <c r="F94" s="320">
        <f>'0664'!F94</f>
        <v>906.93</v>
      </c>
      <c r="G94" s="39" t="s">
        <v>12</v>
      </c>
      <c r="H94" s="95">
        <f>ROUND(C94*E94*F94,2)</f>
        <v>125799.85</v>
      </c>
      <c r="N94" s="54" t="s">
        <v>14</v>
      </c>
      <c r="O94" s="55">
        <f>T18+T19+T22+T25+T28+T29</f>
        <v>69.17</v>
      </c>
      <c r="P94" s="673">
        <f>T8</f>
        <v>1.0442</v>
      </c>
      <c r="Q94" s="673"/>
      <c r="R94" s="49">
        <f>F94</f>
        <v>906.93</v>
      </c>
      <c r="S94" s="40" t="s">
        <v>12</v>
      </c>
      <c r="T94" s="123">
        <f>ROUND(O94*P94*R94,0)</f>
        <v>65505</v>
      </c>
      <c r="U94" s="52"/>
    </row>
    <row r="95" spans="1:21" ht="16.5" thickBot="1" x14ac:dyDescent="0.3">
      <c r="A95" s="56"/>
      <c r="B95" s="129" t="s">
        <v>114</v>
      </c>
      <c r="C95" s="601">
        <f>SUM(C92:C94)</f>
        <v>132.8381</v>
      </c>
      <c r="D95" s="601"/>
      <c r="E95" s="130"/>
      <c r="F95" s="130"/>
      <c r="G95" s="130"/>
      <c r="H95" s="131" t="s">
        <v>112</v>
      </c>
      <c r="I95" s="102">
        <f>IF(A1=75,0,H94+H93+H92)</f>
        <v>125799.85</v>
      </c>
      <c r="N95" s="57" t="s">
        <v>95</v>
      </c>
      <c r="O95" s="58">
        <f>SUM(O92:O94)</f>
        <v>69.17</v>
      </c>
      <c r="P95" s="674" t="s">
        <v>16</v>
      </c>
      <c r="Q95" s="675"/>
      <c r="R95" s="675"/>
      <c r="S95" s="675"/>
      <c r="T95" s="675"/>
      <c r="U95" s="97">
        <f>IF(N1=75,0,T94+T93+T92)</f>
        <v>65505</v>
      </c>
    </row>
    <row r="96" spans="1:21" ht="16.5" thickTop="1" x14ac:dyDescent="0.25">
      <c r="A96" s="594" t="s">
        <v>68</v>
      </c>
      <c r="B96" s="594"/>
      <c r="C96" s="594"/>
      <c r="D96" s="594"/>
      <c r="E96" s="594"/>
      <c r="F96" s="594"/>
      <c r="G96" s="594"/>
      <c r="H96" s="594"/>
      <c r="I96" s="594"/>
      <c r="N96" s="676" t="s">
        <v>68</v>
      </c>
      <c r="O96" s="676"/>
      <c r="P96" s="676"/>
      <c r="Q96" s="676"/>
      <c r="R96" s="676"/>
      <c r="S96" s="676"/>
      <c r="T96" s="676"/>
      <c r="U96" s="676"/>
    </row>
    <row r="97" spans="1:21" x14ac:dyDescent="0.25">
      <c r="A97" s="472"/>
      <c r="B97" s="472"/>
      <c r="C97" s="472"/>
      <c r="D97" s="472"/>
      <c r="E97" s="472"/>
      <c r="F97" s="472"/>
      <c r="G97" s="472"/>
      <c r="H97" s="472"/>
      <c r="I97" s="472"/>
      <c r="N97" s="473"/>
      <c r="O97" s="473"/>
      <c r="P97" s="473"/>
      <c r="Q97" s="473"/>
      <c r="R97" s="473"/>
      <c r="S97" s="473"/>
      <c r="T97" s="473"/>
      <c r="U97" s="473"/>
    </row>
    <row r="98" spans="1:21" x14ac:dyDescent="0.25">
      <c r="A98" s="82" t="s">
        <v>507</v>
      </c>
      <c r="C98" s="8"/>
      <c r="D98" s="8"/>
      <c r="E98" s="44" t="s">
        <v>32</v>
      </c>
      <c r="F98" s="595"/>
      <c r="G98" s="595"/>
      <c r="H98" s="595"/>
      <c r="I98" s="595"/>
      <c r="N98" s="658" t="s">
        <v>381</v>
      </c>
      <c r="O98" s="635"/>
      <c r="P98" s="635"/>
      <c r="Q98" s="677"/>
      <c r="R98" s="677"/>
      <c r="S98" s="677"/>
      <c r="T98" s="677"/>
      <c r="U98" s="104"/>
    </row>
    <row r="99" spans="1:21" x14ac:dyDescent="0.25">
      <c r="B99" s="70"/>
      <c r="C99" s="89" t="s">
        <v>412</v>
      </c>
      <c r="D99" s="351" t="s">
        <v>413</v>
      </c>
      <c r="E99" s="90" t="s">
        <v>120</v>
      </c>
      <c r="F99" s="44"/>
      <c r="G99" s="44"/>
      <c r="H99" s="44"/>
      <c r="I99" s="44"/>
      <c r="N99" s="46"/>
      <c r="O99" s="46"/>
      <c r="P99" s="46"/>
      <c r="Q99" s="133"/>
      <c r="R99" s="133"/>
      <c r="S99" s="133"/>
      <c r="T99" s="133"/>
      <c r="U99" s="104"/>
    </row>
    <row r="100" spans="1:21" x14ac:dyDescent="0.25">
      <c r="B100" s="70"/>
      <c r="C100" s="342" t="s">
        <v>2</v>
      </c>
      <c r="D100" s="342" t="s">
        <v>2</v>
      </c>
      <c r="E100" s="342" t="s">
        <v>2</v>
      </c>
      <c r="F100" s="44"/>
      <c r="G100" s="44"/>
      <c r="H100" s="44"/>
      <c r="I100" s="44"/>
      <c r="N100" s="46"/>
      <c r="O100" s="46"/>
      <c r="P100" s="46"/>
      <c r="Q100" s="133"/>
      <c r="R100" s="133"/>
      <c r="S100" s="133"/>
      <c r="T100" s="133"/>
      <c r="U100" s="104"/>
    </row>
    <row r="101" spans="1:21" x14ac:dyDescent="0.25">
      <c r="A101" s="590" t="s">
        <v>435</v>
      </c>
      <c r="B101" s="596"/>
      <c r="C101" s="151">
        <v>35</v>
      </c>
      <c r="D101" s="151">
        <v>36</v>
      </c>
      <c r="E101" s="117">
        <f>(C101+D101)/2</f>
        <v>35.5</v>
      </c>
      <c r="F101" s="134" t="s">
        <v>30</v>
      </c>
      <c r="G101" s="321">
        <f>'0664'!G101</f>
        <v>565</v>
      </c>
      <c r="I101" s="102">
        <f>ROUND(G101*E101,2)</f>
        <v>20057.5</v>
      </c>
      <c r="N101" s="684" t="s">
        <v>54</v>
      </c>
      <c r="O101" s="684"/>
      <c r="P101" s="672">
        <f>IF(H121=1,E101,0)</f>
        <v>35.5</v>
      </c>
      <c r="Q101" s="672"/>
      <c r="R101" s="672"/>
      <c r="S101" s="84" t="s">
        <v>30</v>
      </c>
      <c r="T101" s="59">
        <f>G101</f>
        <v>565</v>
      </c>
      <c r="U101" s="97">
        <f>ROUND(T101*P101,0)</f>
        <v>20058</v>
      </c>
    </row>
    <row r="102" spans="1:21" x14ac:dyDescent="0.25">
      <c r="A102" s="590" t="s">
        <v>436</v>
      </c>
      <c r="B102" s="596"/>
      <c r="C102" s="151">
        <v>0</v>
      </c>
      <c r="D102" s="151">
        <v>0</v>
      </c>
      <c r="E102" s="117">
        <f>(C102+D102)/2</f>
        <v>0</v>
      </c>
      <c r="F102" s="134" t="s">
        <v>30</v>
      </c>
      <c r="G102" s="321">
        <f>'0664'!G102</f>
        <v>1762</v>
      </c>
      <c r="I102" s="102">
        <f>ROUND(G102*E102,2)</f>
        <v>0</v>
      </c>
      <c r="N102" s="684" t="s">
        <v>66</v>
      </c>
      <c r="O102" s="684"/>
      <c r="P102" s="650"/>
      <c r="Q102" s="650"/>
      <c r="R102" s="650"/>
      <c r="S102" s="84" t="s">
        <v>30</v>
      </c>
      <c r="T102" s="59">
        <f>G102</f>
        <v>1762</v>
      </c>
      <c r="U102" s="97">
        <f>ROUND(T102*P102,0)</f>
        <v>0</v>
      </c>
    </row>
    <row r="103" spans="1:21" x14ac:dyDescent="0.25">
      <c r="A103" s="135"/>
      <c r="B103" s="135"/>
      <c r="C103" s="66"/>
      <c r="D103" s="66"/>
      <c r="E103" s="66"/>
      <c r="F103" s="66"/>
      <c r="G103" s="136"/>
      <c r="H103" s="137"/>
      <c r="I103" s="102"/>
      <c r="N103" s="138"/>
      <c r="O103" s="138"/>
      <c r="P103" s="139"/>
      <c r="Q103" s="139"/>
      <c r="R103" s="139"/>
      <c r="S103" s="84"/>
      <c r="T103" s="59"/>
      <c r="U103" s="104"/>
    </row>
    <row r="104" spans="1:21" hidden="1" x14ac:dyDescent="0.25">
      <c r="A104" s="135"/>
      <c r="B104" s="135"/>
      <c r="C104" s="66"/>
      <c r="D104" s="66"/>
      <c r="E104" s="66"/>
      <c r="F104" s="66"/>
      <c r="G104" s="136"/>
      <c r="H104" s="137"/>
      <c r="I104" s="102"/>
      <c r="N104" s="138"/>
      <c r="O104" s="138"/>
      <c r="P104" s="139"/>
      <c r="Q104" s="139"/>
      <c r="R104" s="139"/>
      <c r="S104" s="84"/>
      <c r="T104" s="59"/>
      <c r="U104" s="104"/>
    </row>
    <row r="105" spans="1:21" hidden="1" x14ac:dyDescent="0.25">
      <c r="A105" s="585" t="s">
        <v>508</v>
      </c>
      <c r="B105" s="586"/>
      <c r="C105" s="586"/>
      <c r="D105" s="70"/>
      <c r="E105" s="39" t="s">
        <v>320</v>
      </c>
      <c r="F105" s="591"/>
      <c r="G105" s="591"/>
      <c r="H105" s="591"/>
      <c r="I105" s="591"/>
      <c r="N105" s="658" t="s">
        <v>509</v>
      </c>
      <c r="O105" s="635"/>
      <c r="P105" s="635"/>
      <c r="Q105" s="635"/>
      <c r="R105" s="635"/>
      <c r="S105" s="635"/>
      <c r="T105" s="635"/>
      <c r="U105" s="635"/>
    </row>
    <row r="106" spans="1:21" hidden="1" x14ac:dyDescent="0.25">
      <c r="B106" s="70"/>
      <c r="C106" s="592" t="s">
        <v>69</v>
      </c>
      <c r="D106" s="592"/>
      <c r="E106" s="592"/>
      <c r="F106" s="37"/>
      <c r="G106" s="37"/>
      <c r="H106" s="39" t="s">
        <v>121</v>
      </c>
      <c r="I106" s="37"/>
      <c r="N106" s="46"/>
      <c r="O106" s="46"/>
      <c r="P106" s="46"/>
      <c r="Q106" s="46"/>
      <c r="R106" s="46"/>
      <c r="S106" s="46"/>
      <c r="T106" s="46"/>
      <c r="U106" s="46"/>
    </row>
    <row r="107" spans="1:21" hidden="1" x14ac:dyDescent="0.25">
      <c r="B107" s="70"/>
      <c r="C107" s="89" t="s">
        <v>334</v>
      </c>
      <c r="D107" s="89" t="s">
        <v>317</v>
      </c>
      <c r="E107" s="145" t="s">
        <v>8</v>
      </c>
      <c r="F107" s="593" t="s">
        <v>122</v>
      </c>
      <c r="G107" s="591"/>
      <c r="H107" s="37" t="s">
        <v>29</v>
      </c>
      <c r="I107" s="37"/>
      <c r="N107" s="46"/>
      <c r="O107" s="46"/>
      <c r="P107" s="46"/>
      <c r="Q107" s="46"/>
      <c r="R107" s="46"/>
      <c r="S107" s="46"/>
      <c r="T107" s="46"/>
      <c r="U107" s="46"/>
    </row>
    <row r="108" spans="1:21" hidden="1" x14ac:dyDescent="0.25">
      <c r="A108" s="592" t="s">
        <v>72</v>
      </c>
      <c r="B108" s="592"/>
      <c r="C108" s="91" t="s">
        <v>2</v>
      </c>
      <c r="D108" s="91" t="s">
        <v>2</v>
      </c>
      <c r="E108" s="60" t="s">
        <v>2</v>
      </c>
      <c r="F108" s="592" t="s">
        <v>28</v>
      </c>
      <c r="G108" s="592"/>
      <c r="H108" s="60" t="s">
        <v>28</v>
      </c>
      <c r="I108" s="60" t="s">
        <v>8</v>
      </c>
      <c r="N108" s="671" t="s">
        <v>55</v>
      </c>
      <c r="O108" s="671"/>
      <c r="P108" s="672" t="s">
        <v>69</v>
      </c>
      <c r="Q108" s="672"/>
      <c r="R108" s="671" t="s">
        <v>56</v>
      </c>
      <c r="S108" s="671"/>
      <c r="T108" s="61" t="s">
        <v>57</v>
      </c>
      <c r="U108" s="61" t="s">
        <v>8</v>
      </c>
    </row>
    <row r="109" spans="1:21" hidden="1" x14ac:dyDescent="0.25">
      <c r="A109" s="599" t="s">
        <v>58</v>
      </c>
      <c r="B109" s="599"/>
      <c r="C109" s="149">
        <v>0</v>
      </c>
      <c r="D109" s="149">
        <v>0</v>
      </c>
      <c r="E109" s="196">
        <f>IF(D30=0,C109*2,C109+D109)</f>
        <v>0</v>
      </c>
      <c r="F109" s="600">
        <v>0</v>
      </c>
      <c r="G109" s="600"/>
      <c r="H109" s="234">
        <f>IF(C109=0,0,125)</f>
        <v>0</v>
      </c>
      <c r="I109" s="102">
        <f>ROUND((H109+F109)*E109,2)</f>
        <v>0</v>
      </c>
      <c r="N109" s="635" t="s">
        <v>58</v>
      </c>
      <c r="O109" s="635"/>
      <c r="P109" s="650">
        <f>IF(H$121=1,C109,0)</f>
        <v>0</v>
      </c>
      <c r="Q109" s="650"/>
      <c r="R109" s="682">
        <f>F109</f>
        <v>0</v>
      </c>
      <c r="S109" s="682"/>
      <c r="T109" s="63">
        <f>H109</f>
        <v>0</v>
      </c>
      <c r="U109" s="97">
        <f>ROUND((T109+R109)*P109,0)</f>
        <v>0</v>
      </c>
    </row>
    <row r="110" spans="1:21" hidden="1" x14ac:dyDescent="0.25">
      <c r="A110" s="587" t="s">
        <v>59</v>
      </c>
      <c r="B110" s="587"/>
      <c r="C110" s="151">
        <v>0</v>
      </c>
      <c r="D110" s="151">
        <v>0</v>
      </c>
      <c r="E110" s="117">
        <f>IF(D31=0,C110*2,C110+D110)</f>
        <v>0</v>
      </c>
      <c r="F110" s="588">
        <f>ROUND(F109/2,2)</f>
        <v>0</v>
      </c>
      <c r="G110" s="588"/>
      <c r="H110" s="234">
        <f>IF(C110=0,0,62.5)</f>
        <v>0</v>
      </c>
      <c r="I110" s="102">
        <f>ROUND((H110+F110)*E110,2)</f>
        <v>0</v>
      </c>
      <c r="N110" s="635" t="s">
        <v>59</v>
      </c>
      <c r="O110" s="635"/>
      <c r="P110" s="650">
        <f>IF(H$121=1,C110,0)</f>
        <v>0</v>
      </c>
      <c r="Q110" s="650"/>
      <c r="R110" s="683">
        <f>ROUND(R109/2,2)</f>
        <v>0</v>
      </c>
      <c r="S110" s="683"/>
      <c r="T110" s="63">
        <f>H110</f>
        <v>0</v>
      </c>
      <c r="U110" s="97">
        <f>ROUND((T110+R110)*P110,0)</f>
        <v>0</v>
      </c>
    </row>
    <row r="111" spans="1:21" ht="16.5" hidden="1" thickBot="1" x14ac:dyDescent="0.3">
      <c r="A111" s="587" t="s">
        <v>60</v>
      </c>
      <c r="B111" s="587"/>
      <c r="C111" s="151">
        <v>0</v>
      </c>
      <c r="D111" s="151">
        <v>0</v>
      </c>
      <c r="E111" s="117">
        <f>IF(D32=0,C111*2,C111+D111)</f>
        <v>0</v>
      </c>
      <c r="F111" s="589"/>
      <c r="G111" s="589"/>
      <c r="H111" s="235">
        <f>IF(H109&gt;0,436,0)</f>
        <v>0</v>
      </c>
      <c r="I111" s="102">
        <f>ROUND(H111*E111,2)</f>
        <v>0</v>
      </c>
      <c r="N111" s="652" t="s">
        <v>60</v>
      </c>
      <c r="O111" s="652"/>
      <c r="P111" s="650">
        <f>IF(H$121=1,C111,0)</f>
        <v>0</v>
      </c>
      <c r="Q111" s="650"/>
      <c r="R111" s="671"/>
      <c r="S111" s="671"/>
      <c r="T111" s="65">
        <f>H111</f>
        <v>0</v>
      </c>
      <c r="U111" s="104">
        <f>ROUND(T111*P111,0)</f>
        <v>0</v>
      </c>
    </row>
    <row r="112" spans="1:21" ht="16.5" hidden="1" thickBot="1" x14ac:dyDescent="0.3">
      <c r="A112" s="591" t="s">
        <v>8</v>
      </c>
      <c r="B112" s="591"/>
      <c r="C112" s="66"/>
      <c r="D112" s="66"/>
      <c r="E112" s="66"/>
      <c r="F112" s="66"/>
      <c r="G112" s="66"/>
      <c r="H112" s="66"/>
      <c r="I112" s="98">
        <f>SUM(I109:I111)</f>
        <v>0</v>
      </c>
      <c r="N112" s="629" t="s">
        <v>8</v>
      </c>
      <c r="O112" s="629"/>
      <c r="P112" s="67"/>
      <c r="Q112" s="67"/>
      <c r="R112" s="67"/>
      <c r="S112" s="67"/>
      <c r="T112" s="67"/>
      <c r="U112" s="68">
        <f>SUM(U109:U111)</f>
        <v>0</v>
      </c>
    </row>
    <row r="113" spans="1:21" hidden="1" x14ac:dyDescent="0.25">
      <c r="A113" s="37"/>
      <c r="B113" s="37"/>
      <c r="C113" s="66"/>
      <c r="D113" s="66"/>
      <c r="E113" s="66"/>
      <c r="F113" s="66"/>
      <c r="G113" s="66"/>
      <c r="H113" s="66"/>
      <c r="I113" s="102"/>
      <c r="N113" s="38"/>
      <c r="O113" s="38"/>
      <c r="P113" s="67"/>
      <c r="Q113" s="67"/>
      <c r="R113" s="67"/>
      <c r="S113" s="67"/>
      <c r="T113" s="67"/>
      <c r="U113" s="146"/>
    </row>
    <row r="114" spans="1:21" x14ac:dyDescent="0.25">
      <c r="A114" s="585" t="s">
        <v>510</v>
      </c>
      <c r="B114" s="586"/>
      <c r="C114" s="586"/>
      <c r="D114" s="70"/>
      <c r="E114" s="69" t="s">
        <v>34</v>
      </c>
      <c r="F114" s="583"/>
      <c r="G114" s="583"/>
      <c r="H114" s="583"/>
      <c r="I114" s="163">
        <v>0</v>
      </c>
      <c r="N114" s="658" t="s">
        <v>382</v>
      </c>
      <c r="O114" s="635"/>
      <c r="P114" s="635"/>
      <c r="Q114" s="323"/>
      <c r="R114" s="323"/>
      <c r="S114" s="323"/>
      <c r="T114" s="323"/>
      <c r="U114" s="97">
        <f>IF($H$121=1,I114,0)</f>
        <v>0</v>
      </c>
    </row>
    <row r="115" spans="1:21" ht="16.5" thickBot="1" x14ac:dyDescent="0.3">
      <c r="B115" s="70"/>
      <c r="C115" s="70"/>
      <c r="D115" s="70"/>
      <c r="E115" s="69"/>
      <c r="F115" s="69"/>
      <c r="G115" s="69"/>
      <c r="H115" s="69"/>
      <c r="I115" s="117"/>
      <c r="N115" s="680" t="s">
        <v>33</v>
      </c>
      <c r="O115" s="680"/>
      <c r="P115" s="680"/>
      <c r="Q115" s="680"/>
      <c r="R115" s="680"/>
      <c r="S115" s="680"/>
      <c r="T115" s="680"/>
      <c r="U115" s="140">
        <f>SUM(U30,U71,U74,U76,U78,U83,U85,U87,U95,U101,U102,U112,U114)</f>
        <v>641654.89</v>
      </c>
    </row>
    <row r="116" spans="1:21" ht="16.5" thickTop="1" x14ac:dyDescent="0.25">
      <c r="A116" s="584" t="s">
        <v>8</v>
      </c>
      <c r="B116" s="584"/>
      <c r="C116" s="584"/>
      <c r="D116" s="584"/>
      <c r="E116" s="584"/>
      <c r="F116" s="584"/>
      <c r="G116" s="584"/>
      <c r="H116" s="584"/>
      <c r="I116" s="95">
        <f>SUM(I30,I44,I53,I71,I74,I76,I78,I83,I85,I87,I95,I101,I102,I112,I114)</f>
        <v>1151555.5499999998</v>
      </c>
      <c r="N116" s="28"/>
      <c r="O116" s="28"/>
      <c r="P116" s="28"/>
      <c r="Q116" s="28"/>
      <c r="R116" s="28"/>
      <c r="S116" s="28"/>
      <c r="T116" s="28"/>
      <c r="U116" s="146"/>
    </row>
    <row r="117" spans="1:21" x14ac:dyDescent="0.25">
      <c r="A117" s="26"/>
      <c r="B117" s="26"/>
      <c r="C117" s="26"/>
      <c r="D117" s="26"/>
      <c r="E117" s="26"/>
      <c r="F117" s="26"/>
      <c r="G117" s="26"/>
      <c r="H117" s="26"/>
      <c r="I117" s="102"/>
      <c r="N117" s="28"/>
      <c r="O117" s="28"/>
      <c r="P117" s="28"/>
      <c r="Q117" s="28"/>
      <c r="R117" s="28"/>
      <c r="S117" s="28"/>
      <c r="T117" s="28"/>
      <c r="U117" s="146"/>
    </row>
    <row r="118" spans="1:21" x14ac:dyDescent="0.25">
      <c r="A118" s="82" t="s">
        <v>513</v>
      </c>
      <c r="B118" s="26"/>
      <c r="C118" s="26"/>
      <c r="D118" s="26"/>
      <c r="E118" s="26"/>
      <c r="F118" s="26"/>
      <c r="G118" s="26"/>
      <c r="H118" s="26"/>
      <c r="I118" s="102">
        <f>I116-I53</f>
        <v>1109278.8199999998</v>
      </c>
      <c r="N118" s="28"/>
      <c r="O118" s="28"/>
      <c r="P118" s="28"/>
      <c r="Q118" s="28"/>
      <c r="R118" s="28"/>
      <c r="S118" s="28"/>
      <c r="T118" s="28"/>
      <c r="U118" s="146"/>
    </row>
    <row r="119" spans="1:21" x14ac:dyDescent="0.25">
      <c r="A119" s="26"/>
      <c r="B119" s="26"/>
      <c r="C119" s="26"/>
      <c r="D119" s="26"/>
      <c r="E119" s="26"/>
      <c r="F119" s="26"/>
      <c r="G119" s="26"/>
      <c r="H119" s="26"/>
      <c r="I119" s="102"/>
      <c r="N119" s="28"/>
      <c r="O119" s="28"/>
      <c r="P119" s="28"/>
      <c r="Q119" s="28"/>
      <c r="R119" s="28"/>
      <c r="S119" s="28"/>
      <c r="T119" s="28"/>
      <c r="U119" s="146"/>
    </row>
    <row r="120" spans="1:21" x14ac:dyDescent="0.25">
      <c r="A120" s="585" t="s">
        <v>514</v>
      </c>
      <c r="B120" s="586"/>
      <c r="C120" s="586"/>
      <c r="D120" s="586"/>
      <c r="E120" s="586"/>
      <c r="F120" s="586"/>
      <c r="G120" s="586"/>
      <c r="H120" s="82" t="s">
        <v>355</v>
      </c>
      <c r="I120" s="142"/>
      <c r="N120" s="681"/>
      <c r="O120" s="681"/>
      <c r="P120" s="681"/>
      <c r="Q120" s="681"/>
      <c r="R120" s="681"/>
      <c r="S120" s="681"/>
      <c r="T120" s="681"/>
      <c r="U120" s="681"/>
    </row>
    <row r="121" spans="1:21" x14ac:dyDescent="0.25">
      <c r="A121" s="586" t="s">
        <v>73</v>
      </c>
      <c r="B121" s="586"/>
      <c r="C121" s="586"/>
      <c r="D121" s="586"/>
      <c r="E121" s="586"/>
      <c r="F121" s="586"/>
      <c r="G121" s="586"/>
      <c r="H121" s="71">
        <f>IF(E30=0,"",IF((E15+E17+SUM(E19:E25))/E30&gt;0.75,1,""))</f>
        <v>1</v>
      </c>
      <c r="I121" s="117">
        <f>U115</f>
        <v>641654.89</v>
      </c>
      <c r="N121" s="678" t="s">
        <v>7</v>
      </c>
      <c r="O121" s="678"/>
      <c r="P121" s="678"/>
      <c r="Q121" s="678"/>
      <c r="R121" s="678"/>
      <c r="S121" s="678"/>
      <c r="T121" s="678"/>
      <c r="U121" s="678"/>
    </row>
    <row r="122" spans="1:21" x14ac:dyDescent="0.25">
      <c r="B122" s="70"/>
      <c r="C122" s="70"/>
      <c r="D122" s="70"/>
      <c r="E122" s="70"/>
      <c r="F122" s="70"/>
      <c r="G122" s="70"/>
      <c r="H122" s="66"/>
      <c r="I122" s="102"/>
      <c r="N122" s="72" t="s">
        <v>83</v>
      </c>
      <c r="O122" s="72"/>
      <c r="P122" s="72"/>
      <c r="Q122" s="72"/>
      <c r="R122" s="72"/>
      <c r="S122" s="72"/>
      <c r="T122" s="72"/>
      <c r="U122" s="72"/>
    </row>
    <row r="123" spans="1:21" x14ac:dyDescent="0.25">
      <c r="A123" s="3" t="s">
        <v>79</v>
      </c>
      <c r="B123" s="70"/>
      <c r="C123" s="70"/>
      <c r="D123" s="70"/>
      <c r="E123" s="70"/>
      <c r="F123" s="70"/>
      <c r="G123" s="270"/>
      <c r="H123" s="147">
        <f>IF(H121=1,I121,I118)</f>
        <v>641654.89</v>
      </c>
      <c r="I123" s="95">
        <f>ROUND(IF(E30=0,0,IF(E30&gt;250,-(((250/E30)*H123)*IF(G123="H",0.02,0.05)),IF(G123="H",-0.02*H123,-0.05*H123))),2)</f>
        <v>-32082.74</v>
      </c>
      <c r="N123" s="73" t="s">
        <v>84</v>
      </c>
      <c r="O123" s="72"/>
      <c r="P123" s="72"/>
      <c r="Q123" s="72"/>
      <c r="R123" s="72"/>
      <c r="S123" s="72"/>
      <c r="T123" s="72"/>
      <c r="U123" s="72"/>
    </row>
    <row r="124" spans="1:21" x14ac:dyDescent="0.25">
      <c r="B124" s="70"/>
      <c r="C124" s="70"/>
      <c r="D124" s="70"/>
      <c r="E124" s="70"/>
      <c r="F124" s="70"/>
      <c r="G124" s="70"/>
      <c r="H124" s="66"/>
      <c r="I124" s="102"/>
      <c r="N124" s="74"/>
      <c r="O124" s="74"/>
      <c r="P124" s="74"/>
      <c r="Q124" s="74"/>
      <c r="R124" s="74"/>
      <c r="S124" s="74"/>
      <c r="T124" s="74"/>
      <c r="U124" s="74"/>
    </row>
    <row r="125" spans="1:21" x14ac:dyDescent="0.25">
      <c r="A125" s="327" t="s">
        <v>80</v>
      </c>
      <c r="B125" s="328"/>
      <c r="C125" s="328"/>
      <c r="D125" s="328"/>
      <c r="E125" s="328"/>
      <c r="F125" s="328"/>
      <c r="G125" s="328"/>
      <c r="H125" s="329"/>
      <c r="I125" s="330">
        <f>I116+I123</f>
        <v>1119472.8099999998</v>
      </c>
      <c r="N125" s="74"/>
      <c r="O125" s="74"/>
      <c r="P125" s="74"/>
      <c r="Q125" s="74"/>
      <c r="R125" s="74"/>
      <c r="S125" s="74"/>
      <c r="T125" s="74"/>
      <c r="U125" s="74"/>
    </row>
    <row r="126" spans="1:21" x14ac:dyDescent="0.25">
      <c r="B126" s="70"/>
      <c r="C126" s="70"/>
      <c r="D126" s="70"/>
      <c r="E126" s="70"/>
      <c r="F126" s="70"/>
      <c r="G126" s="70"/>
      <c r="H126" s="66"/>
      <c r="I126" s="102"/>
      <c r="N126" s="74"/>
      <c r="O126" s="74"/>
      <c r="P126" s="74"/>
      <c r="Q126" s="74"/>
      <c r="R126" s="74"/>
      <c r="S126" s="74"/>
      <c r="T126" s="74"/>
      <c r="U126" s="74"/>
    </row>
    <row r="127" spans="1:21" x14ac:dyDescent="0.25">
      <c r="A127" s="3" t="s">
        <v>81</v>
      </c>
      <c r="B127" s="70"/>
      <c r="C127" s="148"/>
      <c r="D127" s="70"/>
      <c r="F127" s="70"/>
      <c r="G127" s="70"/>
      <c r="H127" s="66"/>
      <c r="I127" s="286">
        <v>0</v>
      </c>
      <c r="N127" s="74"/>
      <c r="O127" s="74"/>
      <c r="P127" s="74"/>
      <c r="Q127" s="74"/>
      <c r="R127" s="74"/>
      <c r="S127" s="74"/>
      <c r="T127" s="74"/>
      <c r="U127" s="74"/>
    </row>
    <row r="128" spans="1:21" x14ac:dyDescent="0.25">
      <c r="B128" s="70"/>
      <c r="C128" s="70"/>
      <c r="D128" s="70"/>
      <c r="E128" s="70"/>
      <c r="F128" s="70"/>
      <c r="G128" s="70"/>
      <c r="H128" s="66"/>
      <c r="I128" s="102"/>
      <c r="N128" s="74"/>
      <c r="O128" s="74"/>
      <c r="P128" s="74"/>
      <c r="Q128" s="74"/>
      <c r="R128" s="74"/>
      <c r="S128" s="74"/>
      <c r="T128" s="74"/>
      <c r="U128" s="74"/>
    </row>
    <row r="129" spans="1:21" x14ac:dyDescent="0.25">
      <c r="A129" s="82" t="s">
        <v>265</v>
      </c>
      <c r="B129" s="70"/>
      <c r="C129" s="70"/>
      <c r="D129" s="70"/>
      <c r="E129" s="70"/>
      <c r="F129" s="70"/>
      <c r="G129" s="70"/>
      <c r="H129" s="66"/>
      <c r="I129" s="102">
        <f>I125+I127</f>
        <v>1119472.8099999998</v>
      </c>
      <c r="N129" s="74"/>
      <c r="O129" s="74"/>
      <c r="P129" s="74"/>
      <c r="Q129" s="74"/>
      <c r="R129" s="74"/>
      <c r="S129" s="74"/>
      <c r="T129" s="74"/>
      <c r="U129" s="74"/>
    </row>
    <row r="130" spans="1:21" x14ac:dyDescent="0.25">
      <c r="A130" s="82"/>
      <c r="B130" s="70"/>
      <c r="C130" s="70"/>
      <c r="D130" s="70"/>
      <c r="E130" s="70"/>
      <c r="F130" s="70"/>
      <c r="G130" s="70"/>
      <c r="H130" s="66"/>
      <c r="I130" s="102"/>
      <c r="N130" s="74"/>
      <c r="O130" s="74"/>
      <c r="P130" s="74"/>
      <c r="Q130" s="74"/>
      <c r="R130" s="74"/>
      <c r="S130" s="74"/>
      <c r="T130" s="74"/>
      <c r="U130" s="74"/>
    </row>
    <row r="131" spans="1:21" x14ac:dyDescent="0.25">
      <c r="A131" s="82" t="s">
        <v>266</v>
      </c>
      <c r="B131" s="70"/>
      <c r="C131" s="70"/>
      <c r="D131" s="70"/>
      <c r="E131" s="70"/>
      <c r="F131" s="70"/>
      <c r="G131" s="70"/>
      <c r="H131" s="66"/>
      <c r="I131" s="287">
        <f>'0664'!I131</f>
        <v>12</v>
      </c>
      <c r="N131" s="74"/>
      <c r="O131" s="74"/>
      <c r="P131" s="74"/>
      <c r="Q131" s="74"/>
      <c r="R131" s="74"/>
      <c r="S131" s="74"/>
      <c r="T131" s="74"/>
      <c r="U131" s="74"/>
    </row>
    <row r="132" spans="1:21" x14ac:dyDescent="0.25">
      <c r="B132" s="70"/>
      <c r="C132" s="70"/>
      <c r="D132" s="70"/>
      <c r="E132" s="70"/>
      <c r="F132" s="70"/>
      <c r="G132" s="70"/>
      <c r="H132" s="66"/>
      <c r="I132" s="102"/>
      <c r="N132" s="74"/>
      <c r="O132" s="74"/>
      <c r="P132" s="74"/>
      <c r="Q132" s="74"/>
      <c r="R132" s="74"/>
      <c r="S132" s="74"/>
      <c r="T132" s="74"/>
      <c r="U132" s="74"/>
    </row>
    <row r="133" spans="1:21" ht="16.5" thickBot="1" x14ac:dyDescent="0.3">
      <c r="A133" s="3" t="s">
        <v>82</v>
      </c>
      <c r="B133" s="70"/>
      <c r="C133" s="70"/>
      <c r="D133" s="70"/>
      <c r="E133" s="70"/>
      <c r="F133" s="70"/>
      <c r="G133" s="70"/>
      <c r="H133" s="66"/>
      <c r="I133" s="164">
        <f>ROUND(I129/I131,2)</f>
        <v>93289.4</v>
      </c>
      <c r="N133" s="74"/>
      <c r="O133" s="74"/>
      <c r="P133" s="74"/>
      <c r="Q133" s="74"/>
      <c r="R133" s="74"/>
      <c r="S133" s="74"/>
      <c r="T133" s="74"/>
      <c r="U133" s="74"/>
    </row>
    <row r="134" spans="1:21" ht="16.5" thickTop="1" x14ac:dyDescent="0.25">
      <c r="B134" s="70"/>
      <c r="C134" s="70"/>
      <c r="D134" s="70"/>
      <c r="E134" s="70"/>
      <c r="F134" s="70"/>
      <c r="G134" s="70"/>
      <c r="H134" s="66"/>
      <c r="I134" s="102"/>
      <c r="N134" s="74"/>
      <c r="O134" s="74"/>
      <c r="P134" s="74"/>
      <c r="Q134" s="74"/>
      <c r="R134" s="74"/>
      <c r="S134" s="74"/>
      <c r="T134" s="74"/>
      <c r="U134" s="74"/>
    </row>
    <row r="135" spans="1:21" ht="16.5" thickBot="1" x14ac:dyDescent="0.3">
      <c r="A135" s="3" t="s">
        <v>96</v>
      </c>
      <c r="B135" s="70"/>
      <c r="C135" s="70"/>
      <c r="D135" s="70"/>
      <c r="E135" s="70"/>
      <c r="F135" s="70"/>
      <c r="G135" s="70"/>
      <c r="H135" s="66"/>
      <c r="I135" s="141">
        <f>ROUND(IF(G123="H",(H123*0.02)+I123,(H123*0.05)+I123),2)</f>
        <v>0</v>
      </c>
      <c r="N135" s="74"/>
      <c r="O135" s="74"/>
      <c r="P135" s="74"/>
      <c r="Q135" s="74"/>
      <c r="R135" s="74"/>
      <c r="S135" s="74"/>
      <c r="T135" s="74"/>
      <c r="U135" s="74"/>
    </row>
    <row r="136" spans="1:21" ht="16.5" thickTop="1" x14ac:dyDescent="0.25">
      <c r="B136" s="70"/>
      <c r="C136" s="70"/>
      <c r="D136" s="70"/>
      <c r="E136" s="70"/>
      <c r="F136" s="70"/>
      <c r="G136" s="70"/>
      <c r="H136" s="66"/>
      <c r="I136" s="142"/>
      <c r="N136" s="74"/>
      <c r="O136" s="74"/>
      <c r="P136" s="74"/>
      <c r="Q136" s="74"/>
      <c r="R136" s="74"/>
      <c r="S136" s="74"/>
      <c r="T136" s="74"/>
      <c r="U136" s="74"/>
    </row>
    <row r="137" spans="1:21" x14ac:dyDescent="0.25">
      <c r="B137" s="70"/>
      <c r="C137" s="70"/>
      <c r="D137" s="70"/>
      <c r="E137" s="70"/>
      <c r="F137" s="70"/>
      <c r="G137" s="70"/>
      <c r="H137" s="66"/>
      <c r="I137" s="102"/>
      <c r="N137" s="74"/>
      <c r="O137" s="74"/>
      <c r="P137" s="74"/>
      <c r="Q137" s="74"/>
      <c r="R137" s="74"/>
      <c r="S137" s="74"/>
      <c r="T137" s="74"/>
      <c r="U137" s="74"/>
    </row>
    <row r="138" spans="1:21" x14ac:dyDescent="0.25">
      <c r="B138" s="70"/>
      <c r="C138" s="70"/>
      <c r="D138" s="70"/>
      <c r="E138" s="70"/>
      <c r="F138" s="70"/>
      <c r="G138" s="70"/>
      <c r="H138" s="66"/>
      <c r="I138" s="142"/>
      <c r="N138" s="74"/>
      <c r="O138" s="74"/>
      <c r="P138" s="74"/>
      <c r="Q138" s="74"/>
      <c r="R138" s="74"/>
      <c r="S138" s="74"/>
      <c r="T138" s="74"/>
      <c r="U138" s="74"/>
    </row>
    <row r="139" spans="1:21" x14ac:dyDescent="0.25">
      <c r="A139" s="265" t="s">
        <v>7</v>
      </c>
      <c r="B139" s="265"/>
      <c r="C139" s="265"/>
      <c r="D139" s="265"/>
      <c r="E139" s="265"/>
      <c r="F139" s="265"/>
      <c r="G139" s="265"/>
      <c r="H139" s="265"/>
      <c r="I139" s="265"/>
      <c r="J139" s="142"/>
      <c r="N139" s="74"/>
      <c r="O139" s="74"/>
      <c r="P139" s="74"/>
      <c r="Q139" s="74"/>
      <c r="R139" s="74"/>
      <c r="S139" s="74"/>
      <c r="T139" s="74"/>
      <c r="U139" s="74"/>
    </row>
    <row r="140" spans="1:21" ht="15.75" customHeight="1" x14ac:dyDescent="0.25">
      <c r="A140" s="363" t="str">
        <f>'0664'!A140</f>
        <v>(a) Additional FTE includes FTE earned through Advanced Placement, International Baccalaureate, Advanced International Certificate of Education, Industry Certified Career</v>
      </c>
      <c r="B140" s="364"/>
      <c r="C140" s="364"/>
      <c r="D140" s="364"/>
      <c r="E140" s="364"/>
      <c r="F140" s="364"/>
      <c r="G140" s="364"/>
      <c r="H140" s="364"/>
      <c r="I140" s="364"/>
      <c r="J140" s="78"/>
      <c r="K140" s="77"/>
      <c r="L140" s="77"/>
      <c r="M140" s="77"/>
      <c r="N140" s="679"/>
      <c r="O140" s="679"/>
      <c r="P140" s="679"/>
      <c r="Q140" s="679"/>
      <c r="R140" s="679"/>
      <c r="S140" s="679"/>
      <c r="T140" s="679"/>
      <c r="U140" s="679"/>
    </row>
    <row r="141" spans="1:21" ht="15.75" customHeight="1" x14ac:dyDescent="0.25">
      <c r="A141" s="369" t="s">
        <v>426</v>
      </c>
      <c r="B141" s="364"/>
      <c r="C141" s="364"/>
      <c r="D141" s="364"/>
      <c r="E141" s="364"/>
      <c r="F141" s="364"/>
      <c r="G141" s="364"/>
      <c r="H141" s="364"/>
      <c r="I141" s="364"/>
      <c r="J141" s="78"/>
      <c r="K141" s="77"/>
      <c r="L141" s="77"/>
      <c r="M141" s="77"/>
      <c r="N141" s="74"/>
      <c r="O141" s="74"/>
      <c r="P141" s="74"/>
      <c r="Q141" s="74"/>
      <c r="R141" s="74"/>
      <c r="S141" s="74"/>
      <c r="T141" s="74"/>
      <c r="U141" s="74"/>
    </row>
    <row r="142" spans="1:21" x14ac:dyDescent="0.25">
      <c r="A142" s="363" t="s">
        <v>427</v>
      </c>
      <c r="B142" s="365"/>
      <c r="C142" s="365"/>
      <c r="D142" s="365"/>
      <c r="E142" s="365"/>
      <c r="F142" s="365"/>
      <c r="G142" s="365"/>
      <c r="H142" s="365"/>
      <c r="I142" s="365"/>
      <c r="J142" s="77"/>
      <c r="K142" s="77"/>
      <c r="L142" s="77"/>
      <c r="M142" s="77"/>
      <c r="N142" s="79"/>
      <c r="O142" s="80"/>
      <c r="P142" s="80"/>
      <c r="Q142" s="80"/>
      <c r="R142" s="80"/>
      <c r="S142" s="80"/>
      <c r="T142" s="80"/>
      <c r="U142" s="80"/>
    </row>
    <row r="143" spans="1:21" s="77" customFormat="1" x14ac:dyDescent="0.2">
      <c r="A143" s="363" t="s">
        <v>428</v>
      </c>
      <c r="B143" s="365"/>
      <c r="C143" s="365"/>
      <c r="D143" s="365"/>
      <c r="E143" s="365"/>
      <c r="F143" s="365"/>
      <c r="G143" s="365"/>
      <c r="H143" s="365"/>
      <c r="I143" s="365"/>
      <c r="N143" s="79"/>
    </row>
    <row r="144" spans="1:21" s="77" customFormat="1" x14ac:dyDescent="0.2">
      <c r="A144" s="363" t="s">
        <v>429</v>
      </c>
      <c r="B144" s="365"/>
      <c r="C144" s="365"/>
      <c r="D144" s="365"/>
      <c r="E144" s="365"/>
      <c r="F144" s="365"/>
      <c r="G144" s="365"/>
      <c r="H144" s="365"/>
      <c r="I144" s="365"/>
      <c r="N144" s="79"/>
    </row>
    <row r="145" spans="1:14" s="77" customFormat="1" x14ac:dyDescent="0.2">
      <c r="A145" s="363" t="s">
        <v>430</v>
      </c>
      <c r="B145" s="365"/>
      <c r="C145" s="365"/>
      <c r="D145" s="365"/>
      <c r="E145" s="365"/>
      <c r="F145" s="365"/>
      <c r="G145" s="365"/>
      <c r="H145" s="365"/>
      <c r="I145" s="365"/>
      <c r="N145" s="79"/>
    </row>
    <row r="146" spans="1:14" s="77" customFormat="1" x14ac:dyDescent="0.2">
      <c r="A146" s="363" t="s">
        <v>431</v>
      </c>
      <c r="B146" s="365"/>
      <c r="C146" s="365"/>
      <c r="D146" s="365"/>
      <c r="E146" s="365"/>
      <c r="F146" s="365"/>
      <c r="G146" s="365"/>
      <c r="H146" s="365"/>
      <c r="I146" s="365"/>
      <c r="N146" s="79"/>
    </row>
    <row r="147" spans="1:14" s="77" customFormat="1" x14ac:dyDescent="0.2">
      <c r="A147" s="363" t="s">
        <v>433</v>
      </c>
      <c r="B147" s="365"/>
      <c r="C147" s="365"/>
      <c r="D147" s="365"/>
      <c r="E147" s="365"/>
      <c r="F147" s="365"/>
      <c r="G147" s="365"/>
      <c r="H147" s="365"/>
      <c r="I147" s="365"/>
      <c r="N147" s="79"/>
    </row>
    <row r="148" spans="1:14" s="77" customFormat="1" x14ac:dyDescent="0.2">
      <c r="A148" s="369" t="s">
        <v>432</v>
      </c>
      <c r="B148" s="365"/>
      <c r="C148" s="365"/>
      <c r="D148" s="365"/>
      <c r="E148" s="365"/>
      <c r="F148" s="365"/>
      <c r="G148" s="365"/>
      <c r="H148" s="365"/>
      <c r="I148" s="365"/>
      <c r="N148" s="79"/>
    </row>
    <row r="149" spans="1:14" s="77" customFormat="1" x14ac:dyDescent="0.2">
      <c r="A149" s="363" t="s">
        <v>434</v>
      </c>
      <c r="B149" s="365"/>
      <c r="C149" s="365"/>
      <c r="D149" s="365"/>
      <c r="E149" s="365"/>
      <c r="F149" s="365"/>
      <c r="G149" s="365"/>
      <c r="H149" s="365"/>
      <c r="I149" s="365"/>
      <c r="N149" s="79"/>
    </row>
    <row r="150" spans="1:14" s="77" customFormat="1" x14ac:dyDescent="0.2">
      <c r="A150" s="369" t="str">
        <f>'0664'!A150</f>
        <v>"All Adjusted ESE Riders" should include only ESE Riders.</v>
      </c>
      <c r="B150" s="365"/>
      <c r="C150" s="365"/>
      <c r="D150" s="365"/>
      <c r="E150" s="365"/>
      <c r="F150" s="365"/>
      <c r="G150" s="365"/>
      <c r="H150" s="365"/>
      <c r="I150" s="365"/>
      <c r="N150" s="79"/>
    </row>
    <row r="151" spans="1:14" s="77" customFormat="1" x14ac:dyDescent="0.2">
      <c r="A151" s="363" t="s">
        <v>437</v>
      </c>
      <c r="B151" s="365"/>
      <c r="C151" s="365"/>
      <c r="D151" s="365"/>
      <c r="E151" s="365"/>
      <c r="F151" s="365"/>
      <c r="G151" s="365"/>
      <c r="H151" s="365"/>
      <c r="I151" s="365"/>
      <c r="N151" s="79"/>
    </row>
    <row r="152" spans="1:14" s="77" customFormat="1" ht="15.75" customHeight="1" x14ac:dyDescent="0.2">
      <c r="A152" s="363" t="str">
        <f>'0664'!A152</f>
        <v xml:space="preserve">(j) Funding based on student eligibility and meals provided, if participating in the National School Lunch Program. </v>
      </c>
      <c r="B152" s="365"/>
      <c r="C152" s="365"/>
      <c r="D152" s="365"/>
      <c r="E152" s="365"/>
      <c r="F152" s="365"/>
      <c r="G152" s="365"/>
      <c r="H152" s="365"/>
      <c r="I152" s="365"/>
      <c r="N152" s="79"/>
    </row>
    <row r="153" spans="1:14" s="77" customFormat="1" ht="15.75" customHeight="1" x14ac:dyDescent="0.2">
      <c r="A153" s="363" t="s">
        <v>439</v>
      </c>
      <c r="B153" s="365"/>
      <c r="C153" s="365"/>
      <c r="D153" s="365"/>
      <c r="E153" s="365"/>
      <c r="F153" s="365"/>
      <c r="G153" s="365"/>
      <c r="H153" s="365"/>
      <c r="I153" s="365"/>
      <c r="N153" s="79"/>
    </row>
    <row r="154" spans="1:14" s="77" customFormat="1" ht="15.75" customHeight="1" x14ac:dyDescent="0.2">
      <c r="A154" s="369" t="s">
        <v>438</v>
      </c>
      <c r="B154" s="365"/>
      <c r="C154" s="365"/>
      <c r="D154" s="365"/>
      <c r="E154" s="365"/>
      <c r="F154" s="365"/>
      <c r="G154" s="365"/>
      <c r="H154" s="365"/>
      <c r="I154" s="365"/>
      <c r="N154" s="79"/>
    </row>
    <row r="155" spans="1:14" s="77" customFormat="1" ht="15.75" customHeight="1" x14ac:dyDescent="0.2">
      <c r="A155" s="363" t="s">
        <v>440</v>
      </c>
      <c r="B155" s="365"/>
      <c r="C155" s="365"/>
      <c r="D155" s="365"/>
      <c r="E155" s="365"/>
      <c r="F155" s="365"/>
      <c r="G155" s="365"/>
      <c r="H155" s="365"/>
      <c r="I155" s="365"/>
      <c r="N155" s="79"/>
    </row>
    <row r="156" spans="1:14" s="77" customFormat="1" ht="15.75" customHeight="1" x14ac:dyDescent="0.2">
      <c r="A156" s="369" t="str">
        <f>'0664'!A156</f>
        <v xml:space="preserve">unweighted full-time equivalent students. </v>
      </c>
      <c r="B156" s="365"/>
      <c r="C156" s="365"/>
      <c r="D156" s="365"/>
      <c r="E156" s="365"/>
      <c r="F156" s="365"/>
      <c r="G156" s="365"/>
      <c r="H156" s="365"/>
      <c r="I156" s="365"/>
      <c r="N156" s="79"/>
    </row>
    <row r="157" spans="1:14" s="77" customFormat="1" ht="15.75" customHeight="1" x14ac:dyDescent="0.2">
      <c r="A157" s="363" t="s">
        <v>442</v>
      </c>
      <c r="B157" s="365"/>
      <c r="C157" s="365"/>
      <c r="D157" s="365"/>
      <c r="E157" s="365"/>
      <c r="F157" s="365"/>
      <c r="G157" s="365"/>
      <c r="H157" s="365"/>
      <c r="I157" s="365"/>
      <c r="N157" s="79"/>
    </row>
    <row r="158" spans="1:14" s="77" customFormat="1" ht="15.75" customHeight="1" x14ac:dyDescent="0.2">
      <c r="A158" s="369" t="s">
        <v>441</v>
      </c>
      <c r="B158" s="365"/>
      <c r="C158" s="365"/>
      <c r="D158" s="365"/>
      <c r="E158" s="365"/>
      <c r="F158" s="365"/>
      <c r="G158" s="365"/>
      <c r="H158" s="365"/>
      <c r="I158" s="365"/>
      <c r="N158" s="79"/>
    </row>
    <row r="159" spans="1:14" s="77" customFormat="1" ht="15.75" customHeight="1" x14ac:dyDescent="0.2">
      <c r="A159" s="363"/>
      <c r="B159" s="365"/>
      <c r="C159" s="365"/>
      <c r="D159" s="365"/>
      <c r="E159" s="365"/>
      <c r="F159" s="365"/>
      <c r="G159" s="365"/>
      <c r="H159" s="365"/>
      <c r="I159" s="365"/>
      <c r="N159" s="79"/>
    </row>
    <row r="160" spans="1:14" s="77" customFormat="1" ht="15.75" customHeight="1" x14ac:dyDescent="0.25">
      <c r="A160" s="376" t="str">
        <f>'0664'!A160</f>
        <v>Administrative fees:</v>
      </c>
      <c r="B160" s="365"/>
      <c r="C160" s="365"/>
      <c r="D160" s="365"/>
      <c r="E160" s="365"/>
      <c r="F160" s="365"/>
      <c r="G160" s="365"/>
      <c r="H160" s="365"/>
      <c r="I160" s="365"/>
      <c r="J160" s="3"/>
      <c r="K160" s="3"/>
      <c r="L160" s="3"/>
      <c r="M160" s="3"/>
      <c r="N160" s="79"/>
    </row>
    <row r="161" spans="1:21" s="77" customFormat="1" ht="15.75" customHeight="1" x14ac:dyDescent="0.25">
      <c r="A161" s="380" t="str">
        <f>'0664'!A161</f>
        <v xml:space="preserve">Administrative fees charged by the school district pursuant to s. 1002.33(20)(a), F.S., shall be calculated based upon 5% of available funds from the FEFP and categorical </v>
      </c>
      <c r="B161" s="368"/>
      <c r="C161" s="368"/>
      <c r="D161" s="368"/>
      <c r="E161" s="368"/>
      <c r="F161" s="368"/>
      <c r="G161" s="368"/>
      <c r="H161" s="368"/>
      <c r="I161" s="368"/>
      <c r="J161" s="3"/>
      <c r="K161" s="3"/>
      <c r="L161" s="3"/>
      <c r="M161" s="3"/>
      <c r="N161" s="79"/>
    </row>
    <row r="162" spans="1:21" s="77" customFormat="1" ht="15.75" customHeight="1" x14ac:dyDescent="0.25">
      <c r="A162" s="381" t="str">
        <f>'0664'!A162</f>
        <v>funding for which charter students may be eligible.  To calculate the administrative fee to be withheld for schools with more than 250 students, divide the school</v>
      </c>
      <c r="B162" s="375"/>
      <c r="C162" s="375"/>
      <c r="D162" s="375"/>
      <c r="E162" s="375"/>
      <c r="F162" s="375"/>
      <c r="G162" s="375"/>
      <c r="H162" s="375"/>
      <c r="I162" s="375"/>
      <c r="J162" s="3"/>
      <c r="K162" s="3"/>
      <c r="L162" s="3"/>
      <c r="M162" s="3"/>
      <c r="N162" s="79"/>
    </row>
    <row r="163" spans="1:21" s="77" customFormat="1" ht="15.75" customHeight="1" x14ac:dyDescent="0.25">
      <c r="A163" s="381" t="s">
        <v>443</v>
      </c>
      <c r="B163" s="375"/>
      <c r="C163" s="375"/>
      <c r="D163" s="375"/>
      <c r="E163" s="375"/>
      <c r="F163" s="375"/>
      <c r="G163" s="375"/>
      <c r="H163" s="375"/>
      <c r="I163" s="375"/>
      <c r="J163" s="3"/>
      <c r="K163" s="3"/>
      <c r="L163" s="3"/>
      <c r="M163" s="3"/>
      <c r="N163" s="79"/>
    </row>
    <row r="164" spans="1:21" s="77" customFormat="1" ht="15.75" customHeight="1" x14ac:dyDescent="0.25">
      <c r="A164" s="381" t="s">
        <v>444</v>
      </c>
      <c r="B164" s="375"/>
      <c r="C164" s="375"/>
      <c r="D164" s="375"/>
      <c r="E164" s="375"/>
      <c r="F164" s="375"/>
      <c r="G164" s="375"/>
      <c r="H164" s="375"/>
      <c r="I164" s="375"/>
      <c r="N164" s="75"/>
      <c r="O164" s="3"/>
      <c r="P164" s="3"/>
      <c r="Q164" s="3"/>
      <c r="R164" s="3"/>
      <c r="S164" s="3"/>
      <c r="T164" s="3"/>
      <c r="U164" s="3"/>
    </row>
    <row r="165" spans="1:21" s="77" customFormat="1" ht="15.75" customHeight="1" x14ac:dyDescent="0.25">
      <c r="A165" s="380"/>
      <c r="B165" s="375"/>
      <c r="C165" s="375"/>
      <c r="D165" s="375"/>
      <c r="E165" s="375"/>
      <c r="F165" s="375"/>
      <c r="G165" s="375"/>
      <c r="H165" s="375"/>
      <c r="I165" s="375"/>
      <c r="N165" s="75"/>
      <c r="O165" s="3"/>
      <c r="P165" s="3"/>
      <c r="Q165" s="3"/>
      <c r="R165" s="3"/>
      <c r="S165" s="3"/>
      <c r="T165" s="3"/>
      <c r="U165" s="3"/>
    </row>
    <row r="166" spans="1:21" ht="15.75" customHeight="1" x14ac:dyDescent="0.25">
      <c r="A166" s="380" t="str">
        <f>'0664'!A166</f>
        <v xml:space="preserve">For high performing charter schools, administrative fees charged by the school district shall be calculated based upon 2% of available funds from the FEFP and categorical </v>
      </c>
      <c r="B166" s="368"/>
      <c r="C166" s="368"/>
      <c r="D166" s="368"/>
      <c r="E166" s="368"/>
      <c r="F166" s="368"/>
      <c r="G166" s="368"/>
      <c r="H166" s="368"/>
      <c r="I166" s="368"/>
      <c r="J166" s="77"/>
      <c r="K166" s="77"/>
      <c r="L166" s="77"/>
      <c r="M166" s="77"/>
      <c r="N166" s="79"/>
      <c r="O166" s="77"/>
      <c r="P166" s="77"/>
      <c r="Q166" s="77"/>
      <c r="R166" s="77"/>
      <c r="S166" s="77"/>
      <c r="T166" s="77"/>
      <c r="U166" s="77"/>
    </row>
    <row r="167" spans="1:21" ht="15.75" customHeight="1" x14ac:dyDescent="0.25">
      <c r="A167" s="381" t="str">
        <f>'0664'!A167</f>
        <v>funding for which charter students may be eligible.  To calculate the administrative fee to be withheld for schools with more than 250 students, divide the school</v>
      </c>
      <c r="B167" s="368"/>
      <c r="C167" s="368"/>
      <c r="D167" s="368"/>
      <c r="E167" s="368"/>
      <c r="F167" s="368"/>
      <c r="G167" s="368"/>
      <c r="H167" s="368"/>
      <c r="I167" s="368"/>
      <c r="J167" s="77"/>
      <c r="K167" s="77"/>
      <c r="L167" s="77"/>
      <c r="M167" s="77"/>
      <c r="N167" s="79"/>
      <c r="O167" s="77"/>
      <c r="P167" s="77"/>
      <c r="Q167" s="77"/>
      <c r="R167" s="77"/>
      <c r="S167" s="77"/>
      <c r="T167" s="77"/>
      <c r="U167" s="77"/>
    </row>
    <row r="168" spans="1:21" s="77" customFormat="1" ht="15.75" customHeight="1" x14ac:dyDescent="0.2">
      <c r="A168" s="381" t="str">
        <f>'0664'!A168</f>
        <v xml:space="preserve">population into 250. Multiply that fraction times the funds available, then times 2%.  </v>
      </c>
      <c r="B168" s="368"/>
      <c r="C168" s="368"/>
      <c r="D168" s="368"/>
      <c r="E168" s="368"/>
      <c r="F168" s="368"/>
      <c r="G168" s="368"/>
      <c r="H168" s="368"/>
      <c r="I168" s="368"/>
      <c r="N168" s="79"/>
    </row>
    <row r="169" spans="1:21" x14ac:dyDescent="0.25">
      <c r="A169" s="363"/>
      <c r="B169" s="368"/>
      <c r="C169" s="368"/>
      <c r="D169" s="368"/>
      <c r="E169" s="368"/>
      <c r="F169" s="368"/>
      <c r="G169" s="368"/>
      <c r="H169" s="368"/>
      <c r="I169" s="368"/>
      <c r="N169" s="75"/>
    </row>
    <row r="170" spans="1:21" x14ac:dyDescent="0.25">
      <c r="A170" s="376" t="str">
        <f>'0664'!A170</f>
        <v>Other:</v>
      </c>
      <c r="B170" s="374"/>
      <c r="C170" s="374"/>
      <c r="D170" s="374"/>
      <c r="E170" s="374"/>
      <c r="F170" s="374"/>
      <c r="G170" s="374"/>
      <c r="H170" s="374"/>
      <c r="I170" s="374"/>
      <c r="N170" s="75"/>
    </row>
    <row r="171" spans="1:21" x14ac:dyDescent="0.25">
      <c r="A171" s="380" t="str">
        <f>'0664'!A171</f>
        <v>FEFP and categorical funding are recalculated during the year to reflect the revised number of full-time equivalent students reported during the survey periods designated</v>
      </c>
      <c r="B171" s="368"/>
      <c r="C171" s="368"/>
      <c r="D171" s="368"/>
      <c r="E171" s="368"/>
      <c r="F171" s="368"/>
      <c r="G171" s="368"/>
      <c r="H171" s="368"/>
      <c r="I171" s="368"/>
      <c r="N171" s="75"/>
    </row>
    <row r="172" spans="1:21" x14ac:dyDescent="0.25">
      <c r="A172" s="381" t="str">
        <f>'0664'!A172</f>
        <v>by the Commissioner of Education.</v>
      </c>
      <c r="B172" s="375"/>
      <c r="C172" s="375"/>
      <c r="D172" s="375"/>
      <c r="E172" s="375"/>
      <c r="F172" s="375"/>
      <c r="G172" s="375"/>
      <c r="H172" s="375"/>
      <c r="I172" s="375"/>
      <c r="N172" s="75"/>
    </row>
    <row r="173" spans="1:21" x14ac:dyDescent="0.25">
      <c r="A173" s="380" t="str">
        <f>'0664'!A173</f>
        <v>Revenues flow to districts from state sources and from county tax collectors on various distribution schedules.</v>
      </c>
      <c r="B173" s="368"/>
      <c r="C173" s="368"/>
      <c r="D173" s="368"/>
      <c r="E173" s="368"/>
      <c r="F173" s="368"/>
      <c r="G173" s="368"/>
      <c r="H173" s="368"/>
      <c r="I173" s="368"/>
      <c r="N173" s="75"/>
    </row>
    <row r="174" spans="1:21" x14ac:dyDescent="0.25">
      <c r="A174" s="310"/>
      <c r="B174" s="310"/>
      <c r="C174" s="310"/>
      <c r="D174" s="310"/>
      <c r="E174" s="310"/>
      <c r="F174" s="310"/>
      <c r="G174" s="310"/>
      <c r="H174" s="310"/>
      <c r="I174" s="310"/>
      <c r="N174" s="75"/>
    </row>
    <row r="175" spans="1:21" x14ac:dyDescent="0.25">
      <c r="A175" s="75"/>
      <c r="N175" s="75"/>
    </row>
    <row r="176" spans="1:21" x14ac:dyDescent="0.25">
      <c r="A176" s="75"/>
      <c r="N176" s="75"/>
    </row>
    <row r="177" spans="1:14" x14ac:dyDescent="0.25">
      <c r="A177" s="75"/>
      <c r="N177" s="75"/>
    </row>
    <row r="178" spans="1:14" x14ac:dyDescent="0.25">
      <c r="A178" s="75"/>
      <c r="B178" s="143"/>
      <c r="C178" s="143"/>
      <c r="D178" s="143"/>
      <c r="E178" s="143"/>
      <c r="F178" s="143"/>
      <c r="G178" s="143"/>
      <c r="H178" s="143"/>
      <c r="I178" s="143"/>
      <c r="N178" s="75"/>
    </row>
    <row r="179" spans="1:14" x14ac:dyDescent="0.25">
      <c r="A179" s="75"/>
      <c r="N179" s="75"/>
    </row>
    <row r="180" spans="1:14" x14ac:dyDescent="0.25">
      <c r="A180" s="75"/>
      <c r="N180" s="75"/>
    </row>
    <row r="181" spans="1:14" x14ac:dyDescent="0.25">
      <c r="A181" s="75"/>
      <c r="N181" s="75"/>
    </row>
    <row r="182" spans="1:14" x14ac:dyDescent="0.25">
      <c r="A182" s="75"/>
      <c r="N182" s="75"/>
    </row>
    <row r="183" spans="1:14" x14ac:dyDescent="0.25">
      <c r="A183" s="75"/>
      <c r="N183" s="75"/>
    </row>
    <row r="184" spans="1:14" x14ac:dyDescent="0.25">
      <c r="A184" s="75"/>
      <c r="N184" s="75"/>
    </row>
    <row r="185" spans="1:14" x14ac:dyDescent="0.25">
      <c r="A185" s="75"/>
      <c r="N185" s="75"/>
    </row>
    <row r="186" spans="1:14" x14ac:dyDescent="0.25">
      <c r="A186" s="75"/>
      <c r="N186" s="75"/>
    </row>
    <row r="187" spans="1:14" x14ac:dyDescent="0.25">
      <c r="A187" s="75"/>
      <c r="N187" s="75"/>
    </row>
    <row r="188" spans="1:14" x14ac:dyDescent="0.25">
      <c r="A188" s="75"/>
      <c r="N188" s="75"/>
    </row>
    <row r="189" spans="1:14" x14ac:dyDescent="0.25">
      <c r="A189" s="75"/>
      <c r="N189" s="75"/>
    </row>
    <row r="190" spans="1:14" x14ac:dyDescent="0.25">
      <c r="A190" s="75"/>
      <c r="N190" s="75"/>
    </row>
    <row r="191" spans="1:14" x14ac:dyDescent="0.25">
      <c r="A191" s="75"/>
    </row>
    <row r="192" spans="1:14"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sheetData>
  <mergeCells count="243">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2:B62"/>
    <mergeCell ref="D62:G62"/>
    <mergeCell ref="N62:O62"/>
    <mergeCell ref="Q62:S62"/>
    <mergeCell ref="T62:U62"/>
    <mergeCell ref="A56:B56"/>
    <mergeCell ref="D56:G56"/>
    <mergeCell ref="N56:O56"/>
    <mergeCell ref="Q56:S56"/>
    <mergeCell ref="T56:U56"/>
    <mergeCell ref="N57:S57"/>
    <mergeCell ref="T57:U57"/>
    <mergeCell ref="A59:B59"/>
    <mergeCell ref="D59:G59"/>
    <mergeCell ref="N59:O59"/>
    <mergeCell ref="Q59:S59"/>
    <mergeCell ref="T59:U59"/>
    <mergeCell ref="N60:S60"/>
    <mergeCell ref="T60:U60"/>
    <mergeCell ref="N63:S63"/>
    <mergeCell ref="T63:U63"/>
    <mergeCell ref="A65:B65"/>
    <mergeCell ref="D65:G65"/>
    <mergeCell ref="N65:O65"/>
    <mergeCell ref="Q65:S65"/>
    <mergeCell ref="T65:U65"/>
    <mergeCell ref="N66:S66"/>
    <mergeCell ref="T66:U66"/>
    <mergeCell ref="A68:B68"/>
    <mergeCell ref="D68:G68"/>
    <mergeCell ref="N68:O68"/>
    <mergeCell ref="Q68:S68"/>
    <mergeCell ref="T68:U68"/>
    <mergeCell ref="N69:S69"/>
    <mergeCell ref="A73:C73"/>
    <mergeCell ref="N73:P73"/>
    <mergeCell ref="A85:C85"/>
    <mergeCell ref="A74:C74"/>
    <mergeCell ref="N85:P85"/>
    <mergeCell ref="T69:U69"/>
    <mergeCell ref="N74:P74"/>
    <mergeCell ref="A87:C87"/>
    <mergeCell ref="N87:P87"/>
    <mergeCell ref="C90:D90"/>
    <mergeCell ref="C91:D91"/>
    <mergeCell ref="N91:O91"/>
    <mergeCell ref="P91:Q91"/>
    <mergeCell ref="R91:U91"/>
    <mergeCell ref="C92:D92"/>
    <mergeCell ref="P92:Q92"/>
    <mergeCell ref="C93:D93"/>
    <mergeCell ref="P93:Q93"/>
    <mergeCell ref="C94:D94"/>
    <mergeCell ref="P94:Q94"/>
    <mergeCell ref="C95:D95"/>
    <mergeCell ref="P95:T95"/>
    <mergeCell ref="A96:I96"/>
    <mergeCell ref="N96:U96"/>
    <mergeCell ref="F98:I98"/>
    <mergeCell ref="N98:P98"/>
    <mergeCell ref="Q98:T98"/>
    <mergeCell ref="R108:S108"/>
    <mergeCell ref="A101:B101"/>
    <mergeCell ref="N101:O101"/>
    <mergeCell ref="P101:R101"/>
    <mergeCell ref="A102:B102"/>
    <mergeCell ref="N102:O102"/>
    <mergeCell ref="P102:R102"/>
    <mergeCell ref="R110:S110"/>
    <mergeCell ref="A105:C105"/>
    <mergeCell ref="F105:I105"/>
    <mergeCell ref="N105:U105"/>
    <mergeCell ref="C106:E106"/>
    <mergeCell ref="F107:G107"/>
    <mergeCell ref="A108:B108"/>
    <mergeCell ref="F108:G108"/>
    <mergeCell ref="N108:O108"/>
    <mergeCell ref="P108:Q108"/>
    <mergeCell ref="A109:B109"/>
    <mergeCell ref="F109:G109"/>
    <mergeCell ref="N109:O109"/>
    <mergeCell ref="P109:Q109"/>
    <mergeCell ref="N112:O112"/>
    <mergeCell ref="A112:B112"/>
    <mergeCell ref="R109:S109"/>
    <mergeCell ref="A110:B110"/>
    <mergeCell ref="F110:G110"/>
    <mergeCell ref="N110:O110"/>
    <mergeCell ref="P110:Q110"/>
    <mergeCell ref="N140:U140"/>
    <mergeCell ref="N120:U120"/>
    <mergeCell ref="N114:P114"/>
    <mergeCell ref="A114:C114"/>
    <mergeCell ref="F114:H114"/>
    <mergeCell ref="N115:T115"/>
    <mergeCell ref="A116:H116"/>
    <mergeCell ref="A120:G120"/>
    <mergeCell ref="A121:G121"/>
    <mergeCell ref="N121:U121"/>
    <mergeCell ref="A111:B111"/>
    <mergeCell ref="F111:G111"/>
    <mergeCell ref="N111:O111"/>
    <mergeCell ref="P111:Q111"/>
    <mergeCell ref="R111:S111"/>
  </mergeCells>
  <pageMargins left="0.1" right="0.1" top="0.5" bottom="0.5" header="0" footer="0.1"/>
  <pageSetup scale="70" fitToHeight="3" orientation="portrait" r:id="rId1"/>
  <headerFooter alignWithMargins="0">
    <oddFooter>&amp;R&amp;P of &amp;N</oddFooter>
  </headerFooter>
  <rowBreaks count="1" manualBreakCount="1">
    <brk id="139"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9</vt:i4>
      </vt:variant>
    </vt:vector>
  </HeadingPairs>
  <TitlesOfParts>
    <vt:vector size="63" baseType="lpstr">
      <vt:lpstr>Net Payment</vt:lpstr>
      <vt:lpstr>Chg in Pmts</vt:lpstr>
      <vt:lpstr>FEFP - 23 vs 24</vt:lpstr>
      <vt:lpstr>Charter Schools</vt:lpstr>
      <vt:lpstr>Consolidated</vt:lpstr>
      <vt:lpstr>0664</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'0664'!Print_Area</vt:lpstr>
      <vt:lpstr>'Chg in Pmts'!Print_Area</vt:lpstr>
      <vt:lpstr>'FEFP - 23 vs 24'!Print_Area</vt:lpstr>
      <vt:lpstr>'Net Payment'!Print_Area</vt:lpstr>
      <vt:lpstr>Virtual!Print_Area</vt:lpstr>
      <vt:lpstr>'0664'!Print_Titles</vt:lpstr>
      <vt:lpstr>'Chg in Pmts'!Print_Titles</vt:lpstr>
      <vt:lpstr>'FEFP - 23 vs 24'!Print_Titles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Richard Oglenski</cp:lastModifiedBy>
  <cp:lastPrinted>2023-06-29T12:15:21Z</cp:lastPrinted>
  <dcterms:created xsi:type="dcterms:W3CDTF">1998-02-12T20:21:54Z</dcterms:created>
  <dcterms:modified xsi:type="dcterms:W3CDTF">2023-07-03T13:04:58Z</dcterms:modified>
</cp:coreProperties>
</file>